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ock\OneDrive - Oklima\Documents - Team Oklima\03 - Développement\1 - FORET\1 - PROJETS\DORE Benoît\Dossier_LBC_déposé\"/>
    </mc:Choice>
  </mc:AlternateContent>
  <xr:revisionPtr revIDLastSave="0" documentId="8_{0FDD43D4-1849-4F6B-827F-AB9A6EA405B4}" xr6:coauthVersionLast="47" xr6:coauthVersionMax="47" xr10:uidLastSave="{00000000-0000-0000-0000-000000000000}"/>
  <bookViews>
    <workbookView xWindow="-104" yWindow="-104" windowWidth="22326" windowHeight="13329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C9" i="1" l="1"/>
  <c r="C15" i="1" l="1"/>
  <c r="C14" i="1"/>
  <c r="C13" i="1"/>
  <c r="C12" i="1"/>
  <c r="C11" i="1"/>
  <c r="C10" i="1"/>
  <c r="B15" i="1"/>
  <c r="B14" i="1"/>
  <c r="B13" i="1"/>
  <c r="B12" i="1"/>
  <c r="B11" i="1"/>
  <c r="B10" i="1"/>
  <c r="B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W155" i="2"/>
  <c r="EY154" i="2"/>
  <c r="EA155" i="2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Y155" i="2"/>
  <c r="ED155" i="2"/>
  <c r="EB156" i="2"/>
  <c r="A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EC158" i="2"/>
  <c r="ED15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ED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AB161" i="2"/>
  <c r="EA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EC162" i="2"/>
  <c r="DI161" i="2"/>
  <c r="EY161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I163" i="2"/>
  <c r="DH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EB167" i="2"/>
  <c r="DG167" i="2"/>
  <c r="EY166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B168" i="2"/>
  <c r="EC168" i="2"/>
  <c r="DI167" i="2"/>
  <c r="EW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Y168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D171" i="2"/>
  <c r="EB172" i="2"/>
  <c r="EA172" i="2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EA175" i="2"/>
  <c r="A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Y175" i="2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DF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A185" i="2"/>
  <c r="ED184" i="2"/>
  <c r="EB185" i="2"/>
  <c r="EW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W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EB189" i="2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B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V192" i="2"/>
  <c r="EB192" i="2"/>
  <c r="EW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B194" i="2"/>
  <c r="EA194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EA195" i="2"/>
  <c r="EB195" i="2"/>
  <c r="AA195" i="2"/>
  <c r="DH195" i="2"/>
  <c r="EY194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AA197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EA201" i="2" l="1"/>
  <c r="EY200" i="2"/>
  <c r="DI200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ED201" i="2"/>
  <c r="EX202" i="2"/>
  <c r="EY201" i="2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FD82" i="2" a="1"/>
  <c r="FD82" i="2" s="1"/>
  <c r="HJ202" i="2"/>
  <c r="AX200" i="2"/>
  <c r="AH19" i="2" l="1" a="1"/>
  <c r="AH19" i="2" s="1"/>
  <c r="AH90" i="2" a="1"/>
  <c r="AH90" i="2" s="1"/>
  <c r="AH199" i="2" a="1"/>
  <c r="AH199" i="2" s="1"/>
  <c r="AH151" i="2" a="1"/>
  <c r="AH151" i="2" s="1"/>
  <c r="AH166" i="2" a="1"/>
  <c r="AH166" i="2" s="1"/>
  <c r="AH92" i="2" a="1"/>
  <c r="AH92" i="2" s="1"/>
  <c r="DN155" i="2" a="1"/>
  <c r="DN155" i="2" s="1"/>
  <c r="DN56" i="2" a="1"/>
  <c r="DN56" i="2" s="1"/>
  <c r="DN70" i="2" a="1"/>
  <c r="DN70" i="2" s="1"/>
  <c r="DN168" i="2" a="1"/>
  <c r="DN168" i="2" s="1"/>
  <c r="CS24" i="2" a="1"/>
  <c r="CS24" i="2" s="1"/>
  <c r="CS134" i="2" a="1"/>
  <c r="CS134" i="2" s="1"/>
  <c r="DN45" i="2" a="1"/>
  <c r="DN45" i="2" s="1"/>
  <c r="DN123" i="2" a="1"/>
  <c r="DN123" i="2" s="1"/>
  <c r="DN55" i="2" a="1"/>
  <c r="DN55" i="2" s="1"/>
  <c r="DN129" i="2" a="1"/>
  <c r="DN129" i="2" s="1"/>
  <c r="DN50" i="2" a="1"/>
  <c r="DN50" i="2" s="1"/>
  <c r="DN113" i="2" a="1"/>
  <c r="DN113" i="2" s="1"/>
  <c r="DN25" i="2" a="1"/>
  <c r="DN25" i="2" s="1"/>
  <c r="DN192" i="2" a="1"/>
  <c r="DN192" i="2" s="1"/>
  <c r="DN30" i="2" a="1"/>
  <c r="DN30" i="2" s="1"/>
  <c r="DN152" i="2" a="1"/>
  <c r="DN152" i="2" s="1"/>
  <c r="DN162" i="2" a="1"/>
  <c r="DN162" i="2" s="1"/>
  <c r="DN86" i="2" a="1"/>
  <c r="DN86" i="2" s="1"/>
  <c r="DN176" i="2" a="1"/>
  <c r="DN176" i="2" s="1"/>
  <c r="DN164" i="2" a="1"/>
  <c r="DN164" i="2" s="1"/>
  <c r="DN63" i="2" a="1"/>
  <c r="DN63" i="2" s="1"/>
  <c r="DN177" i="2" a="1"/>
  <c r="DN177" i="2" s="1"/>
  <c r="DN43" i="2" a="1"/>
  <c r="DN43" i="2" s="1"/>
  <c r="DN190" i="2" a="1"/>
  <c r="DN190" i="2" s="1"/>
  <c r="DN135" i="2" a="1"/>
  <c r="DN135" i="2" s="1"/>
  <c r="DN115" i="2" a="1"/>
  <c r="DN115" i="2" s="1"/>
  <c r="DN186" i="2" a="1"/>
  <c r="DN186" i="2" s="1"/>
  <c r="DN132" i="2" a="1"/>
  <c r="DN132" i="2" s="1"/>
  <c r="DN16" i="2" a="1"/>
  <c r="DN16" i="2" s="1"/>
  <c r="DN49" i="2" a="1"/>
  <c r="DN49" i="2" s="1"/>
  <c r="DN38" i="2" a="1"/>
  <c r="DN38" i="2" s="1"/>
  <c r="DN114" i="2" a="1"/>
  <c r="DN114" i="2" s="1"/>
  <c r="DN153" i="2" a="1"/>
  <c r="DN153" i="2" s="1"/>
  <c r="DN137" i="2" a="1"/>
  <c r="DN137" i="2" s="1"/>
  <c r="DN110" i="2" a="1"/>
  <c r="DN110" i="2" s="1"/>
  <c r="DN31" i="2" a="1"/>
  <c r="DN31" i="2" s="1"/>
  <c r="DN150" i="2" a="1"/>
  <c r="DN150" i="2" s="1"/>
  <c r="DN167" i="2" a="1"/>
  <c r="DN167" i="2" s="1"/>
  <c r="DN184" i="2" a="1"/>
  <c r="DN184" i="2" s="1"/>
  <c r="DN66" i="2" a="1"/>
  <c r="DN66" i="2" s="1"/>
  <c r="DN46" i="2" a="1"/>
  <c r="DN46" i="2" s="1"/>
  <c r="DN188" i="2" a="1"/>
  <c r="DN188" i="2" s="1"/>
  <c r="DN29" i="2" a="1"/>
  <c r="DN29" i="2" s="1"/>
  <c r="DN41" i="2" a="1"/>
  <c r="DN41" i="2" s="1"/>
  <c r="DN133" i="2" a="1"/>
  <c r="DN133" i="2" s="1"/>
  <c r="DN187" i="2" a="1"/>
  <c r="DN187" i="2" s="1"/>
  <c r="DN65" i="2" a="1"/>
  <c r="DN65" i="2" s="1"/>
  <c r="DN80" i="2" a="1"/>
  <c r="DN80" i="2" s="1"/>
  <c r="DN103" i="2" a="1"/>
  <c r="DN103" i="2" s="1"/>
  <c r="DN170" i="2" a="1"/>
  <c r="DN170" i="2" s="1"/>
  <c r="DN124" i="2" a="1"/>
  <c r="DN124" i="2" s="1"/>
  <c r="CS185" i="2" a="1"/>
  <c r="CS185" i="2" s="1"/>
  <c r="CS77" i="2" a="1"/>
  <c r="CS77" i="2" s="1"/>
  <c r="CS38" i="2" a="1"/>
  <c r="CS38" i="2" s="1"/>
  <c r="CS105" i="2" a="1"/>
  <c r="CS105" i="2" s="1"/>
  <c r="CS137" i="2" a="1"/>
  <c r="CS137" i="2" s="1"/>
  <c r="CS129" i="2" a="1"/>
  <c r="CS129" i="2" s="1"/>
  <c r="CS161" i="2" a="1"/>
  <c r="CS161" i="2" s="1"/>
  <c r="CS52" i="2" a="1"/>
  <c r="CS52" i="2" s="1"/>
  <c r="CS120" i="2" a="1"/>
  <c r="CS120" i="2" s="1"/>
  <c r="CS114" i="2" a="1"/>
  <c r="CS114" i="2" s="1"/>
  <c r="CS72" i="2" a="1"/>
  <c r="CS72" i="2" s="1"/>
  <c r="CS56" i="2" a="1"/>
  <c r="CS56" i="2" s="1"/>
  <c r="CS116" i="2" a="1"/>
  <c r="CS116" i="2" s="1"/>
  <c r="CS66" i="2" a="1"/>
  <c r="CS66" i="2" s="1"/>
  <c r="BX107" i="2" a="1"/>
  <c r="BX107" i="2" s="1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ED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CY186" i="2" l="1"/>
  <c r="CY36" i="2"/>
  <c r="CY128" i="2"/>
  <c r="CY175" i="2"/>
  <c r="CY73" i="2"/>
  <c r="CY82" i="2"/>
  <c r="CY201" i="2"/>
  <c r="CY180" i="2"/>
  <c r="CY4" i="2"/>
  <c r="CY156" i="2"/>
  <c r="CY24" i="2"/>
  <c r="CY132" i="2"/>
  <c r="CY145" i="2"/>
  <c r="CY155" i="2"/>
  <c r="CY138" i="2"/>
  <c r="CY119" i="2"/>
  <c r="CY39" i="2"/>
  <c r="CY148" i="2"/>
  <c r="CY123" i="2"/>
  <c r="CY126" i="2"/>
  <c r="CY140" i="2"/>
  <c r="CY124" i="2"/>
  <c r="CY68" i="2"/>
  <c r="CY58" i="2"/>
  <c r="CY18" i="2"/>
  <c r="CY139" i="2"/>
  <c r="CY16" i="2"/>
  <c r="CY172" i="2"/>
  <c r="CY28" i="2"/>
  <c r="CY194" i="2"/>
  <c r="CY133" i="2"/>
  <c r="CY46" i="2"/>
  <c r="CY62" i="2"/>
  <c r="CY52" i="2"/>
  <c r="CY88" i="2"/>
  <c r="CY15" i="2"/>
  <c r="CY159" i="2"/>
  <c r="CY47" i="2"/>
  <c r="CY200" i="2"/>
  <c r="CY143" i="2"/>
  <c r="CY164" i="2"/>
  <c r="CY178" i="2"/>
  <c r="CY65" i="2"/>
  <c r="CY110" i="2"/>
  <c r="CY80" i="2"/>
  <c r="CY131" i="2"/>
  <c r="CY95" i="2"/>
  <c r="CY112" i="2"/>
  <c r="CY84" i="2"/>
  <c r="CY64" i="2"/>
  <c r="CY33" i="2"/>
  <c r="CY53" i="2"/>
  <c r="CY61" i="2"/>
  <c r="CY37" i="2"/>
  <c r="CY197" i="2"/>
  <c r="CY57" i="2"/>
  <c r="CY116" i="2"/>
  <c r="CY162" i="2"/>
  <c r="CY97" i="2"/>
  <c r="CY21" i="2"/>
  <c r="CY141" i="2"/>
  <c r="CY30" i="2"/>
  <c r="CY115" i="2"/>
  <c r="CY93" i="2"/>
  <c r="CY78" i="2"/>
  <c r="CY9" i="2"/>
  <c r="CY202" i="2"/>
  <c r="CY5" i="2"/>
  <c r="CY157" i="2"/>
  <c r="CY67" i="2"/>
  <c r="CY176" i="2"/>
  <c r="CY87" i="2"/>
  <c r="CY90" i="2"/>
  <c r="CY149" i="2"/>
  <c r="CY113" i="2"/>
  <c r="CY91" i="2"/>
  <c r="CY169" i="2"/>
  <c r="CY203" i="2"/>
  <c r="CY71" i="2"/>
  <c r="CY188" i="2"/>
  <c r="CY104" i="2"/>
  <c r="CY167" i="2"/>
  <c r="CY187" i="2"/>
  <c r="CY108" i="2"/>
  <c r="CY14" i="2"/>
  <c r="CY86" i="2"/>
  <c r="CY55" i="2"/>
  <c r="CY23" i="2"/>
  <c r="CY135" i="2"/>
  <c r="CY174" i="2"/>
  <c r="CY146" i="2"/>
  <c r="CY29" i="2"/>
  <c r="CY25" i="2"/>
  <c r="CY183" i="2"/>
  <c r="CY51" i="2"/>
  <c r="CY153" i="2"/>
  <c r="CY50" i="2"/>
  <c r="CY118" i="2"/>
  <c r="CY79" i="2"/>
  <c r="CY32" i="2"/>
  <c r="CY69" i="2"/>
  <c r="CY136" i="2"/>
  <c r="CY192" i="2"/>
  <c r="CY165" i="2"/>
  <c r="CY42" i="2"/>
  <c r="CY154" i="2"/>
  <c r="CY166" i="2"/>
  <c r="CY38" i="2"/>
  <c r="CY92" i="2"/>
  <c r="CY98" i="2"/>
  <c r="CY22" i="2"/>
  <c r="CY163" i="2"/>
  <c r="CY70" i="2"/>
  <c r="CY76" i="2"/>
  <c r="CY137" i="2"/>
  <c r="CY85" i="2"/>
  <c r="CY142" i="2"/>
  <c r="CY74" i="2"/>
  <c r="CY44" i="2"/>
  <c r="CY101" i="2"/>
  <c r="CY120" i="2"/>
  <c r="CY105" i="2"/>
  <c r="CY114" i="2"/>
  <c r="CY185" i="2"/>
  <c r="CY189" i="2"/>
  <c r="CY8" i="2"/>
  <c r="CY127" i="2"/>
  <c r="CY179" i="2"/>
  <c r="CY182" i="2"/>
  <c r="CY190" i="2"/>
  <c r="CY103" i="2"/>
  <c r="CY191" i="2"/>
  <c r="CY66" i="2"/>
  <c r="CY150" i="2"/>
  <c r="CY151" i="2"/>
  <c r="CY54" i="2"/>
  <c r="CY122" i="2"/>
  <c r="CY3" i="2"/>
  <c r="C10" i="4" s="1"/>
  <c r="E10" i="4" s="1"/>
  <c r="F10" i="4" s="1"/>
  <c r="G10" i="4" s="1"/>
  <c r="L10" i="4" s="1"/>
  <c r="CY40" i="2"/>
  <c r="CY199" i="2"/>
  <c r="CY63" i="2"/>
  <c r="CY43" i="2"/>
  <c r="CY121" i="2"/>
  <c r="CY72" i="2"/>
  <c r="CY7" i="2"/>
  <c r="CY11" i="2"/>
  <c r="CY107" i="2"/>
  <c r="CY83" i="2"/>
  <c r="CY19" i="2"/>
  <c r="CY31" i="2"/>
  <c r="CY168" i="2"/>
  <c r="CY34" i="2"/>
  <c r="CY20" i="2"/>
  <c r="CY12" i="2"/>
  <c r="CY134" i="2"/>
  <c r="CY173" i="2"/>
  <c r="CY152" i="2"/>
  <c r="CY45" i="2"/>
  <c r="CY81" i="2"/>
  <c r="CY10" i="2"/>
  <c r="CY96" i="2"/>
  <c r="CY49" i="2"/>
  <c r="CY111" i="2"/>
  <c r="CY144" i="2"/>
  <c r="CY102" i="2"/>
  <c r="CY77" i="2"/>
  <c r="CY94" i="2"/>
  <c r="CY35" i="2"/>
  <c r="CY48" i="2"/>
  <c r="CY158" i="2"/>
  <c r="CY184" i="2"/>
  <c r="CY89" i="2"/>
  <c r="CY109" i="2"/>
  <c r="CY41" i="2"/>
  <c r="CY100" i="2"/>
  <c r="CY181" i="2"/>
  <c r="CY198" i="2"/>
  <c r="CY193" i="2"/>
  <c r="CY75" i="2"/>
  <c r="CY26" i="2"/>
  <c r="CY196" i="2"/>
  <c r="CY117" i="2"/>
  <c r="CY170" i="2"/>
  <c r="CY147" i="2"/>
  <c r="CY17" i="2"/>
  <c r="CY129" i="2"/>
  <c r="CY130" i="2"/>
  <c r="CY60" i="2"/>
  <c r="CY13" i="2"/>
  <c r="CY27" i="2"/>
  <c r="CY160" i="2"/>
  <c r="CY161" i="2"/>
  <c r="CY59" i="2"/>
  <c r="CY125" i="2"/>
  <c r="CY6" i="2"/>
  <c r="CY106" i="2"/>
  <c r="CY171" i="2"/>
  <c r="CY195" i="2"/>
  <c r="CY56" i="2"/>
  <c r="CY177" i="2"/>
  <c r="CY99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<sst xmlns="http://schemas.openxmlformats.org/spreadsheetml/2006/main" count="1174" uniqueCount="326">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</sst>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239.89963130204032</c:v>
                </c:pt>
                <c:pt idx="53">
                  <c:v>250.73733022777768</c:v>
                </c:pt>
                <c:pt idx="54">
                  <c:v>261.56441168915899</c:v>
                </c:pt>
                <c:pt idx="55">
                  <c:v>272.38137740343666</c:v>
                </c:pt>
                <c:pt idx="56">
                  <c:v>283.18868595745323</c:v>
                </c:pt>
                <c:pt idx="57">
                  <c:v>293.98675805542308</c:v>
                </c:pt>
                <c:pt idx="58">
                  <c:v>304.77598095482739</c:v>
                </c:pt>
                <c:pt idx="59">
                  <c:v>315.55671224092112</c:v>
                </c:pt>
                <c:pt idx="60">
                  <c:v>326.32928305815631</c:v>
                </c:pt>
                <c:pt idx="61">
                  <c:v>337.09400089238392</c:v>
                </c:pt>
                <c:pt idx="62">
                  <c:v>347.85115197892782</c:v>
                </c:pt>
                <c:pt idx="63">
                  <c:v>358.60100339709646</c:v>
                </c:pt>
                <c:pt idx="64">
                  <c:v>260.16574342755524</c:v>
                </c:pt>
                <c:pt idx="65">
                  <c:v>270.03856838682231</c:v>
                </c:pt>
                <c:pt idx="66">
                  <c:v>279.90327150057988</c:v>
                </c:pt>
                <c:pt idx="67">
                  <c:v>289.76017957093472</c:v>
                </c:pt>
                <c:pt idx="68">
                  <c:v>299.60959533432202</c:v>
                </c:pt>
                <c:pt idx="69">
                  <c:v>309.4517999837621</c:v>
                </c:pt>
                <c:pt idx="70">
                  <c:v>319.28705535324553</c:v>
                </c:pt>
                <c:pt idx="71">
                  <c:v>329.1156058187384</c:v>
                </c:pt>
                <c:pt idx="72">
                  <c:v>338.93767996010916</c:v>
                </c:pt>
                <c:pt idx="73">
                  <c:v>348.75349202024881</c:v>
                </c:pt>
                <c:pt idx="74">
                  <c:v>358.56324319126111</c:v>
                </c:pt>
                <c:pt idx="75">
                  <c:v>368.367122752488</c:v>
                </c:pt>
                <c:pt idx="76">
                  <c:v>291.98679373574424</c:v>
                </c:pt>
                <c:pt idx="77">
                  <c:v>301.01220487244694</c:v>
                </c:pt>
                <c:pt idx="78">
                  <c:v>310.031591827932</c:v>
                </c:pt>
                <c:pt idx="79">
                  <c:v>319.04515470328221</c:v>
                </c:pt>
                <c:pt idx="80">
                  <c:v>328.0530813618015</c:v>
                </c:pt>
                <c:pt idx="81">
                  <c:v>337.05554850027073</c:v>
                </c:pt>
                <c:pt idx="82">
                  <c:v>346.05272259970707</c:v>
                </c:pt>
                <c:pt idx="83">
                  <c:v>355.04476077203134</c:v>
                </c:pt>
                <c:pt idx="84">
                  <c:v>364.03181151643639</c:v>
                </c:pt>
                <c:pt idx="85">
                  <c:v>373.0140153971318</c:v>
                </c:pt>
                <c:pt idx="86">
                  <c:v>381.99150565236943</c:v>
                </c:pt>
                <c:pt idx="87">
                  <c:v>390.96440874320461</c:v>
                </c:pt>
                <c:pt idx="88">
                  <c:v>316.25819110098661</c:v>
                </c:pt>
                <c:pt idx="89">
                  <c:v>324.4045219570105</c:v>
                </c:pt>
                <c:pt idx="90">
                  <c:v>332.54633237194383</c:v>
                </c:pt>
                <c:pt idx="91">
                  <c:v>340.68374872160194</c:v>
                </c:pt>
                <c:pt idx="92">
                  <c:v>348.81689084712229</c:v>
                </c:pt>
                <c:pt idx="93">
                  <c:v>356.94587254069387</c:v>
                </c:pt>
                <c:pt idx="94">
                  <c:v>365.07080198470561</c:v>
                </c:pt>
                <c:pt idx="95">
                  <c:v>373.19178214973607</c:v>
                </c:pt>
                <c:pt idx="96">
                  <c:v>381.30891115607625</c:v>
                </c:pt>
                <c:pt idx="97">
                  <c:v>389.4222826028456</c:v>
                </c:pt>
                <c:pt idx="98">
                  <c:v>397.53198586823692</c:v>
                </c:pt>
                <c:pt idx="99">
                  <c:v>405.6381063839724</c:v>
                </c:pt>
                <c:pt idx="100">
                  <c:v>212.56848233940431</c:v>
                </c:pt>
                <c:pt idx="101">
                  <c:v>218.27904148126387</c:v>
                </c:pt>
                <c:pt idx="102">
                  <c:v>223.98616720918039</c:v>
                </c:pt>
                <c:pt idx="103">
                  <c:v>229.68995950268229</c:v>
                </c:pt>
                <c:pt idx="104">
                  <c:v>235.39051296187952</c:v>
                </c:pt>
                <c:pt idx="105">
                  <c:v>241.08791722313939</c:v>
                </c:pt>
                <c:pt idx="106">
                  <c:v>246.78225733335694</c:v>
                </c:pt>
                <c:pt idx="107">
                  <c:v>252.47361408782808</c:v>
                </c:pt>
                <c:pt idx="108">
                  <c:v>258.16206433602196</c:v>
                </c:pt>
                <c:pt idx="109">
                  <c:v>263.8476812589596</c:v>
                </c:pt>
                <c:pt idx="110">
                  <c:v>6.0761376450252565E-12</c:v>
                </c:pt>
                <c:pt idx="111">
                  <c:v>6.0761376450252565E-12</c:v>
                </c:pt>
                <c:pt idx="112">
                  <c:v>6.0761376450252565E-12</c:v>
                </c:pt>
                <c:pt idx="113">
                  <c:v>6.0761376450252565E-12</c:v>
                </c:pt>
                <c:pt idx="114">
                  <c:v>6.0761376450252565E-12</c:v>
                </c:pt>
                <c:pt idx="115">
                  <c:v>6.0761376450252565E-12</c:v>
                </c:pt>
                <c:pt idx="116">
                  <c:v>6.0761376450252565E-12</c:v>
                </c:pt>
                <c:pt idx="117">
                  <c:v>6.0761376450252565E-12</c:v>
                </c:pt>
                <c:pt idx="118">
                  <c:v>6.0761376450252565E-12</c:v>
                </c:pt>
                <c:pt idx="119">
                  <c:v>6.0761376450252565E-12</c:v>
                </c:pt>
                <c:pt idx="120">
                  <c:v>6.0761376450252565E-12</c:v>
                </c:pt>
                <c:pt idx="121">
                  <c:v>6.0761376450252565E-12</c:v>
                </c:pt>
                <c:pt idx="122">
                  <c:v>6.0761376450252565E-12</c:v>
                </c:pt>
                <c:pt idx="123">
                  <c:v>6.0761376450252565E-12</c:v>
                </c:pt>
                <c:pt idx="124">
                  <c:v>6.0761376450252565E-12</c:v>
                </c:pt>
                <c:pt idx="125">
                  <c:v>6.0761376450252565E-12</c:v>
                </c:pt>
                <c:pt idx="126">
                  <c:v>6.0761376450252565E-12</c:v>
                </c:pt>
                <c:pt idx="127">
                  <c:v>6.0761376450252565E-12</c:v>
                </c:pt>
                <c:pt idx="128">
                  <c:v>6.0761376450252565E-12</c:v>
                </c:pt>
                <c:pt idx="129">
                  <c:v>6.0761376450252565E-12</c:v>
                </c:pt>
                <c:pt idx="130">
                  <c:v>6.0761376450252565E-12</c:v>
                </c:pt>
                <c:pt idx="131">
                  <c:v>6.0761376450252565E-12</c:v>
                </c:pt>
                <c:pt idx="132">
                  <c:v>6.0761376450252565E-12</c:v>
                </c:pt>
                <c:pt idx="133">
                  <c:v>6.0761376450252565E-12</c:v>
                </c:pt>
                <c:pt idx="134">
                  <c:v>6.0761376450252565E-12</c:v>
                </c:pt>
                <c:pt idx="135">
                  <c:v>6.0761376450252565E-12</c:v>
                </c:pt>
                <c:pt idx="136">
                  <c:v>6.0761376450252565E-12</c:v>
                </c:pt>
                <c:pt idx="137">
                  <c:v>6.0761376450252565E-12</c:v>
                </c:pt>
                <c:pt idx="138">
                  <c:v>6.0761376450252565E-12</c:v>
                </c:pt>
                <c:pt idx="139">
                  <c:v>6.0761376450252565E-12</c:v>
                </c:pt>
                <c:pt idx="140">
                  <c:v>6.0761376450252565E-12</c:v>
                </c:pt>
                <c:pt idx="141">
                  <c:v>6.0761376450252565E-12</c:v>
                </c:pt>
                <c:pt idx="142">
                  <c:v>6.0761376450252565E-12</c:v>
                </c:pt>
                <c:pt idx="143">
                  <c:v>6.0761376450252565E-12</c:v>
                </c:pt>
                <c:pt idx="144">
                  <c:v>6.0761376450252565E-12</c:v>
                </c:pt>
                <c:pt idx="145">
                  <c:v>6.0761376450252565E-12</c:v>
                </c:pt>
                <c:pt idx="146">
                  <c:v>6.0761376450252565E-12</c:v>
                </c:pt>
                <c:pt idx="147">
                  <c:v>6.0761376450252565E-12</c:v>
                </c:pt>
                <c:pt idx="148">
                  <c:v>6.0761376450252565E-12</c:v>
                </c:pt>
                <c:pt idx="149">
                  <c:v>6.0761376450252565E-12</c:v>
                </c:pt>
                <c:pt idx="150">
                  <c:v>6.0761376450252565E-12</c:v>
                </c:pt>
                <c:pt idx="151">
                  <c:v>6.0761376450252565E-12</c:v>
                </c:pt>
                <c:pt idx="152">
                  <c:v>6.0761376450252565E-12</c:v>
                </c:pt>
                <c:pt idx="153">
                  <c:v>6.0761376450252565E-12</c:v>
                </c:pt>
                <c:pt idx="154">
                  <c:v>6.0761376450252565E-12</c:v>
                </c:pt>
                <c:pt idx="155">
                  <c:v>6.0761376450252565E-12</c:v>
                </c:pt>
                <c:pt idx="156">
                  <c:v>6.0761376450252565E-12</c:v>
                </c:pt>
                <c:pt idx="157">
                  <c:v>6.0761376450252565E-12</c:v>
                </c:pt>
                <c:pt idx="158">
                  <c:v>6.0761376450252565E-12</c:v>
                </c:pt>
                <c:pt idx="159">
                  <c:v>6.0761376450252565E-12</c:v>
                </c:pt>
                <c:pt idx="160">
                  <c:v>6.0761376450252565E-12</c:v>
                </c:pt>
                <c:pt idx="161">
                  <c:v>6.0761376450252565E-12</c:v>
                </c:pt>
                <c:pt idx="162">
                  <c:v>6.0761376450252565E-12</c:v>
                </c:pt>
                <c:pt idx="163">
                  <c:v>6.0761376450252565E-12</c:v>
                </c:pt>
                <c:pt idx="164">
                  <c:v>6.0761376450252565E-12</c:v>
                </c:pt>
                <c:pt idx="165">
                  <c:v>6.0761376450252565E-12</c:v>
                </c:pt>
                <c:pt idx="166">
                  <c:v>6.0761376450252565E-12</c:v>
                </c:pt>
                <c:pt idx="167">
                  <c:v>6.0761376450252565E-12</c:v>
                </c:pt>
                <c:pt idx="168">
                  <c:v>6.0761376450252565E-12</c:v>
                </c:pt>
                <c:pt idx="169">
                  <c:v>6.0761376450252565E-12</c:v>
                </c:pt>
                <c:pt idx="170">
                  <c:v>6.0761376450252565E-12</c:v>
                </c:pt>
                <c:pt idx="171">
                  <c:v>6.0761376450252565E-12</c:v>
                </c:pt>
                <c:pt idx="172">
                  <c:v>6.0761376450252565E-12</c:v>
                </c:pt>
                <c:pt idx="173">
                  <c:v>6.0761376450252565E-12</c:v>
                </c:pt>
                <c:pt idx="174">
                  <c:v>6.0761376450252565E-12</c:v>
                </c:pt>
                <c:pt idx="175">
                  <c:v>6.0761376450252565E-12</c:v>
                </c:pt>
                <c:pt idx="176">
                  <c:v>6.0761376450252565E-12</c:v>
                </c:pt>
                <c:pt idx="177">
                  <c:v>6.0761376450252565E-12</c:v>
                </c:pt>
                <c:pt idx="178">
                  <c:v>6.0761376450252565E-12</c:v>
                </c:pt>
                <c:pt idx="179">
                  <c:v>6.0761376450252565E-12</c:v>
                </c:pt>
                <c:pt idx="180">
                  <c:v>6.0761376450252565E-12</c:v>
                </c:pt>
                <c:pt idx="181">
                  <c:v>6.0761376450252565E-12</c:v>
                </c:pt>
                <c:pt idx="182">
                  <c:v>6.0761376450252565E-12</c:v>
                </c:pt>
                <c:pt idx="183">
                  <c:v>6.0761376450252565E-12</c:v>
                </c:pt>
                <c:pt idx="184">
                  <c:v>6.0761376450252565E-12</c:v>
                </c:pt>
                <c:pt idx="185">
                  <c:v>6.0761376450252565E-12</c:v>
                </c:pt>
                <c:pt idx="186">
                  <c:v>6.0761376450252565E-12</c:v>
                </c:pt>
                <c:pt idx="187">
                  <c:v>6.0761376450252565E-12</c:v>
                </c:pt>
                <c:pt idx="188">
                  <c:v>6.0761376450252565E-12</c:v>
                </c:pt>
                <c:pt idx="189">
                  <c:v>6.0761376450252565E-12</c:v>
                </c:pt>
                <c:pt idx="190">
                  <c:v>6.0761376450252565E-12</c:v>
                </c:pt>
                <c:pt idx="191">
                  <c:v>6.0761376450252565E-12</c:v>
                </c:pt>
                <c:pt idx="192">
                  <c:v>6.0761376450252565E-12</c:v>
                </c:pt>
                <c:pt idx="193">
                  <c:v>6.0761376450252565E-12</c:v>
                </c:pt>
                <c:pt idx="194">
                  <c:v>6.0761376450252565E-12</c:v>
                </c:pt>
                <c:pt idx="195">
                  <c:v>6.0761376450252565E-12</c:v>
                </c:pt>
                <c:pt idx="196">
                  <c:v>6.0761376450252565E-12</c:v>
                </c:pt>
                <c:pt idx="197">
                  <c:v>6.0761376450252565E-12</c:v>
                </c:pt>
                <c:pt idx="198">
                  <c:v>6.0761376450252565E-12</c:v>
                </c:pt>
                <c:pt idx="199">
                  <c:v>6.0761376450252565E-12</c:v>
                </c:pt>
                <c:pt idx="200">
                  <c:v>6.0761376450252565E-12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2.1331506950396717</c:v>
                </c:pt>
                <c:pt idx="2">
                  <c:v>2.6873085043373757</c:v>
                </c:pt>
                <c:pt idx="3">
                  <c:v>3.3859956732303242</c:v>
                </c:pt>
                <c:pt idx="4">
                  <c:v>4.2670466336791462</c:v>
                </c:pt>
                <c:pt idx="5">
                  <c:v>5.3782342902694369</c:v>
                </c:pt>
                <c:pt idx="6">
                  <c:v>6.7798890692470613</c:v>
                </c:pt>
                <c:pt idx="7">
                  <c:v>8.5482101956432839</c:v>
                </c:pt>
                <c:pt idx="8">
                  <c:v>10.779452652918643</c:v>
                </c:pt>
                <c:pt idx="9">
                  <c:v>13.59522201845288</c:v>
                </c:pt>
                <c:pt idx="10">
                  <c:v>17.149171084619187</c:v>
                </c:pt>
                <c:pt idx="11">
                  <c:v>25.853796438624396</c:v>
                </c:pt>
                <c:pt idx="12">
                  <c:v>35.954302112242566</c:v>
                </c:pt>
                <c:pt idx="13">
                  <c:v>45.976451369424893</c:v>
                </c:pt>
                <c:pt idx="14">
                  <c:v>55.939937888059376</c:v>
                </c:pt>
                <c:pt idx="15">
                  <c:v>65.856755599682032</c:v>
                </c:pt>
                <c:pt idx="16">
                  <c:v>77.474616883044959</c:v>
                </c:pt>
                <c:pt idx="17">
                  <c:v>94.820374611380615</c:v>
                </c:pt>
                <c:pt idx="18">
                  <c:v>112.08679847851977</c:v>
                </c:pt>
                <c:pt idx="19">
                  <c:v>129.28787235572034</c:v>
                </c:pt>
                <c:pt idx="20">
                  <c:v>146.43353271796309</c:v>
                </c:pt>
                <c:pt idx="21">
                  <c:v>145.8628199290761</c:v>
                </c:pt>
                <c:pt idx="22">
                  <c:v>159.54570617746938</c:v>
                </c:pt>
                <c:pt idx="23">
                  <c:v>173.2007820387752</c:v>
                </c:pt>
                <c:pt idx="24">
                  <c:v>186.83055031316962</c:v>
                </c:pt>
                <c:pt idx="25">
                  <c:v>200.43711831314485</c:v>
                </c:pt>
                <c:pt idx="26">
                  <c:v>183.14152750501788</c:v>
                </c:pt>
                <c:pt idx="27">
                  <c:v>195.62066023538262</c:v>
                </c:pt>
                <c:pt idx="28">
                  <c:v>208.08130286734149</c:v>
                </c:pt>
                <c:pt idx="29">
                  <c:v>220.52471927666468</c:v>
                </c:pt>
                <c:pt idx="30">
                  <c:v>232.95201893246738</c:v>
                </c:pt>
                <c:pt idx="31">
                  <c:v>212.60811330323997</c:v>
                </c:pt>
                <c:pt idx="32">
                  <c:v>224.76305761819128</c:v>
                </c:pt>
                <c:pt idx="33">
                  <c:v>236.90294203691141</c:v>
                </c:pt>
                <c:pt idx="34">
                  <c:v>249.0286474244198</c:v>
                </c:pt>
                <c:pt idx="35">
                  <c:v>261.14096179913935</c:v>
                </c:pt>
                <c:pt idx="36">
                  <c:v>236.90294203691141</c:v>
                </c:pt>
                <c:pt idx="37">
                  <c:v>247.90125122366706</c:v>
                </c:pt>
                <c:pt idx="38">
                  <c:v>258.88848844639881</c:v>
                </c:pt>
                <c:pt idx="39">
                  <c:v>269.8651901159887</c:v>
                </c:pt>
                <c:pt idx="40">
                  <c:v>280.83184541341706</c:v>
                </c:pt>
                <c:pt idx="41">
                  <c:v>256.07227305218686</c:v>
                </c:pt>
                <c:pt idx="42">
                  <c:v>266.48883532607005</c:v>
                </c:pt>
                <c:pt idx="43">
                  <c:v>276.89622424264081</c:v>
                </c:pt>
                <c:pt idx="44">
                  <c:v>287.29483341742718</c:v>
                </c:pt>
                <c:pt idx="45">
                  <c:v>297.68502562639242</c:v>
                </c:pt>
                <c:pt idx="46">
                  <c:v>271.83429043682332</c:v>
                </c:pt>
                <c:pt idx="47">
                  <c:v>281.11291365958601</c:v>
                </c:pt>
                <c:pt idx="48">
                  <c:v>290.3846730326959</c:v>
                </c:pt>
                <c:pt idx="49">
                  <c:v>299.64981878720488</c:v>
                </c:pt>
                <c:pt idx="50">
                  <c:v>308.90858440452939</c:v>
                </c:pt>
                <c:pt idx="51">
                  <c:v>284.20425004649206</c:v>
                </c:pt>
                <c:pt idx="52">
                  <c:v>293.19298034625791</c:v>
                </c:pt>
                <c:pt idx="53">
                  <c:v>302.1755599747317</c:v>
                </c:pt>
                <c:pt idx="54">
                  <c:v>311.15219769628237</c:v>
                </c:pt>
                <c:pt idx="55">
                  <c:v>320.12308923699328</c:v>
                </c:pt>
                <c:pt idx="56">
                  <c:v>296.00068711359518</c:v>
                </c:pt>
                <c:pt idx="57">
                  <c:v>304.13970022013888</c:v>
                </c:pt>
                <c:pt idx="58">
                  <c:v>312.27386950303764</c:v>
                </c:pt>
                <c:pt idx="59">
                  <c:v>320.40333904330799</c:v>
                </c:pt>
                <c:pt idx="60">
                  <c:v>328.52824500736261</c:v>
                </c:pt>
                <c:pt idx="61">
                  <c:v>304.98138810771292</c:v>
                </c:pt>
                <c:pt idx="62">
                  <c:v>312.27386950303764</c:v>
                </c:pt>
                <c:pt idx="63">
                  <c:v>319.56257332567844</c:v>
                </c:pt>
                <c:pt idx="64">
                  <c:v>326.84759797683068</c:v>
                </c:pt>
                <c:pt idx="65">
                  <c:v>334.12903710888452</c:v>
                </c:pt>
                <c:pt idx="66">
                  <c:v>312.83467185841943</c:v>
                </c:pt>
                <c:pt idx="67">
                  <c:v>319.56257332567844</c:v>
                </c:pt>
                <c:pt idx="68">
                  <c:v>326.28733992743042</c:v>
                </c:pt>
                <c:pt idx="69">
                  <c:v>333.0090454577047</c:v>
                </c:pt>
                <c:pt idx="70">
                  <c:v>339.72776048524355</c:v>
                </c:pt>
                <c:pt idx="71">
                  <c:v>319.56257332567844</c:v>
                </c:pt>
                <c:pt idx="72">
                  <c:v>326.00720293449439</c:v>
                </c:pt>
                <c:pt idx="73">
                  <c:v>332.44901850357923</c:v>
                </c:pt>
                <c:pt idx="74">
                  <c:v>338.88808231320309</c:v>
                </c:pt>
                <c:pt idx="75">
                  <c:v>345.32445408122311</c:v>
                </c:pt>
                <c:pt idx="76">
                  <c:v>326.00720293449439</c:v>
                </c:pt>
                <c:pt idx="77">
                  <c:v>331.88897074380026</c:v>
                </c:pt>
                <c:pt idx="78">
                  <c:v>337.76844015494419</c:v>
                </c:pt>
                <c:pt idx="79">
                  <c:v>343.6456568677965</c:v>
                </c:pt>
                <c:pt idx="80">
                  <c:v>349.52066488969604</c:v>
                </c:pt>
                <c:pt idx="81">
                  <c:v>332.44901850357911</c:v>
                </c:pt>
                <c:pt idx="82">
                  <c:v>337.76844015494419</c:v>
                </c:pt>
                <c:pt idx="83">
                  <c:v>343.08601778170447</c:v>
                </c:pt>
                <c:pt idx="84">
                  <c:v>348.40178403373966</c:v>
                </c:pt>
                <c:pt idx="85">
                  <c:v>353.71577048208877</c:v>
                </c:pt>
                <c:pt idx="86">
                  <c:v>337.76844015494424</c:v>
                </c:pt>
                <c:pt idx="87">
                  <c:v>342.80619071488081</c:v>
                </c:pt>
                <c:pt idx="88">
                  <c:v>347.84231404401629</c:v>
                </c:pt>
                <c:pt idx="89">
                  <c:v>352.87683705646708</c:v>
                </c:pt>
                <c:pt idx="90">
                  <c:v>357.90978583474595</c:v>
                </c:pt>
                <c:pt idx="91">
                  <c:v>1.6615082531095774E-12</c:v>
                </c:pt>
                <c:pt idx="92">
                  <c:v>1.6615082531095774E-12</c:v>
                </c:pt>
                <c:pt idx="93">
                  <c:v>1.6615082531095774E-12</c:v>
                </c:pt>
                <c:pt idx="94">
                  <c:v>1.6615082531095774E-12</c:v>
                </c:pt>
                <c:pt idx="95">
                  <c:v>1.6615082531095774E-12</c:v>
                </c:pt>
                <c:pt idx="96">
                  <c:v>1.6615082531095774E-12</c:v>
                </c:pt>
                <c:pt idx="97">
                  <c:v>1.6615082531095774E-12</c:v>
                </c:pt>
                <c:pt idx="98">
                  <c:v>1.6615082531095774E-12</c:v>
                </c:pt>
                <c:pt idx="99">
                  <c:v>1.6615082531095774E-12</c:v>
                </c:pt>
                <c:pt idx="100">
                  <c:v>1.6615082531095774E-12</c:v>
                </c:pt>
                <c:pt idx="101">
                  <c:v>1.6615082531095774E-12</c:v>
                </c:pt>
                <c:pt idx="102">
                  <c:v>1.6615082531095774E-12</c:v>
                </c:pt>
                <c:pt idx="103">
                  <c:v>1.6615082531095774E-12</c:v>
                </c:pt>
                <c:pt idx="104">
                  <c:v>1.6615082531095774E-12</c:v>
                </c:pt>
                <c:pt idx="105">
                  <c:v>1.6615082531095774E-12</c:v>
                </c:pt>
                <c:pt idx="106">
                  <c:v>1.6615082531095774E-12</c:v>
                </c:pt>
                <c:pt idx="107">
                  <c:v>1.6615082531095774E-12</c:v>
                </c:pt>
                <c:pt idx="108">
                  <c:v>1.6615082531095774E-12</c:v>
                </c:pt>
                <c:pt idx="109">
                  <c:v>1.6615082531095774E-12</c:v>
                </c:pt>
                <c:pt idx="110">
                  <c:v>1.6615082531095774E-12</c:v>
                </c:pt>
                <c:pt idx="111">
                  <c:v>1.6615082531095774E-12</c:v>
                </c:pt>
                <c:pt idx="112">
                  <c:v>1.6615082531095774E-12</c:v>
                </c:pt>
                <c:pt idx="113">
                  <c:v>1.6615082531095774E-12</c:v>
                </c:pt>
                <c:pt idx="114">
                  <c:v>1.6615082531095774E-12</c:v>
                </c:pt>
                <c:pt idx="115">
                  <c:v>1.6615082531095774E-12</c:v>
                </c:pt>
                <c:pt idx="116">
                  <c:v>1.6615082531095774E-12</c:v>
                </c:pt>
                <c:pt idx="117">
                  <c:v>1.6615082531095774E-12</c:v>
                </c:pt>
                <c:pt idx="118">
                  <c:v>1.6615082531095774E-12</c:v>
                </c:pt>
                <c:pt idx="119">
                  <c:v>1.6615082531095774E-12</c:v>
                </c:pt>
                <c:pt idx="120">
                  <c:v>1.6615082531095774E-12</c:v>
                </c:pt>
                <c:pt idx="121">
                  <c:v>1.6615082531095774E-12</c:v>
                </c:pt>
                <c:pt idx="122">
                  <c:v>1.6615082531095774E-12</c:v>
                </c:pt>
                <c:pt idx="123">
                  <c:v>1.6615082531095774E-12</c:v>
                </c:pt>
                <c:pt idx="124">
                  <c:v>1.6615082531095774E-12</c:v>
                </c:pt>
                <c:pt idx="125">
                  <c:v>1.6615082531095774E-12</c:v>
                </c:pt>
                <c:pt idx="126">
                  <c:v>1.6615082531095774E-12</c:v>
                </c:pt>
                <c:pt idx="127">
                  <c:v>1.6615082531095774E-12</c:v>
                </c:pt>
                <c:pt idx="128">
                  <c:v>1.6615082531095774E-12</c:v>
                </c:pt>
                <c:pt idx="129">
                  <c:v>1.6615082531095774E-12</c:v>
                </c:pt>
                <c:pt idx="130">
                  <c:v>1.6615082531095774E-12</c:v>
                </c:pt>
                <c:pt idx="131">
                  <c:v>1.6615082531095774E-12</c:v>
                </c:pt>
                <c:pt idx="132">
                  <c:v>1.6615082531095774E-12</c:v>
                </c:pt>
                <c:pt idx="133">
                  <c:v>1.6615082531095774E-12</c:v>
                </c:pt>
                <c:pt idx="134">
                  <c:v>1.6615082531095774E-12</c:v>
                </c:pt>
                <c:pt idx="135">
                  <c:v>1.6615082531095774E-12</c:v>
                </c:pt>
                <c:pt idx="136">
                  <c:v>1.6615082531095774E-12</c:v>
                </c:pt>
                <c:pt idx="137">
                  <c:v>1.6615082531095774E-12</c:v>
                </c:pt>
                <c:pt idx="138">
                  <c:v>1.6615082531095774E-12</c:v>
                </c:pt>
                <c:pt idx="139">
                  <c:v>1.6615082531095774E-12</c:v>
                </c:pt>
                <c:pt idx="140">
                  <c:v>1.6615082531095774E-12</c:v>
                </c:pt>
                <c:pt idx="141">
                  <c:v>1.6615082531095774E-12</c:v>
                </c:pt>
                <c:pt idx="142">
                  <c:v>1.6615082531095774E-12</c:v>
                </c:pt>
                <c:pt idx="143">
                  <c:v>1.6615082531095774E-12</c:v>
                </c:pt>
                <c:pt idx="144">
                  <c:v>1.6615082531095774E-12</c:v>
                </c:pt>
                <c:pt idx="145">
                  <c:v>1.6615082531095774E-12</c:v>
                </c:pt>
                <c:pt idx="146">
                  <c:v>1.6615082531095774E-12</c:v>
                </c:pt>
                <c:pt idx="147">
                  <c:v>1.6615082531095774E-12</c:v>
                </c:pt>
                <c:pt idx="148">
                  <c:v>1.6615082531095774E-12</c:v>
                </c:pt>
                <c:pt idx="149">
                  <c:v>1.6615082531095774E-12</c:v>
                </c:pt>
                <c:pt idx="150">
                  <c:v>1.6615082531095774E-12</c:v>
                </c:pt>
                <c:pt idx="151">
                  <c:v>1.6615082531095774E-12</c:v>
                </c:pt>
                <c:pt idx="152">
                  <c:v>1.6615082531095774E-12</c:v>
                </c:pt>
                <c:pt idx="153">
                  <c:v>1.6615082531095774E-12</c:v>
                </c:pt>
                <c:pt idx="154">
                  <c:v>1.6615082531095774E-12</c:v>
                </c:pt>
                <c:pt idx="155">
                  <c:v>1.6615082531095774E-12</c:v>
                </c:pt>
                <c:pt idx="156">
                  <c:v>1.6615082531095774E-12</c:v>
                </c:pt>
                <c:pt idx="157">
                  <c:v>1.6615082531095774E-12</c:v>
                </c:pt>
                <c:pt idx="158">
                  <c:v>1.6615082531095774E-12</c:v>
                </c:pt>
                <c:pt idx="159">
                  <c:v>1.6615082531095774E-12</c:v>
                </c:pt>
                <c:pt idx="160">
                  <c:v>1.6615082531095774E-12</c:v>
                </c:pt>
                <c:pt idx="161">
                  <c:v>1.6615082531095774E-12</c:v>
                </c:pt>
                <c:pt idx="162">
                  <c:v>1.6615082531095774E-12</c:v>
                </c:pt>
                <c:pt idx="163">
                  <c:v>1.6615082531095774E-12</c:v>
                </c:pt>
                <c:pt idx="164">
                  <c:v>1.6615082531095774E-12</c:v>
                </c:pt>
                <c:pt idx="165">
                  <c:v>1.6615082531095774E-12</c:v>
                </c:pt>
                <c:pt idx="166">
                  <c:v>1.6615082531095774E-12</c:v>
                </c:pt>
                <c:pt idx="167">
                  <c:v>1.6615082531095774E-12</c:v>
                </c:pt>
                <c:pt idx="168">
                  <c:v>1.6615082531095774E-12</c:v>
                </c:pt>
                <c:pt idx="169">
                  <c:v>1.6615082531095774E-12</c:v>
                </c:pt>
                <c:pt idx="170">
                  <c:v>1.6615082531095774E-12</c:v>
                </c:pt>
                <c:pt idx="171">
                  <c:v>1.6615082531095774E-12</c:v>
                </c:pt>
                <c:pt idx="172">
                  <c:v>1.6615082531095774E-12</c:v>
                </c:pt>
                <c:pt idx="173">
                  <c:v>1.6615082531095774E-12</c:v>
                </c:pt>
                <c:pt idx="174">
                  <c:v>1.6615082531095774E-12</c:v>
                </c:pt>
                <c:pt idx="175">
                  <c:v>1.6615082531095774E-12</c:v>
                </c:pt>
                <c:pt idx="176">
                  <c:v>1.6615082531095774E-12</c:v>
                </c:pt>
                <c:pt idx="177">
                  <c:v>1.6615082531095774E-12</c:v>
                </c:pt>
                <c:pt idx="178">
                  <c:v>1.6615082531095774E-12</c:v>
                </c:pt>
                <c:pt idx="179">
                  <c:v>1.6615082531095774E-12</c:v>
                </c:pt>
                <c:pt idx="180">
                  <c:v>1.6615082531095774E-12</c:v>
                </c:pt>
                <c:pt idx="181">
                  <c:v>1.6615082531095774E-12</c:v>
                </c:pt>
                <c:pt idx="182">
                  <c:v>1.6615082531095774E-12</c:v>
                </c:pt>
                <c:pt idx="183">
                  <c:v>1.6615082531095774E-12</c:v>
                </c:pt>
                <c:pt idx="184">
                  <c:v>1.6615082531095774E-12</c:v>
                </c:pt>
                <c:pt idx="185">
                  <c:v>1.6615082531095774E-12</c:v>
                </c:pt>
                <c:pt idx="186">
                  <c:v>1.6615082531095774E-12</c:v>
                </c:pt>
                <c:pt idx="187">
                  <c:v>1.6615082531095774E-12</c:v>
                </c:pt>
                <c:pt idx="188">
                  <c:v>1.6615082531095774E-12</c:v>
                </c:pt>
                <c:pt idx="189">
                  <c:v>1.6615082531095774E-12</c:v>
                </c:pt>
                <c:pt idx="190">
                  <c:v>1.6615082531095774E-12</c:v>
                </c:pt>
                <c:pt idx="191">
                  <c:v>1.6615082531095774E-12</c:v>
                </c:pt>
                <c:pt idx="192">
                  <c:v>1.6615082531095774E-12</c:v>
                </c:pt>
                <c:pt idx="193">
                  <c:v>1.6615082531095774E-12</c:v>
                </c:pt>
                <c:pt idx="194">
                  <c:v>1.6615082531095774E-12</c:v>
                </c:pt>
                <c:pt idx="195">
                  <c:v>1.6615082531095774E-12</c:v>
                </c:pt>
                <c:pt idx="196">
                  <c:v>1.6615082531095774E-12</c:v>
                </c:pt>
                <c:pt idx="197">
                  <c:v>1.6615082531095774E-12</c:v>
                </c:pt>
                <c:pt idx="198">
                  <c:v>1.6615082531095774E-12</c:v>
                </c:pt>
                <c:pt idx="199">
                  <c:v>1.6615082531095774E-12</c:v>
                </c:pt>
                <c:pt idx="200">
                  <c:v>1.6615082531095774E-12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1.8657311255390123</c:v>
                </c:pt>
                <c:pt idx="2">
                  <c:v>2.2444369493147502</c:v>
                </c:pt>
                <c:pt idx="3">
                  <c:v>2.7003052100180258</c:v>
                </c:pt>
                <c:pt idx="4">
                  <c:v>3.2491144211917753</c:v>
                </c:pt>
                <c:pt idx="5">
                  <c:v>3.909880393761179</c:v>
                </c:pt>
                <c:pt idx="6">
                  <c:v>4.7055225101143057</c:v>
                </c:pt>
                <c:pt idx="7">
                  <c:v>5.6636675207308</c:v>
                </c:pt>
                <c:pt idx="8">
                  <c:v>6.8176193239321679</c:v>
                </c:pt>
                <c:pt idx="9">
                  <c:v>8.2075290935528908</c:v>
                </c:pt>
                <c:pt idx="10">
                  <c:v>9.8818072510996942</c:v>
                </c:pt>
                <c:pt idx="11">
                  <c:v>11.89882739400254</c:v>
                </c:pt>
                <c:pt idx="12">
                  <c:v>14.328982698959813</c:v>
                </c:pt>
                <c:pt idx="13">
                  <c:v>17.257167892761622</c:v>
                </c:pt>
                <c:pt idx="14">
                  <c:v>20.78577507397539</c:v>
                </c:pt>
                <c:pt idx="15">
                  <c:v>25.038310023465428</c:v>
                </c:pt>
                <c:pt idx="16">
                  <c:v>30.163757819928311</c:v>
                </c:pt>
                <c:pt idx="17">
                  <c:v>36.341853376424055</c:v>
                </c:pt>
                <c:pt idx="18">
                  <c:v>43.789444900038347</c:v>
                </c:pt>
                <c:pt idx="19">
                  <c:v>52.7681774158035</c:v>
                </c:pt>
                <c:pt idx="20">
                  <c:v>63.593770798274043</c:v>
                </c:pt>
                <c:pt idx="21">
                  <c:v>76.647223925169385</c:v>
                </c:pt>
                <c:pt idx="22">
                  <c:v>92.388345669585405</c:v>
                </c:pt>
                <c:pt idx="23">
                  <c:v>111.37209697436424</c:v>
                </c:pt>
                <c:pt idx="24">
                  <c:v>134.26832922028481</c:v>
                </c:pt>
                <c:pt idx="25">
                  <c:v>161.88562615625563</c:v>
                </c:pt>
                <c:pt idx="26">
                  <c:v>108.67947549487685</c:v>
                </c:pt>
                <c:pt idx="27">
                  <c:v>122.65426511689581</c:v>
                </c:pt>
                <c:pt idx="28">
                  <c:v>136.59032071725215</c:v>
                </c:pt>
                <c:pt idx="29">
                  <c:v>150.49215555311253</c:v>
                </c:pt>
                <c:pt idx="30">
                  <c:v>164.36337889956897</c:v>
                </c:pt>
                <c:pt idx="31">
                  <c:v>178.20494587049106</c:v>
                </c:pt>
                <c:pt idx="32">
                  <c:v>192.02131026541755</c:v>
                </c:pt>
                <c:pt idx="33">
                  <c:v>152.12058697210054</c:v>
                </c:pt>
                <c:pt idx="34">
                  <c:v>166.04135403257646</c:v>
                </c:pt>
                <c:pt idx="35">
                  <c:v>179.93456993941342</c:v>
                </c:pt>
                <c:pt idx="36">
                  <c:v>193.8026628338969</c:v>
                </c:pt>
                <c:pt idx="37">
                  <c:v>207.64768454143697</c:v>
                </c:pt>
                <c:pt idx="38">
                  <c:v>221.47139064921191</c:v>
                </c:pt>
                <c:pt idx="39">
                  <c:v>235.2752995011158</c:v>
                </c:pt>
                <c:pt idx="40">
                  <c:v>249.06073659797309</c:v>
                </c:pt>
                <c:pt idx="41">
                  <c:v>199.78285420191301</c:v>
                </c:pt>
                <c:pt idx="42">
                  <c:v>212.83113143496431</c:v>
                </c:pt>
                <c:pt idx="43">
                  <c:v>225.86098194539568</c:v>
                </c:pt>
                <c:pt idx="44">
                  <c:v>238.87361897896392</c:v>
                </c:pt>
                <c:pt idx="45">
                  <c:v>251.87011271015254</c:v>
                </c:pt>
                <c:pt idx="46">
                  <c:v>264.85141378468597</c:v>
                </c:pt>
                <c:pt idx="47">
                  <c:v>277.81837199973774</c:v>
                </c:pt>
                <c:pt idx="48">
                  <c:v>290.77175131080872</c:v>
                </c:pt>
                <c:pt idx="49">
                  <c:v>303.71224202243167</c:v>
                </c:pt>
                <c:pt idx="50">
                  <c:v>316.64047079111418</c:v>
                </c:pt>
                <c:pt idx="51">
                  <c:v>256.7146224069283</c:v>
                </c:pt>
                <c:pt idx="52">
                  <c:v>268.19619912778234</c:v>
                </c:pt>
                <c:pt idx="53">
                  <c:v>279.6667089960107</c:v>
                </c:pt>
                <c:pt idx="54">
                  <c:v>291.12667010921308</c:v>
                </c:pt>
                <c:pt idx="55">
                  <c:v>302.57655642348487</c:v>
                </c:pt>
                <c:pt idx="56">
                  <c:v>314.01680307817338</c:v>
                </c:pt>
                <c:pt idx="57">
                  <c:v>325.44781090364017</c:v>
                </c:pt>
                <c:pt idx="58">
                  <c:v>336.86995026227106</c:v>
                </c:pt>
                <c:pt idx="59">
                  <c:v>348.28356434107963</c:v>
                </c:pt>
                <c:pt idx="60">
                  <c:v>359.68897198998155</c:v>
                </c:pt>
                <c:pt idx="61">
                  <c:v>305.54805097224408</c:v>
                </c:pt>
                <c:pt idx="62">
                  <c:v>315.41431572975119</c:v>
                </c:pt>
                <c:pt idx="63">
                  <c:v>325.27374213915112</c:v>
                </c:pt>
                <c:pt idx="64">
                  <c:v>335.12656682526233</c:v>
                </c:pt>
                <c:pt idx="65">
                  <c:v>344.97301135541807</c:v>
                </c:pt>
                <c:pt idx="66">
                  <c:v>354.8132836093784</c:v>
                </c:pt>
                <c:pt idx="67">
                  <c:v>364.64757898926513</c:v>
                </c:pt>
                <c:pt idx="68">
                  <c:v>374.47608149210458</c:v>
                </c:pt>
                <c:pt idx="69">
                  <c:v>384.29896466384781</c:v>
                </c:pt>
                <c:pt idx="70">
                  <c:v>394.11639245072729</c:v>
                </c:pt>
                <c:pt idx="71">
                  <c:v>332.88562249920511</c:v>
                </c:pt>
                <c:pt idx="72">
                  <c:v>340.81394308562642</c:v>
                </c:pt>
                <c:pt idx="73">
                  <c:v>348.73820795545856</c:v>
                </c:pt>
                <c:pt idx="74">
                  <c:v>356.6585223377383</c:v>
                </c:pt>
                <c:pt idx="75">
                  <c:v>364.57498640280301</c:v>
                </c:pt>
                <c:pt idx="76">
                  <c:v>372.48769561245854</c:v>
                </c:pt>
                <c:pt idx="77">
                  <c:v>380.39674103882345</c:v>
                </c:pt>
                <c:pt idx="78">
                  <c:v>388.3022096552607</c:v>
                </c:pt>
                <c:pt idx="79">
                  <c:v>396.20418460236607</c:v>
                </c:pt>
                <c:pt idx="80">
                  <c:v>404.10274543162205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2.9357266861218037</c:v>
                </c:pt>
                <c:pt idx="2">
                  <c:v>3.3424849889673163</c:v>
                </c:pt>
                <c:pt idx="3">
                  <c:v>3.8058008068425271</c:v>
                </c:pt>
                <c:pt idx="4">
                  <c:v>4.3335643339958301</c:v>
                </c:pt>
                <c:pt idx="5">
                  <c:v>4.9347699327537597</c:v>
                </c:pt>
                <c:pt idx="6">
                  <c:v>5.6196710999568049</c:v>
                </c:pt>
                <c:pt idx="7">
                  <c:v>6.3999572405948522</c:v>
                </c:pt>
                <c:pt idx="8">
                  <c:v>7.2889553249393897</c:v>
                </c:pt>
                <c:pt idx="9">
                  <c:v>8.3018599404122622</c:v>
                </c:pt>
                <c:pt idx="10">
                  <c:v>9.4559957459935386</c:v>
                </c:pt>
                <c:pt idx="11">
                  <c:v>10.771116903900412</c:v>
                </c:pt>
                <c:pt idx="12">
                  <c:v>12.269748710554611</c:v>
                </c:pt>
                <c:pt idx="13">
                  <c:v>13.97757738790788</c:v>
                </c:pt>
                <c:pt idx="14">
                  <c:v>15.923894840046813</c:v>
                </c:pt>
                <c:pt idx="15">
                  <c:v>18.14210614353691</c:v>
                </c:pt>
                <c:pt idx="16">
                  <c:v>20.670308640196613</c:v>
                </c:pt>
                <c:pt idx="17">
                  <c:v>23.551952757340214</c:v>
                </c:pt>
                <c:pt idx="18">
                  <c:v>26.83659611518463</c:v>
                </c:pt>
                <c:pt idx="19">
                  <c:v>30.580764119427414</c:v>
                </c:pt>
                <c:pt idx="20">
                  <c:v>34.848932107930956</c:v>
                </c:pt>
                <c:pt idx="21">
                  <c:v>39.714646257072097</c:v>
                </c:pt>
                <c:pt idx="22">
                  <c:v>45.26180289343111</c:v>
                </c:pt>
                <c:pt idx="23">
                  <c:v>51.586108643277804</c:v>
                </c:pt>
                <c:pt idx="24">
                  <c:v>58.796747035092814</c:v>
                </c:pt>
                <c:pt idx="25">
                  <c:v>67.01828080549997</c:v>
                </c:pt>
                <c:pt idx="26">
                  <c:v>76.392823310869844</c:v>
                </c:pt>
                <c:pt idx="27">
                  <c:v>87.082517189057114</c:v>
                </c:pt>
                <c:pt idx="28">
                  <c:v>99.272363832309111</c:v>
                </c:pt>
                <c:pt idx="29">
                  <c:v>113.17345341938005</c:v>
                </c:pt>
                <c:pt idx="30">
                  <c:v>129.02665232203663</c:v>
                </c:pt>
                <c:pt idx="31">
                  <c:v>136.81528165968561</c:v>
                </c:pt>
                <c:pt idx="32">
                  <c:v>144.59324500766445</c:v>
                </c:pt>
                <c:pt idx="33">
                  <c:v>152.36119795120322</c:v>
                </c:pt>
                <c:pt idx="34">
                  <c:v>160.11972364110014</c:v>
                </c:pt>
                <c:pt idx="35">
                  <c:v>167.86934399798835</c:v>
                </c:pt>
                <c:pt idx="36">
                  <c:v>175.61052873487699</c:v>
                </c:pt>
                <c:pt idx="37">
                  <c:v>183.34370270231338</c:v>
                </c:pt>
                <c:pt idx="38">
                  <c:v>191.06925192712276</c:v>
                </c:pt>
                <c:pt idx="39">
                  <c:v>198.7875286216491</c:v>
                </c:pt>
                <c:pt idx="40">
                  <c:v>206.4988553730216</c:v>
                </c:pt>
                <c:pt idx="41">
                  <c:v>214.20352867293332</c:v>
                </c:pt>
                <c:pt idx="42">
                  <c:v>221.90182191224537</c:v>
                </c:pt>
                <c:pt idx="43">
                  <c:v>229.59398793770663</c:v>
                </c:pt>
                <c:pt idx="44">
                  <c:v>237.2802612476564</c:v>
                </c:pt>
                <c:pt idx="45">
                  <c:v>244.96085988798083</c:v>
                </c:pt>
                <c:pt idx="46">
                  <c:v>252.635987097558</c:v>
                </c:pt>
                <c:pt idx="47">
                  <c:v>260.30583274306031</c:v>
                </c:pt>
                <c:pt idx="48">
                  <c:v>267.970574575623</c:v>
                </c:pt>
                <c:pt idx="49">
                  <c:v>275.63037933606648</c:v>
                </c:pt>
                <c:pt idx="50">
                  <c:v>283.28540373071547</c:v>
                </c:pt>
                <c:pt idx="51">
                  <c:v>290.93579529612788</c:v>
                </c:pt>
                <c:pt idx="52">
                  <c:v>298.58169316803009</c:v>
                </c:pt>
                <c:pt idx="53">
                  <c:v>306.22322876730647</c:v>
                </c:pt>
                <c:pt idx="54">
                  <c:v>313.86052641387914</c:v>
                </c:pt>
                <c:pt idx="55">
                  <c:v>321.49370387766686</c:v>
                </c:pt>
                <c:pt idx="56">
                  <c:v>329.12287287444514</c:v>
                </c:pt>
                <c:pt idx="57">
                  <c:v>336.74813951329293</c:v>
                </c:pt>
                <c:pt idx="58">
                  <c:v>344.36960470136813</c:v>
                </c:pt>
                <c:pt idx="59">
                  <c:v>351.98736451095243</c:v>
                </c:pt>
                <c:pt idx="60">
                  <c:v>359.60151051304342</c:v>
                </c:pt>
                <c:pt idx="61">
                  <c:v>239.65763079047829</c:v>
                </c:pt>
                <c:pt idx="62">
                  <c:v>250.29875563419333</c:v>
                </c:pt>
                <c:pt idx="63">
                  <c:v>260.92962492745949</c:v>
                </c:pt>
                <c:pt idx="64">
                  <c:v>271.55071567647849</c:v>
                </c:pt>
                <c:pt idx="65">
                  <c:v>282.16246449976023</c:v>
                </c:pt>
                <c:pt idx="66">
                  <c:v>292.76527247089808</c:v>
                </c:pt>
                <c:pt idx="67">
                  <c:v>303.35950922259002</c:v>
                </c:pt>
                <c:pt idx="68">
                  <c:v>313.94551644699681</c:v>
                </c:pt>
                <c:pt idx="69">
                  <c:v>324.52361089901501</c:v>
                </c:pt>
                <c:pt idx="70">
                  <c:v>263.52451914491024</c:v>
                </c:pt>
                <c:pt idx="71">
                  <c:v>273.83096980460209</c:v>
                </c:pt>
                <c:pt idx="72">
                  <c:v>284.12870421334037</c:v>
                </c:pt>
                <c:pt idx="73">
                  <c:v>294.41808301264064</c:v>
                </c:pt>
                <c:pt idx="74">
                  <c:v>304.69943956164957</c:v>
                </c:pt>
                <c:pt idx="75">
                  <c:v>314.97308287190276</c:v>
                </c:pt>
                <c:pt idx="76">
                  <c:v>325.23930013893636</c:v>
                </c:pt>
                <c:pt idx="77">
                  <c:v>335.49835893737014</c:v>
                </c:pt>
                <c:pt idx="78">
                  <c:v>290.29185731139825</c:v>
                </c:pt>
                <c:pt idx="79">
                  <c:v>300.51065563682647</c:v>
                </c:pt>
                <c:pt idx="80">
                  <c:v>310.72171748839673</c:v>
                </c:pt>
                <c:pt idx="81">
                  <c:v>320.9253330950076</c:v>
                </c:pt>
                <c:pt idx="82">
                  <c:v>331.12177271296383</c:v>
                </c:pt>
                <c:pt idx="83">
                  <c:v>341.3112885864204</c:v>
                </c:pt>
                <c:pt idx="84">
                  <c:v>351.49411666137439</c:v>
                </c:pt>
                <c:pt idx="85">
                  <c:v>361.67047809057527</c:v>
                </c:pt>
                <c:pt idx="86">
                  <c:v>371.84058056014806</c:v>
                </c:pt>
                <c:pt idx="87">
                  <c:v>322.27826615596018</c:v>
                </c:pt>
                <c:pt idx="88">
                  <c:v>332.4413636701284</c:v>
                </c:pt>
                <c:pt idx="89">
                  <c:v>342.59761264396167</c:v>
                </c:pt>
                <c:pt idx="90">
                  <c:v>352.74724482572805</c:v>
                </c:pt>
                <c:pt idx="91">
                  <c:v>362.89047753245654</c:v>
                </c:pt>
                <c:pt idx="92">
                  <c:v>373.02751493554325</c:v>
                </c:pt>
                <c:pt idx="93">
                  <c:v>383.15854919926636</c:v>
                </c:pt>
                <c:pt idx="94">
                  <c:v>393.2837614925615</c:v>
                </c:pt>
                <c:pt idx="95">
                  <c:v>403.40332289113798</c:v>
                </c:pt>
                <c:pt idx="96">
                  <c:v>347.31168734827003</c:v>
                </c:pt>
                <c:pt idx="97">
                  <c:v>357.43829042692528</c:v>
                </c:pt>
                <c:pt idx="98">
                  <c:v>367.55861487745022</c:v>
                </c:pt>
                <c:pt idx="99">
                  <c:v>377.67285802342764</c:v>
                </c:pt>
                <c:pt idx="100">
                  <c:v>387.7812057526728</c:v>
                </c:pt>
                <c:pt idx="101">
                  <c:v>397.88383346723111</c:v>
                </c:pt>
                <c:pt idx="102">
                  <c:v>407.98090693183048</c:v>
                </c:pt>
                <c:pt idx="103">
                  <c:v>418.07258303393786</c:v>
                </c:pt>
                <c:pt idx="104">
                  <c:v>428.15901046658536</c:v>
                </c:pt>
                <c:pt idx="105">
                  <c:v>377.35428098270216</c:v>
                </c:pt>
                <c:pt idx="106">
                  <c:v>387.57355812070523</c:v>
                </c:pt>
                <c:pt idx="107">
                  <c:v>397.78698558711693</c:v>
                </c:pt>
                <c:pt idx="108">
                  <c:v>407.99473480257501</c:v>
                </c:pt>
                <c:pt idx="109">
                  <c:v>418.19696790736407</c:v>
                </c:pt>
                <c:pt idx="110">
                  <c:v>428.3938384828445</c:v>
                </c:pt>
                <c:pt idx="111">
                  <c:v>438.5854922006011</c:v>
                </c:pt>
                <c:pt idx="112">
                  <c:v>448.77206740809862</c:v>
                </c:pt>
                <c:pt idx="113">
                  <c:v>458.95369565838268</c:v>
                </c:pt>
                <c:pt idx="114">
                  <c:v>405.5055545462472</c:v>
                </c:pt>
                <c:pt idx="115">
                  <c:v>415.84734082410722</c:v>
                </c:pt>
                <c:pt idx="116">
                  <c:v>426.18358264363542</c:v>
                </c:pt>
                <c:pt idx="117">
                  <c:v>436.51443346692912</c:v>
                </c:pt>
                <c:pt idx="118">
                  <c:v>446.84003889785134</c:v>
                </c:pt>
                <c:pt idx="119">
                  <c:v>457.16053726060562</c:v>
                </c:pt>
                <c:pt idx="120">
                  <c:v>467.47606012333722</c:v>
                </c:pt>
                <c:pt idx="121">
                  <c:v>477.78673277310827</c:v>
                </c:pt>
                <c:pt idx="122">
                  <c:v>488.09267464773296</c:v>
                </c:pt>
                <c:pt idx="123">
                  <c:v>428.96293960788489</c:v>
                </c:pt>
                <c:pt idx="124">
                  <c:v>439.41937921174161</c:v>
                </c:pt>
                <c:pt idx="125">
                  <c:v>449.87048418482055</c:v>
                </c:pt>
                <c:pt idx="126">
                  <c:v>460.3163959521865</c:v>
                </c:pt>
                <c:pt idx="127">
                  <c:v>470.75724899553057</c:v>
                </c:pt>
                <c:pt idx="128">
                  <c:v>481.19317134379156</c:v>
                </c:pt>
                <c:pt idx="129">
                  <c:v>491.62428501899507</c:v>
                </c:pt>
                <c:pt idx="130">
                  <c:v>502.05070644228527</c:v>
                </c:pt>
                <c:pt idx="131">
                  <c:v>512.47254680447202</c:v>
                </c:pt>
                <c:pt idx="132">
                  <c:v>522.88991240486519</c:v>
                </c:pt>
                <c:pt idx="133">
                  <c:v>460.27777810259181</c:v>
                </c:pt>
                <c:pt idx="134">
                  <c:v>471.00538627645864</c:v>
                </c:pt>
                <c:pt idx="135">
                  <c:v>481.72779225062283</c:v>
                </c:pt>
                <c:pt idx="136">
                  <c:v>492.44512814905892</c:v>
                </c:pt>
                <c:pt idx="137">
                  <c:v>503.15751987533787</c:v>
                </c:pt>
                <c:pt idx="138">
                  <c:v>513.86508753450607</c:v>
                </c:pt>
                <c:pt idx="139">
                  <c:v>524.56794581797351</c:v>
                </c:pt>
                <c:pt idx="140">
                  <c:v>535.26620435535676</c:v>
                </c:pt>
                <c:pt idx="141">
                  <c:v>545.95996803673404</c:v>
                </c:pt>
                <c:pt idx="142">
                  <c:v>556.6493373083398</c:v>
                </c:pt>
                <c:pt idx="143">
                  <c:v>567.33440844436973</c:v>
                </c:pt>
                <c:pt idx="144">
                  <c:v>578.01527379724826</c:v>
                </c:pt>
                <c:pt idx="145">
                  <c:v>498.01420759591838</c:v>
                </c:pt>
                <c:pt idx="146">
                  <c:v>508.95001550958813</c:v>
                </c:pt>
                <c:pt idx="147">
                  <c:v>519.88085896348161</c:v>
                </c:pt>
                <c:pt idx="148">
                  <c:v>530.8068570494296</c:v>
                </c:pt>
                <c:pt idx="149">
                  <c:v>541.72812355693145</c:v>
                </c:pt>
                <c:pt idx="150">
                  <c:v>552.64476731363641</c:v>
                </c:pt>
                <c:pt idx="151">
                  <c:v>563.55689249752947</c:v>
                </c:pt>
                <c:pt idx="152">
                  <c:v>574.46459892368227</c:v>
                </c:pt>
                <c:pt idx="153">
                  <c:v>585.36798230809757</c:v>
                </c:pt>
                <c:pt idx="154">
                  <c:v>596.26713451087926</c:v>
                </c:pt>
                <c:pt idx="155">
                  <c:v>607.16214376070036</c:v>
                </c:pt>
                <c:pt idx="156">
                  <c:v>618.05309486232807</c:v>
                </c:pt>
                <c:pt idx="157">
                  <c:v>531.86218464204364</c:v>
                </c:pt>
                <c:pt idx="158">
                  <c:v>542.97541565347672</c:v>
                </c:pt>
                <c:pt idx="159">
                  <c:v>554.08387209255022</c:v>
                </c:pt>
                <c:pt idx="160">
                  <c:v>565.18766316247775</c:v>
                </c:pt>
                <c:pt idx="161">
                  <c:v>576.28689342629832</c:v>
                </c:pt>
                <c:pt idx="162">
                  <c:v>587.38166309150915</c:v>
                </c:pt>
                <c:pt idx="163">
                  <c:v>598.47206827207674</c:v>
                </c:pt>
                <c:pt idx="164">
                  <c:v>609.55820123002434</c:v>
                </c:pt>
                <c:pt idx="165">
                  <c:v>620.64015059853523</c:v>
                </c:pt>
                <c:pt idx="166">
                  <c:v>631.7180015882966</c:v>
                </c:pt>
                <c:pt idx="167">
                  <c:v>642.79183617862429</c:v>
                </c:pt>
                <c:pt idx="168">
                  <c:v>653.86173329473513</c:v>
                </c:pt>
                <c:pt idx="169">
                  <c:v>559.89559531759733</c:v>
                </c:pt>
                <c:pt idx="170">
                  <c:v>570.98211315756112</c:v>
                </c:pt>
                <c:pt idx="171">
                  <c:v>582.06413510165692</c:v>
                </c:pt>
                <c:pt idx="172">
                  <c:v>593.14175879821289</c:v>
                </c:pt>
                <c:pt idx="173">
                  <c:v>604.21507795145487</c:v>
                </c:pt>
                <c:pt idx="174">
                  <c:v>615.28418255170516</c:v>
                </c:pt>
                <c:pt idx="175">
                  <c:v>626.34915908815663</c:v>
                </c:pt>
                <c:pt idx="176">
                  <c:v>637.41009074583883</c:v>
                </c:pt>
                <c:pt idx="177">
                  <c:v>648.46705758820269</c:v>
                </c:pt>
                <c:pt idx="178">
                  <c:v>659.5201367266128</c:v>
                </c:pt>
                <c:pt idx="179">
                  <c:v>670.56940247788987</c:v>
                </c:pt>
                <c:pt idx="180">
                  <c:v>681.61492651093317</c:v>
                </c:pt>
                <c:pt idx="181">
                  <c:v>431.01129319859047</c:v>
                </c:pt>
                <c:pt idx="182">
                  <c:v>437.97800342889974</c:v>
                </c:pt>
                <c:pt idx="183">
                  <c:v>444.94233677396716</c:v>
                </c:pt>
                <c:pt idx="184">
                  <c:v>451.90433570830754</c:v>
                </c:pt>
                <c:pt idx="185">
                  <c:v>306.95375278353657</c:v>
                </c:pt>
                <c:pt idx="186">
                  <c:v>311.46823334103169</c:v>
                </c:pt>
                <c:pt idx="187">
                  <c:v>315.9812618953091</c:v>
                </c:pt>
                <c:pt idx="188">
                  <c:v>320.49286214330687</c:v>
                </c:pt>
                <c:pt idx="189">
                  <c:v>216.03168153907419</c:v>
                </c:pt>
                <c:pt idx="190">
                  <c:v>218.95318284987923</c:v>
                </c:pt>
                <c:pt idx="191">
                  <c:v>221.87378839586509</c:v>
                </c:pt>
                <c:pt idx="192">
                  <c:v>8.1199906998785446E-12</c:v>
                </c:pt>
                <c:pt idx="193">
                  <c:v>8.1199906998785446E-12</c:v>
                </c:pt>
                <c:pt idx="194">
                  <c:v>8.1199906998785446E-12</c:v>
                </c:pt>
                <c:pt idx="195">
                  <c:v>8.1199906998785446E-12</c:v>
                </c:pt>
                <c:pt idx="196">
                  <c:v>8.1199906998785446E-12</c:v>
                </c:pt>
                <c:pt idx="197">
                  <c:v>8.1199906998785446E-12</c:v>
                </c:pt>
                <c:pt idx="198">
                  <c:v>8.1199906998785446E-12</c:v>
                </c:pt>
                <c:pt idx="199">
                  <c:v>8.1199906998785446E-12</c:v>
                </c:pt>
                <c:pt idx="200">
                  <c:v>8.1199906998785446E-12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2.1728865530609904</c:v>
                </c:pt>
                <c:pt idx="2">
                  <c:v>2.5020750524075739</c:v>
                </c:pt>
                <c:pt idx="3">
                  <c:v>2.8813160471891153</c:v>
                </c:pt>
                <c:pt idx="4">
                  <c:v>3.3182459713472077</c:v>
                </c:pt>
                <c:pt idx="5">
                  <c:v>3.8216700721237102</c:v>
                </c:pt>
                <c:pt idx="6">
                  <c:v>4.4017418391849237</c:v>
                </c:pt>
                <c:pt idx="7">
                  <c:v>5.0701700545988864</c:v>
                </c:pt>
                <c:pt idx="8">
                  <c:v>5.8404577263374691</c:v>
                </c:pt>
                <c:pt idx="9">
                  <c:v>6.7281778273525523</c:v>
                </c:pt>
                <c:pt idx="10">
                  <c:v>7.7512915238656204</c:v>
                </c:pt>
                <c:pt idx="11">
                  <c:v>8.9305154561876599</c:v>
                </c:pt>
                <c:pt idx="12">
                  <c:v>10.289745651495487</c:v>
                </c:pt>
                <c:pt idx="13">
                  <c:v>11.856546821731341</c:v>
                </c:pt>
                <c:pt idx="14">
                  <c:v>13.662717155662767</c:v>
                </c:pt>
                <c:pt idx="15">
                  <c:v>15.744940280453227</c:v>
                </c:pt>
                <c:pt idx="16">
                  <c:v>31.827511830988218</c:v>
                </c:pt>
                <c:pt idx="17">
                  <c:v>47.675662369557671</c:v>
                </c:pt>
                <c:pt idx="18">
                  <c:v>63.381438285738369</c:v>
                </c:pt>
                <c:pt idx="19">
                  <c:v>78.985658686980315</c:v>
                </c:pt>
                <c:pt idx="20">
                  <c:v>94.511374358021442</c:v>
                </c:pt>
                <c:pt idx="21">
                  <c:v>76.715364108786517</c:v>
                </c:pt>
                <c:pt idx="22">
                  <c:v>92.897294511118176</c:v>
                </c:pt>
                <c:pt idx="23">
                  <c:v>109.00863948066892</c:v>
                </c:pt>
                <c:pt idx="24">
                  <c:v>125.0613334299279</c:v>
                </c:pt>
                <c:pt idx="25">
                  <c:v>141.06397957573768</c:v>
                </c:pt>
                <c:pt idx="26">
                  <c:v>123.13779916137918</c:v>
                </c:pt>
                <c:pt idx="27">
                  <c:v>138.82636237378588</c:v>
                </c:pt>
                <c:pt idx="28">
                  <c:v>154.47231428643084</c:v>
                </c:pt>
                <c:pt idx="29">
                  <c:v>170.08058240428804</c:v>
                </c:pt>
                <c:pt idx="30">
                  <c:v>185.65511405728049</c:v>
                </c:pt>
                <c:pt idx="31">
                  <c:v>165.94304898048827</c:v>
                </c:pt>
                <c:pt idx="32">
                  <c:v>179.61979491259879</c:v>
                </c:pt>
                <c:pt idx="33">
                  <c:v>193.27214793812971</c:v>
                </c:pt>
                <c:pt idx="34">
                  <c:v>206.90207469254884</c:v>
                </c:pt>
                <c:pt idx="35">
                  <c:v>220.51126127527388</c:v>
                </c:pt>
                <c:pt idx="36">
                  <c:v>199.29733339063125</c:v>
                </c:pt>
                <c:pt idx="37">
                  <c:v>211.33517469493427</c:v>
                </c:pt>
                <c:pt idx="38">
                  <c:v>223.35721067093763</c:v>
                </c:pt>
                <c:pt idx="39">
                  <c:v>235.364412380365</c:v>
                </c:pt>
                <c:pt idx="40">
                  <c:v>247.35764363735254</c:v>
                </c:pt>
                <c:pt idx="41">
                  <c:v>224.30567506188856</c:v>
                </c:pt>
                <c:pt idx="42">
                  <c:v>234.41699401886561</c:v>
                </c:pt>
                <c:pt idx="43">
                  <c:v>244.51836163877581</c:v>
                </c:pt>
                <c:pt idx="44">
                  <c:v>254.61024730171837</c:v>
                </c:pt>
                <c:pt idx="45">
                  <c:v>264.69308010810488</c:v>
                </c:pt>
                <c:pt idx="46">
                  <c:v>245.1493776406445</c:v>
                </c:pt>
                <c:pt idx="47">
                  <c:v>253.97977393337041</c:v>
                </c:pt>
                <c:pt idx="48">
                  <c:v>262.8032199612822</c:v>
                </c:pt>
                <c:pt idx="49">
                  <c:v>271.61998220138389</c:v>
                </c:pt>
                <c:pt idx="50">
                  <c:v>280.43030840202363</c:v>
                </c:pt>
                <c:pt idx="51">
                  <c:v>267.52730047282165</c:v>
                </c:pt>
                <c:pt idx="52">
                  <c:v>275.08193620220914</c:v>
                </c:pt>
                <c:pt idx="53">
                  <c:v>282.63191172516548</c:v>
                </c:pt>
                <c:pt idx="54">
                  <c:v>290.17736922706069</c:v>
                </c:pt>
                <c:pt idx="55">
                  <c:v>297.71844288716278</c:v>
                </c:pt>
                <c:pt idx="56">
                  <c:v>286.71958663192925</c:v>
                </c:pt>
                <c:pt idx="57">
                  <c:v>293.00577861515382</c:v>
                </c:pt>
                <c:pt idx="58">
                  <c:v>299.28895999218298</c:v>
                </c:pt>
                <c:pt idx="59">
                  <c:v>305.5692029643111</c:v>
                </c:pt>
                <c:pt idx="60">
                  <c:v>311.84657651907304</c:v>
                </c:pt>
                <c:pt idx="61">
                  <c:v>303.05745389934469</c:v>
                </c:pt>
                <c:pt idx="62">
                  <c:v>308.39437214044113</c:v>
                </c:pt>
                <c:pt idx="63">
                  <c:v>313.72923898847586</c:v>
                </c:pt>
                <c:pt idx="64">
                  <c:v>319.06209429744712</c:v>
                </c:pt>
                <c:pt idx="65">
                  <c:v>324.39297647857364</c:v>
                </c:pt>
                <c:pt idx="66">
                  <c:v>315.92536197736791</c:v>
                </c:pt>
                <c:pt idx="67">
                  <c:v>320.00298051488551</c:v>
                </c:pt>
                <c:pt idx="68">
                  <c:v>324.07944912345584</c:v>
                </c:pt>
                <c:pt idx="69">
                  <c:v>328.15478433188844</c:v>
                </c:pt>
                <c:pt idx="70">
                  <c:v>332.22900222431537</c:v>
                </c:pt>
                <c:pt idx="71">
                  <c:v>326.90095477924802</c:v>
                </c:pt>
                <c:pt idx="72">
                  <c:v>330.9755147741165</c:v>
                </c:pt>
                <c:pt idx="73">
                  <c:v>335.04896833683739</c:v>
                </c:pt>
                <c:pt idx="74">
                  <c:v>339.12133083817082</c:v>
                </c:pt>
                <c:pt idx="75">
                  <c:v>343.19261724903942</c:v>
                </c:pt>
                <c:pt idx="76">
                  <c:v>335.98884058698269</c:v>
                </c:pt>
                <c:pt idx="77">
                  <c:v>339.74775226555522</c:v>
                </c:pt>
                <c:pt idx="78">
                  <c:v>343.50574897575694</c:v>
                </c:pt>
                <c:pt idx="79">
                  <c:v>347.26284215565846</c:v>
                </c:pt>
                <c:pt idx="80">
                  <c:v>351.01904297525965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233.28890252169242</c:v>
                </c:pt>
                <c:pt idx="31">
                  <c:v>251.71680248926407</c:v>
                </c:pt>
                <c:pt idx="32">
                  <c:v>270.11413614057147</c:v>
                </c:pt>
                <c:pt idx="33">
                  <c:v>288.48327791636194</c:v>
                </c:pt>
                <c:pt idx="34">
                  <c:v>306.82627511870436</c:v>
                </c:pt>
                <c:pt idx="35">
                  <c:v>325.1449102589736</c:v>
                </c:pt>
                <c:pt idx="36">
                  <c:v>343.44074860711925</c:v>
                </c:pt>
                <c:pt idx="37">
                  <c:v>277.64048093700984</c:v>
                </c:pt>
                <c:pt idx="38">
                  <c:v>294.48954060352389</c:v>
                </c:pt>
                <c:pt idx="39">
                  <c:v>311.31709651831682</c:v>
                </c:pt>
                <c:pt idx="40">
                  <c:v>328.12447444010149</c:v>
                </c:pt>
                <c:pt idx="41">
                  <c:v>344.91285322325467</c:v>
                </c:pt>
                <c:pt idx="42">
                  <c:v>361.68328760369945</c:v>
                </c:pt>
                <c:pt idx="43">
                  <c:v>378.43672653622258</c:v>
                </c:pt>
                <c:pt idx="44">
                  <c:v>395.17402811417611</c:v>
                </c:pt>
                <c:pt idx="45">
                  <c:v>327.78033099259113</c:v>
                </c:pt>
                <c:pt idx="46">
                  <c:v>342.6549145898793</c:v>
                </c:pt>
                <c:pt idx="47">
                  <c:v>357.51530938507523</c:v>
                </c:pt>
                <c:pt idx="48">
                  <c:v>372.36218816092611</c:v>
                </c:pt>
                <c:pt idx="49">
                  <c:v>387.19616567314262</c:v>
                </c:pt>
                <c:pt idx="50">
                  <c:v>402.01780573308969</c:v>
                </c:pt>
                <c:pt idx="51">
                  <c:v>416.82762719136485</c:v>
                </c:pt>
                <c:pt idx="52">
                  <c:v>431.62610902660231</c:v>
                </c:pt>
                <c:pt idx="53">
                  <c:v>366.26587036399206</c:v>
                </c:pt>
                <c:pt idx="54">
                  <c:v>379.56512784230654</c:v>
                </c:pt>
                <c:pt idx="55">
                  <c:v>392.85424897119771</c:v>
                </c:pt>
                <c:pt idx="56">
                  <c:v>406.13362494673294</c:v>
                </c:pt>
                <c:pt idx="57">
                  <c:v>419.40361929545043</c:v>
                </c:pt>
                <c:pt idx="58">
                  <c:v>432.66457066342656</c:v>
                </c:pt>
                <c:pt idx="59">
                  <c:v>445.9167952455723</c:v>
                </c:pt>
                <c:pt idx="60">
                  <c:v>459.16058891110237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DORE%20Beno&#238;t/Devis_finaux/Calculateur_RE_OKLIMA_v4.3_DORE.xlsx" TargetMode="External"/><Relationship Id="rId1" Type="http://schemas.openxmlformats.org/officeDocument/2006/relationships/externalLinkPath" Target="https://oklima1.sharepoint.com/sites/TeamOklima/Shared%20Documents/03%20-%20D&#233;veloppement/1%20-%20FORET/1%20-%20PROJETS/DORE%20Beno&#238;t/Devis_finaux/Calculateur_RE_OKLIMA_v4.3_DO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Financement"/>
      <sheetName val="Communes Francaises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/>
      <sheetData sheetId="1">
        <row r="34">
          <cell r="D34" t="str">
            <v>Cèdre de l'Atlas</v>
          </cell>
          <cell r="E34">
            <v>0.13</v>
          </cell>
        </row>
        <row r="35">
          <cell r="D35" t="str">
            <v>Aulne glutineux</v>
          </cell>
          <cell r="E35">
            <v>0.04</v>
          </cell>
        </row>
        <row r="36">
          <cell r="D36" t="str">
            <v>Douglas</v>
          </cell>
          <cell r="E36">
            <v>0.55000000000000004</v>
          </cell>
        </row>
        <row r="37">
          <cell r="D37" t="str">
            <v>Pin laricio</v>
          </cell>
          <cell r="E37">
            <v>0.11</v>
          </cell>
        </row>
        <row r="38">
          <cell r="D38" t="str">
            <v>Chêne pubescent</v>
          </cell>
          <cell r="E38">
            <v>0.05</v>
          </cell>
        </row>
        <row r="39">
          <cell r="D39" t="str">
            <v>Châtaignier</v>
          </cell>
          <cell r="E39">
            <v>0.05</v>
          </cell>
        </row>
        <row r="40">
          <cell r="D40" t="str">
            <v>Pin maritime</v>
          </cell>
          <cell r="E40">
            <v>7.0000000000000007E-2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3984375" defaultRowHeight="14.4" x14ac:dyDescent="0.3"/>
  <cols>
    <col min="1" max="1" width="6.69921875" customWidth="1"/>
    <col min="2" max="13" width="15.8984375" customWidth="1"/>
  </cols>
  <sheetData>
    <row r="12" spans="2:13" ht="15" customHeight="1" x14ac:dyDescent="0.3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1.95" customHeight="1" x14ac:dyDescent="0.3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1.95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1.95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1.95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1.95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1.95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1.95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1.95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1.95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1.95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1.95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1.95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1.95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1.95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7" zoomScale="80" zoomScaleNormal="80" workbookViewId="0">
      <selection activeCell="F78" sqref="F78"/>
    </sheetView>
  </sheetViews>
  <sheetFormatPr baseColWidth="10" defaultColWidth="11.3984375" defaultRowHeight="14.4" x14ac:dyDescent="0.3"/>
  <cols>
    <col min="1" max="1" width="13.69921875" style="23" customWidth="1"/>
    <col min="2" max="2" width="36.09765625" style="23" customWidth="1"/>
    <col min="3" max="3" width="14.8984375" style="23" bestFit="1" customWidth="1"/>
    <col min="4" max="4" width="16.3984375" style="23" customWidth="1"/>
    <col min="5" max="5" width="23.296875" style="23" customWidth="1"/>
    <col min="6" max="6" width="28.8984375" style="23" bestFit="1" customWidth="1"/>
    <col min="7" max="8" width="14.69921875" style="23" customWidth="1"/>
    <col min="9" max="9" width="17" style="23" customWidth="1"/>
    <col min="10" max="10" width="13.8984375" style="23" customWidth="1"/>
    <col min="11" max="16384" width="11.3984375" style="23"/>
  </cols>
  <sheetData>
    <row r="1" spans="1:38" x14ac:dyDescent="0.3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35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95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95" x14ac:dyDescent="0.3">
      <c r="A5" s="268" t="s">
        <v>7</v>
      </c>
      <c r="B5" s="268"/>
      <c r="C5" s="24">
        <v>10.2752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95" x14ac:dyDescent="0.3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tr">
        <f>[1]CO2!D34</f>
        <v>Cèdre de l'Atlas</v>
      </c>
      <c r="C9" s="32">
        <f>[1]CO2!E34</f>
        <v>0.13</v>
      </c>
      <c r="D9" s="33">
        <f t="shared" ref="D9:D18" si="0">C9*$C$5</f>
        <v>1.3357760000000001</v>
      </c>
      <c r="E9" s="34">
        <v>109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17</v>
      </c>
      <c r="B10" s="31" t="str">
        <f>[1]CO2!D35</f>
        <v>Aulne glutineux</v>
      </c>
      <c r="C10" s="32">
        <f>[1]CO2!E35</f>
        <v>0.04</v>
      </c>
      <c r="D10" s="33">
        <f t="shared" si="0"/>
        <v>0.41100799999999998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18</v>
      </c>
      <c r="B11" s="31" t="str">
        <f>[1]CO2!D36</f>
        <v>Douglas</v>
      </c>
      <c r="C11" s="32">
        <f>[1]CO2!E36</f>
        <v>0.55000000000000004</v>
      </c>
      <c r="D11" s="33">
        <f t="shared" si="0"/>
        <v>5.6513600000000004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19</v>
      </c>
      <c r="B12" s="31" t="str">
        <f>[1]CO2!D37</f>
        <v>Pin laricio</v>
      </c>
      <c r="C12" s="32">
        <f>[1]CO2!E37</f>
        <v>0.11</v>
      </c>
      <c r="D12" s="33">
        <f t="shared" si="0"/>
        <v>1.1302719999999999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20</v>
      </c>
      <c r="B13" s="31" t="str">
        <f>[1]CO2!D38</f>
        <v>Chêne pubescent</v>
      </c>
      <c r="C13" s="32">
        <f>[1]CO2!E38</f>
        <v>0.05</v>
      </c>
      <c r="D13" s="33">
        <f t="shared" si="0"/>
        <v>0.51375999999999999</v>
      </c>
      <c r="E13" s="34">
        <v>191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21</v>
      </c>
      <c r="B14" s="31" t="str">
        <f>[1]CO2!D39</f>
        <v>Châtaignier</v>
      </c>
      <c r="C14" s="32">
        <f>[1]CO2!E39</f>
        <v>0.05</v>
      </c>
      <c r="D14" s="33">
        <f t="shared" si="0"/>
        <v>0.51375999999999999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22</v>
      </c>
      <c r="B15" s="31" t="str">
        <f>[1]CO2!D40</f>
        <v>Pin maritime</v>
      </c>
      <c r="C15" s="32">
        <f>[1]CO2!E40</f>
        <v>7.0000000000000007E-2</v>
      </c>
      <c r="D15" s="33">
        <f t="shared" si="0"/>
        <v>0.71926400000000001</v>
      </c>
      <c r="E15" s="34">
        <v>60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26</v>
      </c>
      <c r="C19" s="37">
        <f>SUM(C9:C18)</f>
        <v>1.0000000000000002</v>
      </c>
      <c r="D19" s="38">
        <f>SUM(D9:D18)</f>
        <v>10.2752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.35" x14ac:dyDescent="0.4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33</v>
      </c>
      <c r="B26" s="42" t="s">
        <v>34</v>
      </c>
      <c r="C26" s="43">
        <v>0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.35" x14ac:dyDescent="0.3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Cèdre de l'Atlas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8" x14ac:dyDescent="0.3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30</v>
      </c>
      <c r="B36" s="60">
        <v>103.27692307692307</v>
      </c>
      <c r="C36" s="60" t="s">
        <v>53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3.4425641025641025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51</v>
      </c>
      <c r="B37" s="60">
        <v>321.8384615384615</v>
      </c>
      <c r="C37" s="60">
        <v>1</v>
      </c>
      <c r="D37" s="60">
        <v>100.30769230769231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10.407692307692306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63</v>
      </c>
      <c r="B38" s="60">
        <v>350.69230769230768</v>
      </c>
      <c r="C38" s="60">
        <v>2</v>
      </c>
      <c r="D38" s="60">
        <v>108.08461538461538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10.763461538461542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75</v>
      </c>
      <c r="B39" s="60">
        <v>360.47692307692307</v>
      </c>
      <c r="C39" s="60">
        <v>3</v>
      </c>
      <c r="D39" s="60">
        <v>85.361538461538458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9.8224358974358967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87</v>
      </c>
      <c r="B40" s="60">
        <v>383.13846153846151</v>
      </c>
      <c r="C40" s="60">
        <v>4</v>
      </c>
      <c r="D40" s="60">
        <v>82.938461538461524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9.001923076923072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99</v>
      </c>
      <c r="B41" s="60">
        <v>397.8692307692308</v>
      </c>
      <c r="C41" s="60">
        <v>5</v>
      </c>
      <c r="D41" s="60">
        <v>198.32307692307691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8.1391025641025667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109</v>
      </c>
      <c r="B42" s="60">
        <v>256.09230769230771</v>
      </c>
      <c r="C42" s="60">
        <v>6</v>
      </c>
      <c r="D42" s="60">
        <v>256.09230769230771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5.6546153846153828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17</v>
      </c>
      <c r="B58" s="52" t="str">
        <f>IF(B10="","",B10)</f>
        <v>Aulne glutineux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8" x14ac:dyDescent="0.3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11</v>
      </c>
      <c r="C62" s="60">
        <v>1</v>
      </c>
      <c r="D62" s="60">
        <v>1</v>
      </c>
      <c r="E62" s="51">
        <v>0</v>
      </c>
      <c r="F62" s="51">
        <v>0.1</v>
      </c>
      <c r="G62" s="51">
        <v>0.3</v>
      </c>
      <c r="H62" s="51">
        <v>0.6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44</v>
      </c>
      <c r="C63" s="60">
        <v>2</v>
      </c>
      <c r="D63" s="60">
        <v>4</v>
      </c>
      <c r="E63" s="51">
        <v>0</v>
      </c>
      <c r="F63" s="51">
        <v>0.1</v>
      </c>
      <c r="G63" s="51">
        <v>0.3</v>
      </c>
      <c r="H63" s="51">
        <v>0.6</v>
      </c>
      <c r="I63" s="49">
        <f>IF(A63&lt;&gt;0,(B63-(B62-D62))/(A63-A62),"")</f>
        <v>6.8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100</v>
      </c>
      <c r="C64" s="60">
        <v>3</v>
      </c>
      <c r="D64" s="60">
        <v>10</v>
      </c>
      <c r="E64" s="51">
        <v>0</v>
      </c>
      <c r="F64" s="51">
        <v>0.1</v>
      </c>
      <c r="G64" s="51">
        <v>0.3</v>
      </c>
      <c r="H64" s="51">
        <v>0.6</v>
      </c>
      <c r="I64" s="49">
        <f>IF(A64&lt;&gt;0,(B64-(B63-D63))/(A64-A63),"")</f>
        <v>12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138</v>
      </c>
      <c r="C65" s="60">
        <v>4</v>
      </c>
      <c r="D65" s="60">
        <v>21</v>
      </c>
      <c r="E65" s="51">
        <v>0</v>
      </c>
      <c r="F65" s="51">
        <v>0.1</v>
      </c>
      <c r="G65" s="51">
        <v>0.3</v>
      </c>
      <c r="H65" s="51">
        <v>0.6</v>
      </c>
      <c r="I65" s="49">
        <f>IF(A65&lt;&gt;0,(B65-(B64-D64))/(A65-A64),"")</f>
        <v>9.6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161</v>
      </c>
      <c r="C66" s="60">
        <v>5</v>
      </c>
      <c r="D66" s="60">
        <v>23</v>
      </c>
      <c r="E66" s="51">
        <v>0</v>
      </c>
      <c r="F66" s="51">
        <v>0.1</v>
      </c>
      <c r="G66" s="51">
        <v>0.3</v>
      </c>
      <c r="H66" s="51">
        <v>0.6</v>
      </c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181</v>
      </c>
      <c r="C67" s="60">
        <v>6</v>
      </c>
      <c r="D67" s="60">
        <v>25</v>
      </c>
      <c r="E67" s="51">
        <v>0</v>
      </c>
      <c r="F67" s="51">
        <v>0.1</v>
      </c>
      <c r="G67" s="51">
        <v>0.3</v>
      </c>
      <c r="H67" s="51">
        <v>0.6</v>
      </c>
      <c r="I67" s="49">
        <f t="shared" si="2"/>
        <v>8.6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195</v>
      </c>
      <c r="C68" s="60">
        <v>7</v>
      </c>
      <c r="D68" s="60">
        <v>25</v>
      </c>
      <c r="E68" s="51">
        <v>0</v>
      </c>
      <c r="F68" s="51">
        <v>0.1</v>
      </c>
      <c r="G68" s="51">
        <v>0.3</v>
      </c>
      <c r="H68" s="51">
        <v>0.6</v>
      </c>
      <c r="I68" s="49">
        <f t="shared" si="2"/>
        <v>7.8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207</v>
      </c>
      <c r="C69" s="50">
        <v>8</v>
      </c>
      <c r="D69" s="50">
        <v>25</v>
      </c>
      <c r="E69" s="51">
        <v>0</v>
      </c>
      <c r="F69" s="51">
        <v>0.3</v>
      </c>
      <c r="G69" s="51">
        <v>0.3</v>
      </c>
      <c r="H69" s="51">
        <v>0.4</v>
      </c>
      <c r="I69" s="49">
        <f t="shared" si="2"/>
        <v>7.4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215</v>
      </c>
      <c r="C70" s="50">
        <v>9</v>
      </c>
      <c r="D70" s="50">
        <v>24</v>
      </c>
      <c r="E70" s="51">
        <v>0</v>
      </c>
      <c r="F70" s="51">
        <v>0.3</v>
      </c>
      <c r="G70" s="51">
        <v>0.3</v>
      </c>
      <c r="H70" s="51">
        <v>0.4</v>
      </c>
      <c r="I70" s="49">
        <f t="shared" si="2"/>
        <v>6.6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v>223</v>
      </c>
      <c r="C71" s="50">
        <v>10</v>
      </c>
      <c r="D71" s="50">
        <v>23</v>
      </c>
      <c r="E71" s="51">
        <v>0</v>
      </c>
      <c r="F71" s="51">
        <v>0.3</v>
      </c>
      <c r="G71" s="51">
        <v>0.3</v>
      </c>
      <c r="H71" s="51">
        <v>0.4</v>
      </c>
      <c r="I71" s="49">
        <f t="shared" si="2"/>
        <v>6.4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229</v>
      </c>
      <c r="C72" s="50">
        <v>11</v>
      </c>
      <c r="D72" s="50">
        <v>22</v>
      </c>
      <c r="E72" s="51">
        <v>0</v>
      </c>
      <c r="F72" s="51">
        <v>0.3</v>
      </c>
      <c r="G72" s="51">
        <v>0.3</v>
      </c>
      <c r="H72" s="51">
        <v>0.4</v>
      </c>
      <c r="I72" s="49">
        <f t="shared" si="2"/>
        <v>5.8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v>233</v>
      </c>
      <c r="C73" s="50">
        <v>12</v>
      </c>
      <c r="D73" s="50">
        <v>20</v>
      </c>
      <c r="E73" s="51">
        <v>0.1</v>
      </c>
      <c r="F73" s="51">
        <v>0.4</v>
      </c>
      <c r="G73" s="51">
        <v>0.3</v>
      </c>
      <c r="H73" s="51">
        <v>0.2</v>
      </c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237</v>
      </c>
      <c r="C74" s="50">
        <v>13</v>
      </c>
      <c r="D74" s="50">
        <v>19</v>
      </c>
      <c r="E74" s="51">
        <v>0.1</v>
      </c>
      <c r="F74" s="51">
        <v>0.4</v>
      </c>
      <c r="G74" s="51">
        <v>0.3</v>
      </c>
      <c r="H74" s="51">
        <v>0.2</v>
      </c>
      <c r="I74" s="49">
        <f t="shared" si="2"/>
        <v>4.8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v>241</v>
      </c>
      <c r="C75" s="50">
        <v>14</v>
      </c>
      <c r="D75" s="50">
        <v>18</v>
      </c>
      <c r="E75" s="51">
        <v>0.1</v>
      </c>
      <c r="F75" s="51">
        <v>0.4</v>
      </c>
      <c r="G75" s="51">
        <v>0.3</v>
      </c>
      <c r="H75" s="51">
        <v>0.2</v>
      </c>
      <c r="I75" s="49">
        <f t="shared" si="2"/>
        <v>4.5999999999999996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v>244</v>
      </c>
      <c r="C76" s="50">
        <v>15</v>
      </c>
      <c r="D76" s="50">
        <v>16</v>
      </c>
      <c r="E76" s="51">
        <v>0.2</v>
      </c>
      <c r="F76" s="51">
        <v>0.5</v>
      </c>
      <c r="G76" s="51">
        <v>0.2</v>
      </c>
      <c r="H76" s="51">
        <v>0.1</v>
      </c>
      <c r="I76" s="49">
        <f t="shared" si="2"/>
        <v>4.2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85</v>
      </c>
      <c r="B77" s="50">
        <v>247</v>
      </c>
      <c r="C77" s="50">
        <v>16</v>
      </c>
      <c r="D77" s="50">
        <v>15</v>
      </c>
      <c r="E77" s="51">
        <v>0.2</v>
      </c>
      <c r="F77" s="51">
        <v>0.5</v>
      </c>
      <c r="G77" s="51">
        <v>0.2</v>
      </c>
      <c r="H77" s="51">
        <v>0.1</v>
      </c>
      <c r="I77" s="49">
        <f t="shared" si="2"/>
        <v>3.8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90</v>
      </c>
      <c r="B78" s="50">
        <v>250</v>
      </c>
      <c r="C78" s="50">
        <v>17</v>
      </c>
      <c r="D78" s="50">
        <v>250</v>
      </c>
      <c r="E78" s="51">
        <v>0.2</v>
      </c>
      <c r="F78" s="51">
        <v>0.5</v>
      </c>
      <c r="G78" s="51">
        <v>0.2</v>
      </c>
      <c r="H78" s="51">
        <v>0.1</v>
      </c>
      <c r="I78" s="49">
        <f t="shared" si="2"/>
        <v>3.6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18</v>
      </c>
      <c r="B84" s="52" t="str">
        <f>IF(B11="","",B11)</f>
        <v>Douglas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8" x14ac:dyDescent="0.3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19</v>
      </c>
      <c r="B88" s="60">
        <v>162</v>
      </c>
      <c r="C88" s="60">
        <v>0</v>
      </c>
      <c r="D88" s="60">
        <v>0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8.526315789473685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25</v>
      </c>
      <c r="B89" s="60">
        <v>335</v>
      </c>
      <c r="C89" s="60">
        <v>1</v>
      </c>
      <c r="D89" s="60">
        <v>54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28.833333333333332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421</v>
      </c>
      <c r="C90" s="60">
        <v>2</v>
      </c>
      <c r="D90" s="60">
        <v>54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28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35</v>
      </c>
      <c r="B91" s="60">
        <v>505</v>
      </c>
      <c r="C91" s="60">
        <v>3</v>
      </c>
      <c r="D91" s="60">
        <v>69</v>
      </c>
      <c r="E91" s="87">
        <v>0.7</v>
      </c>
      <c r="F91" s="87">
        <v>0.16800000000000001</v>
      </c>
      <c r="G91" s="87">
        <v>0.13200000000000001</v>
      </c>
      <c r="H91" s="87">
        <v>0</v>
      </c>
      <c r="I91" s="53">
        <f t="shared" si="3"/>
        <v>27.6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40</v>
      </c>
      <c r="B92" s="60">
        <v>564</v>
      </c>
      <c r="C92" s="60">
        <v>4</v>
      </c>
      <c r="D92" s="60">
        <v>72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25.6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45</v>
      </c>
      <c r="B93" s="60">
        <v>606</v>
      </c>
      <c r="C93" s="60">
        <v>5</v>
      </c>
      <c r="D93" s="60">
        <v>66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22.8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50</v>
      </c>
      <c r="B94" s="60">
        <v>629</v>
      </c>
      <c r="C94" s="60">
        <v>6</v>
      </c>
      <c r="D94" s="60">
        <v>48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17.8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55</v>
      </c>
      <c r="B95" s="60">
        <v>650</v>
      </c>
      <c r="C95" s="60">
        <v>7</v>
      </c>
      <c r="D95" s="60">
        <v>35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13.8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60</v>
      </c>
      <c r="B96" s="60">
        <v>666</v>
      </c>
      <c r="C96" s="60" t="s">
        <v>54</v>
      </c>
      <c r="D96" s="60">
        <v>666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10.199999999999999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19</v>
      </c>
      <c r="B110" s="52" t="str">
        <f>IF(B12="","",B12)</f>
        <v>Pin laricio</v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8" x14ac:dyDescent="0.3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121.44615384615383</v>
      </c>
      <c r="C114" s="50">
        <v>1</v>
      </c>
      <c r="D114" s="60">
        <v>51.446153846153841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4.857846153846153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123.35384615384616</v>
      </c>
      <c r="C115" s="50" t="s">
        <v>53</v>
      </c>
      <c r="D115" s="60">
        <v>0</v>
      </c>
      <c r="E115" s="51">
        <v>0</v>
      </c>
      <c r="F115" s="51">
        <v>0</v>
      </c>
      <c r="G115" s="51">
        <v>0</v>
      </c>
      <c r="H115" s="51">
        <v>0</v>
      </c>
      <c r="I115" s="53">
        <f t="shared" ref="I115:I133" si="4">IF(A115&lt;&gt;0,(B115-(B114-D114))/(A115-A114),"")</f>
        <v>10.670769230769233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32</v>
      </c>
      <c r="B116" s="60">
        <v>144.69230769230768</v>
      </c>
      <c r="C116" s="50">
        <v>2</v>
      </c>
      <c r="D116" s="60">
        <v>41.469230769230762</v>
      </c>
      <c r="E116" s="51">
        <v>0.7</v>
      </c>
      <c r="F116" s="51">
        <v>0.16800000000000001</v>
      </c>
      <c r="G116" s="51">
        <v>0.13200000000000001</v>
      </c>
      <c r="H116" s="51">
        <v>0</v>
      </c>
      <c r="I116" s="53">
        <f t="shared" si="4"/>
        <v>10.669230769230758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188.91538461538462</v>
      </c>
      <c r="C117" s="50">
        <v>3</v>
      </c>
      <c r="D117" s="60">
        <v>48.323076923076918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10.711538461538463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241.60769230769233</v>
      </c>
      <c r="C118" s="50">
        <v>4</v>
      </c>
      <c r="D118" s="60">
        <v>55.676923076923075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10.101538461538462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60</v>
      </c>
      <c r="B119" s="60">
        <v>275.30769230769226</v>
      </c>
      <c r="C119" s="50">
        <v>5</v>
      </c>
      <c r="D119" s="60">
        <v>50.076923076923073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8.9376923076922985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70</v>
      </c>
      <c r="B120" s="60">
        <v>302.32307692307694</v>
      </c>
      <c r="C120" s="60">
        <v>6</v>
      </c>
      <c r="D120" s="60">
        <v>54.215384615384615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7.709230769230774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80</v>
      </c>
      <c r="B121" s="60">
        <v>310.16923076923081</v>
      </c>
      <c r="C121" s="60">
        <v>7</v>
      </c>
      <c r="D121" s="60">
        <v>310.16923076923081</v>
      </c>
      <c r="E121" s="87">
        <v>0.7</v>
      </c>
      <c r="F121" s="87">
        <v>0.16800000000000001</v>
      </c>
      <c r="G121" s="87">
        <v>0.13200000000000001</v>
      </c>
      <c r="H121" s="87">
        <v>0</v>
      </c>
      <c r="I121" s="53">
        <f t="shared" si="4"/>
        <v>6.2061538461538479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20</v>
      </c>
      <c r="B136" s="52" t="str">
        <f>IF(B13="","",B13)</f>
        <v>Chêne pubescent</v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8" x14ac:dyDescent="0.3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v>56.743589743589737</v>
      </c>
      <c r="C140" s="50" t="s">
        <v>53</v>
      </c>
      <c r="D140" s="60">
        <v>0</v>
      </c>
      <c r="E140" s="51">
        <v>0</v>
      </c>
      <c r="F140" s="51">
        <v>0</v>
      </c>
      <c r="G140" s="51">
        <v>0</v>
      </c>
      <c r="H140" s="51">
        <v>0</v>
      </c>
      <c r="I140" s="57">
        <f>IFERROR(B140/A140,"")</f>
        <v>1.8914529914529912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60</v>
      </c>
      <c r="B141" s="60">
        <v>162.32051282051282</v>
      </c>
      <c r="C141" s="50">
        <v>1</v>
      </c>
      <c r="D141" s="60">
        <v>60.096153846153847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3.5192307692307692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69</v>
      </c>
      <c r="B142" s="60">
        <v>146.12179487179489</v>
      </c>
      <c r="C142" s="50">
        <v>2</v>
      </c>
      <c r="D142" s="60">
        <v>32.807692307692307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4.8774928774928794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77</v>
      </c>
      <c r="B143" s="60">
        <v>151.18589743589743</v>
      </c>
      <c r="C143" s="50">
        <v>3</v>
      </c>
      <c r="D143" s="60">
        <v>25.53846153846154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4.7339743589743559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86</v>
      </c>
      <c r="B144" s="60">
        <v>167.98076923076923</v>
      </c>
      <c r="C144" s="50">
        <v>4</v>
      </c>
      <c r="D144" s="60">
        <v>27.583333333333332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4.7037037037037051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95</v>
      </c>
      <c r="B145" s="60">
        <v>182.59615384615387</v>
      </c>
      <c r="C145" s="50">
        <v>5</v>
      </c>
      <c r="D145" s="60">
        <v>30.634615384615383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4.6887464387464428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104</v>
      </c>
      <c r="B146" s="60">
        <v>194.07692307692307</v>
      </c>
      <c r="C146" s="50">
        <v>6</v>
      </c>
      <c r="D146" s="60">
        <v>28.275641025641026</v>
      </c>
      <c r="E146" s="51">
        <v>0.7</v>
      </c>
      <c r="F146" s="51">
        <v>0</v>
      </c>
      <c r="G146" s="51">
        <v>0</v>
      </c>
      <c r="H146" s="51">
        <v>0.3</v>
      </c>
      <c r="I146" s="57">
        <f t="shared" si="5"/>
        <v>4.6794871794871762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113</v>
      </c>
      <c r="B147" s="60">
        <v>208.37820512820511</v>
      </c>
      <c r="C147" s="50">
        <v>7</v>
      </c>
      <c r="D147" s="60">
        <v>29.602564102564102</v>
      </c>
      <c r="E147" s="51">
        <v>0.7</v>
      </c>
      <c r="F147" s="51">
        <v>0</v>
      </c>
      <c r="G147" s="51">
        <v>0</v>
      </c>
      <c r="H147" s="51">
        <v>0.3</v>
      </c>
      <c r="I147" s="57">
        <f>IF(A147&lt;&gt;0,(B147-(B146-D146))/(A147-A146),"")</f>
        <v>4.7307692307692299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122</v>
      </c>
      <c r="B148" s="60">
        <v>221.92948717948715</v>
      </c>
      <c r="C148" s="50">
        <v>8</v>
      </c>
      <c r="D148" s="60">
        <v>32.333333333333329</v>
      </c>
      <c r="E148" s="51">
        <v>0.7</v>
      </c>
      <c r="F148" s="51">
        <v>0</v>
      </c>
      <c r="G148" s="51">
        <v>0</v>
      </c>
      <c r="H148" s="51">
        <v>0.3</v>
      </c>
      <c r="I148" s="57">
        <f t="shared" si="5"/>
        <v>4.7948717948717956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132</v>
      </c>
      <c r="B149" s="60">
        <v>238.13461538461539</v>
      </c>
      <c r="C149" s="50">
        <v>9</v>
      </c>
      <c r="D149" s="60">
        <v>34.128205128205131</v>
      </c>
      <c r="E149" s="51">
        <v>0.7</v>
      </c>
      <c r="F149" s="51">
        <v>0</v>
      </c>
      <c r="G149" s="51">
        <v>0</v>
      </c>
      <c r="H149" s="51">
        <v>0.3</v>
      </c>
      <c r="I149" s="57">
        <f t="shared" si="5"/>
        <v>4.8538461538461579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144</v>
      </c>
      <c r="B150" s="60">
        <v>263.85256410256409</v>
      </c>
      <c r="C150" s="50">
        <v>10</v>
      </c>
      <c r="D150" s="60">
        <v>42.397435897435898</v>
      </c>
      <c r="E150" s="51">
        <v>0.7</v>
      </c>
      <c r="F150" s="51">
        <v>0</v>
      </c>
      <c r="G150" s="51">
        <v>0</v>
      </c>
      <c r="H150" s="51">
        <v>0.3</v>
      </c>
      <c r="I150" s="57">
        <f t="shared" si="5"/>
        <v>4.9871794871794863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156</v>
      </c>
      <c r="B151" s="60">
        <v>282.56410256410254</v>
      </c>
      <c r="C151" s="50">
        <v>11</v>
      </c>
      <c r="D151" s="60">
        <v>45.429487179487182</v>
      </c>
      <c r="E151" s="51">
        <v>0.7</v>
      </c>
      <c r="F151" s="51">
        <v>0</v>
      </c>
      <c r="G151" s="51">
        <v>0</v>
      </c>
      <c r="H151" s="51">
        <v>0.3</v>
      </c>
      <c r="I151" s="57">
        <f t="shared" si="5"/>
        <v>5.0924145299145307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168</v>
      </c>
      <c r="B152" s="60">
        <v>299.32051282051276</v>
      </c>
      <c r="C152" s="50">
        <v>12</v>
      </c>
      <c r="D152" s="60">
        <v>49.102564102564095</v>
      </c>
      <c r="E152" s="54">
        <v>0.9</v>
      </c>
      <c r="F152" s="54">
        <v>0</v>
      </c>
      <c r="G152" s="54">
        <v>0</v>
      </c>
      <c r="H152" s="54">
        <v>0.1</v>
      </c>
      <c r="I152" s="57">
        <f t="shared" si="5"/>
        <v>5.1821581196581166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180</v>
      </c>
      <c r="B153" s="60">
        <v>312.32051282051282</v>
      </c>
      <c r="C153" s="50">
        <v>13</v>
      </c>
      <c r="D153" s="60">
        <v>120.15384615384615</v>
      </c>
      <c r="E153" s="54">
        <v>0.9</v>
      </c>
      <c r="F153" s="54">
        <v>0</v>
      </c>
      <c r="G153" s="54">
        <v>0</v>
      </c>
      <c r="H153" s="54">
        <v>0.1</v>
      </c>
      <c r="I153" s="57">
        <f t="shared" si="5"/>
        <v>5.175213675213679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184</v>
      </c>
      <c r="B154" s="56">
        <v>205.1025641</v>
      </c>
      <c r="C154" s="50">
        <v>14</v>
      </c>
      <c r="D154" s="50">
        <v>69.160256410256409</v>
      </c>
      <c r="E154" s="54">
        <v>0.9</v>
      </c>
      <c r="F154" s="54">
        <v>0</v>
      </c>
      <c r="G154" s="54">
        <v>0</v>
      </c>
      <c r="H154" s="54">
        <v>0.1</v>
      </c>
      <c r="I154" s="57">
        <f t="shared" si="5"/>
        <v>3.2339743583333274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188</v>
      </c>
      <c r="B155" s="56">
        <v>144.26282051282053</v>
      </c>
      <c r="C155" s="50">
        <v>15</v>
      </c>
      <c r="D155" s="50">
        <v>49.307692307692307</v>
      </c>
      <c r="E155" s="54">
        <v>0.9</v>
      </c>
      <c r="F155" s="54">
        <v>0</v>
      </c>
      <c r="G155" s="54">
        <v>0</v>
      </c>
      <c r="H155" s="54">
        <v>0.1</v>
      </c>
      <c r="I155" s="57">
        <f t="shared" si="5"/>
        <v>2.0801282057692347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191</v>
      </c>
      <c r="B156" s="56">
        <v>98.961538461538453</v>
      </c>
      <c r="C156" s="50">
        <v>16</v>
      </c>
      <c r="D156" s="50">
        <v>98.961538461538453</v>
      </c>
      <c r="E156" s="54">
        <v>0.9</v>
      </c>
      <c r="F156" s="54">
        <v>0</v>
      </c>
      <c r="G156" s="54">
        <v>0</v>
      </c>
      <c r="H156" s="54">
        <v>0.1</v>
      </c>
      <c r="I156" s="57">
        <f t="shared" si="5"/>
        <v>1.3354700854700781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21</v>
      </c>
      <c r="B162" s="52" t="str">
        <f>IF(B14="","",B14)</f>
        <v>Châtaignier</v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8" x14ac:dyDescent="0.3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15</v>
      </c>
      <c r="B166" s="60">
        <v>9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0</v>
      </c>
      <c r="I166" s="49">
        <f>IFERROR(B166/A166,"")</f>
        <v>0.6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20</v>
      </c>
      <c r="B167" s="60">
        <v>57</v>
      </c>
      <c r="C167" s="60">
        <v>1</v>
      </c>
      <c r="D167" s="60">
        <v>21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9.6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86</v>
      </c>
      <c r="C168" s="60">
        <v>2</v>
      </c>
      <c r="D168" s="60">
        <v>21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10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30</v>
      </c>
      <c r="B169" s="60">
        <v>114</v>
      </c>
      <c r="C169" s="60">
        <v>3</v>
      </c>
      <c r="D169" s="60">
        <v>21</v>
      </c>
      <c r="E169" s="51">
        <v>0</v>
      </c>
      <c r="F169" s="51">
        <v>0.05</v>
      </c>
      <c r="G169" s="51">
        <v>0</v>
      </c>
      <c r="H169" s="51">
        <v>0.95</v>
      </c>
      <c r="I169" s="49">
        <f t="shared" si="6"/>
        <v>9.8000000000000007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35</v>
      </c>
      <c r="B170" s="60">
        <v>136</v>
      </c>
      <c r="C170" s="60">
        <v>4</v>
      </c>
      <c r="D170" s="60">
        <v>21</v>
      </c>
      <c r="E170" s="51">
        <v>0</v>
      </c>
      <c r="F170" s="51">
        <v>0.19</v>
      </c>
      <c r="G170" s="51">
        <v>0</v>
      </c>
      <c r="H170" s="51">
        <v>0.81</v>
      </c>
      <c r="I170" s="49">
        <f t="shared" si="6"/>
        <v>8.6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40</v>
      </c>
      <c r="B171" s="60">
        <v>153</v>
      </c>
      <c r="C171" s="60">
        <v>5</v>
      </c>
      <c r="D171" s="60">
        <v>21</v>
      </c>
      <c r="E171" s="51">
        <v>0.05</v>
      </c>
      <c r="F171" s="51">
        <v>0.33</v>
      </c>
      <c r="G171" s="51">
        <v>0</v>
      </c>
      <c r="H171" s="51">
        <v>0.62</v>
      </c>
      <c r="I171" s="49">
        <f t="shared" si="6"/>
        <v>7.6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45</v>
      </c>
      <c r="B172" s="60">
        <v>164</v>
      </c>
      <c r="C172" s="60">
        <v>6</v>
      </c>
      <c r="D172" s="60">
        <v>18</v>
      </c>
      <c r="E172" s="51">
        <v>0.17</v>
      </c>
      <c r="F172" s="51">
        <v>0.39</v>
      </c>
      <c r="G172" s="51">
        <v>0</v>
      </c>
      <c r="H172" s="51">
        <v>0.44</v>
      </c>
      <c r="I172" s="49">
        <f t="shared" si="6"/>
        <v>6.4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50</v>
      </c>
      <c r="B173" s="50">
        <v>174</v>
      </c>
      <c r="C173" s="50">
        <v>7</v>
      </c>
      <c r="D173" s="50">
        <v>13</v>
      </c>
      <c r="E173" s="51">
        <v>0.23</v>
      </c>
      <c r="F173" s="51">
        <v>0.46</v>
      </c>
      <c r="G173" s="51">
        <v>0</v>
      </c>
      <c r="H173" s="51">
        <v>0.31</v>
      </c>
      <c r="I173" s="49">
        <f t="shared" si="6"/>
        <v>5.6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55</v>
      </c>
      <c r="B174" s="50">
        <v>185</v>
      </c>
      <c r="C174" s="50">
        <v>8</v>
      </c>
      <c r="D174" s="50">
        <v>11</v>
      </c>
      <c r="E174" s="51">
        <v>0.36</v>
      </c>
      <c r="F174" s="51">
        <v>0.36</v>
      </c>
      <c r="G174" s="51">
        <v>0</v>
      </c>
      <c r="H174" s="51">
        <v>0.27</v>
      </c>
      <c r="I174" s="49">
        <f t="shared" si="6"/>
        <v>4.8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60</v>
      </c>
      <c r="B175" s="50">
        <v>194</v>
      </c>
      <c r="C175" s="50">
        <v>9</v>
      </c>
      <c r="D175" s="50">
        <v>9</v>
      </c>
      <c r="E175" s="51">
        <v>0.44</v>
      </c>
      <c r="F175" s="51">
        <v>0.44</v>
      </c>
      <c r="G175" s="51">
        <v>0</v>
      </c>
      <c r="H175" s="51">
        <v>0.11</v>
      </c>
      <c r="I175" s="49">
        <f t="shared" si="6"/>
        <v>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65</v>
      </c>
      <c r="B176" s="50">
        <v>202</v>
      </c>
      <c r="C176" s="50">
        <v>10</v>
      </c>
      <c r="D176" s="50">
        <v>8</v>
      </c>
      <c r="E176" s="51">
        <v>0.63</v>
      </c>
      <c r="F176" s="51">
        <v>0.25</v>
      </c>
      <c r="G176" s="51">
        <v>0</v>
      </c>
      <c r="H176" s="51">
        <v>0.13</v>
      </c>
      <c r="I176" s="49">
        <f t="shared" si="6"/>
        <v>3.4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70</v>
      </c>
      <c r="B177" s="50">
        <v>207</v>
      </c>
      <c r="C177" s="50">
        <v>11</v>
      </c>
      <c r="D177" s="50">
        <v>6</v>
      </c>
      <c r="E177" s="51">
        <v>0.83</v>
      </c>
      <c r="F177" s="51">
        <v>0.33</v>
      </c>
      <c r="G177" s="51">
        <v>0</v>
      </c>
      <c r="H177" s="51">
        <v>0.17</v>
      </c>
      <c r="I177" s="49">
        <f t="shared" si="6"/>
        <v>2.6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75</v>
      </c>
      <c r="B178" s="50">
        <v>214</v>
      </c>
      <c r="C178" s="50">
        <v>12</v>
      </c>
      <c r="D178" s="50">
        <v>7</v>
      </c>
      <c r="E178" s="51">
        <v>0.56999999999999995</v>
      </c>
      <c r="F178" s="51">
        <v>0.28999999999999998</v>
      </c>
      <c r="G178" s="51">
        <v>0</v>
      </c>
      <c r="H178" s="51">
        <v>0.14000000000000001</v>
      </c>
      <c r="I178" s="49">
        <f t="shared" si="6"/>
        <v>2.6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80</v>
      </c>
      <c r="B179" s="50">
        <v>219</v>
      </c>
      <c r="C179" s="50">
        <v>13</v>
      </c>
      <c r="D179" s="50">
        <v>219</v>
      </c>
      <c r="E179" s="51">
        <v>0.67</v>
      </c>
      <c r="F179" s="51">
        <v>0.17</v>
      </c>
      <c r="G179" s="51">
        <v>0</v>
      </c>
      <c r="H179" s="51">
        <v>0.17</v>
      </c>
      <c r="I179" s="49">
        <f t="shared" si="6"/>
        <v>2.4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22</v>
      </c>
      <c r="B188" s="52" t="str">
        <f>IF(B15="","",B15)</f>
        <v>Pin maritime</v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8" x14ac:dyDescent="0.3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17</v>
      </c>
      <c r="B192" s="60">
        <v>126.33076923076922</v>
      </c>
      <c r="C192" s="60">
        <v>1</v>
      </c>
      <c r="D192" s="60">
        <v>42.084615384615383</v>
      </c>
      <c r="E192" s="51">
        <v>0</v>
      </c>
      <c r="F192" s="51">
        <v>0.56000000000000005</v>
      </c>
      <c r="G192" s="51">
        <v>0.44</v>
      </c>
      <c r="H192" s="51">
        <v>0</v>
      </c>
      <c r="I192" s="49">
        <f>IFERROR(B192/A192,"")</f>
        <v>7.4312217194570129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23</v>
      </c>
      <c r="B193" s="60">
        <v>173.80769230769229</v>
      </c>
      <c r="C193" s="60">
        <v>2</v>
      </c>
      <c r="D193" s="60">
        <v>54.099999999999994</v>
      </c>
      <c r="E193" s="51">
        <v>0</v>
      </c>
      <c r="F193" s="51">
        <v>0.56000000000000005</v>
      </c>
      <c r="G193" s="51">
        <v>0.44</v>
      </c>
      <c r="H193" s="51">
        <v>0</v>
      </c>
      <c r="I193" s="49">
        <f t="shared" ref="I193:I211" si="7">IF(A193&lt;&gt;0,(B193-(B192-D192))/(A193-A192),"")</f>
        <v>14.926923076923075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29</v>
      </c>
      <c r="B194" s="60">
        <v>210.14615384615385</v>
      </c>
      <c r="C194" s="60">
        <v>3</v>
      </c>
      <c r="D194" s="60">
        <v>47.661538461538463</v>
      </c>
      <c r="E194" s="51">
        <v>0.7</v>
      </c>
      <c r="F194" s="51">
        <v>0.16800000000000001</v>
      </c>
      <c r="G194" s="51">
        <v>0.13200000000000001</v>
      </c>
      <c r="H194" s="51">
        <v>0</v>
      </c>
      <c r="I194" s="49">
        <f t="shared" si="7"/>
        <v>15.073076923076925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176.66153846153844</v>
      </c>
      <c r="C195" s="60" t="s">
        <v>53</v>
      </c>
      <c r="D195" s="60">
        <v>0</v>
      </c>
      <c r="E195" s="51">
        <v>0</v>
      </c>
      <c r="F195" s="51">
        <v>0</v>
      </c>
      <c r="G195" s="51">
        <v>0</v>
      </c>
      <c r="H195" s="51">
        <v>0</v>
      </c>
      <c r="I195" s="49">
        <f t="shared" si="7"/>
        <v>14.17692307692306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36</v>
      </c>
      <c r="B196" s="60">
        <v>262.57692307692309</v>
      </c>
      <c r="C196" s="60">
        <v>4</v>
      </c>
      <c r="D196" s="60">
        <v>64.553846153846152</v>
      </c>
      <c r="E196" s="51">
        <v>0.7</v>
      </c>
      <c r="F196" s="51">
        <v>0.16800000000000001</v>
      </c>
      <c r="G196" s="51">
        <v>0.13200000000000001</v>
      </c>
      <c r="H196" s="51">
        <v>0</v>
      </c>
      <c r="I196" s="49">
        <f t="shared" si="7"/>
        <v>14.319230769230776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44</v>
      </c>
      <c r="B197" s="60">
        <v>303.15384615384613</v>
      </c>
      <c r="C197" s="60">
        <v>5</v>
      </c>
      <c r="D197" s="60">
        <v>64.476923076923072</v>
      </c>
      <c r="E197" s="51">
        <v>0.7</v>
      </c>
      <c r="F197" s="51">
        <v>0.16800000000000001</v>
      </c>
      <c r="G197" s="51">
        <v>0.13200000000000001</v>
      </c>
      <c r="H197" s="51">
        <v>0</v>
      </c>
      <c r="I197" s="49">
        <f t="shared" si="7"/>
        <v>13.14134615384615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52</v>
      </c>
      <c r="B198" s="60">
        <v>331.81538461538463</v>
      </c>
      <c r="C198" s="60">
        <v>6</v>
      </c>
      <c r="D198" s="60">
        <v>61.784615384615378</v>
      </c>
      <c r="E198" s="51">
        <v>0.7</v>
      </c>
      <c r="F198" s="51">
        <v>0.16800000000000001</v>
      </c>
      <c r="G198" s="51">
        <v>0.13200000000000001</v>
      </c>
      <c r="H198" s="51">
        <v>0</v>
      </c>
      <c r="I198" s="49">
        <f t="shared" si="7"/>
        <v>11.642307692307696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60</v>
      </c>
      <c r="B199" s="50">
        <v>353.5</v>
      </c>
      <c r="C199" s="50">
        <v>7</v>
      </c>
      <c r="D199" s="50">
        <v>353.5</v>
      </c>
      <c r="E199" s="51">
        <v>0.7</v>
      </c>
      <c r="F199" s="51">
        <v>0.16800000000000001</v>
      </c>
      <c r="G199" s="51">
        <v>0.13200000000000001</v>
      </c>
      <c r="H199" s="51">
        <v>0</v>
      </c>
      <c r="I199" s="49">
        <f t="shared" si="7"/>
        <v>10.433653846153845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8" x14ac:dyDescent="0.3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8" x14ac:dyDescent="0.3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8" x14ac:dyDescent="0.3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12" zoomScaleNormal="100" workbookViewId="0">
      <selection activeCell="B18" sqref="B18"/>
    </sheetView>
  </sheetViews>
  <sheetFormatPr baseColWidth="10" defaultColWidth="11.3984375" defaultRowHeight="14.4" x14ac:dyDescent="0.3"/>
  <cols>
    <col min="1" max="1" width="5.8984375" style="1" customWidth="1"/>
    <col min="2" max="2" width="14.09765625" style="1" customWidth="1"/>
    <col min="3" max="3" width="62.09765625" style="1" customWidth="1"/>
    <col min="4" max="5" width="4.296875" style="1" customWidth="1"/>
    <col min="6" max="6" width="14.296875" style="1" customWidth="1"/>
    <col min="7" max="7" width="73.29687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55000000000000004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45" customHeight="1" x14ac:dyDescent="0.3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3" customHeight="1" x14ac:dyDescent="0.3">
      <c r="A8" s="105">
        <v>1</v>
      </c>
      <c r="B8" s="61">
        <v>0.8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3" customHeight="1" x14ac:dyDescent="0.3">
      <c r="A9" s="105">
        <v>2</v>
      </c>
      <c r="B9" s="61">
        <v>0.2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3" customHeight="1" x14ac:dyDescent="0.3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.05" customHeight="1" x14ac:dyDescent="0.3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.05" customHeight="1" x14ac:dyDescent="0.3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0.8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0.8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4" x14ac:dyDescent="0.3"/>
  <cols>
    <col min="1" max="1" width="6.8984375" style="4" bestFit="1" customWidth="1"/>
    <col min="2" max="4" width="11.3984375" style="4"/>
    <col min="5" max="5" width="9.59765625" style="4" customWidth="1"/>
    <col min="6" max="7" width="11.3984375" style="4"/>
    <col min="8" max="8" width="10.69921875" style="4" customWidth="1"/>
    <col min="9" max="9" width="9.3984375" style="4" customWidth="1"/>
    <col min="10" max="11" width="10.59765625" style="4" bestFit="1" customWidth="1"/>
    <col min="12" max="12" width="14" style="4" bestFit="1" customWidth="1"/>
    <col min="13" max="13" width="14" style="4" customWidth="1"/>
    <col min="14" max="23" width="11.3984375" style="4"/>
    <col min="24" max="24" width="11.69921875" style="4" bestFit="1" customWidth="1"/>
    <col min="25" max="25" width="14.59765625" style="4" bestFit="1" customWidth="1"/>
    <col min="26" max="26" width="12.3984375" style="4" bestFit="1" customWidth="1"/>
    <col min="27" max="27" width="9.69921875" style="4" bestFit="1" customWidth="1"/>
    <col min="28" max="28" width="11" style="4" bestFit="1" customWidth="1"/>
    <col min="29" max="29" width="9.3984375" style="4" bestFit="1" customWidth="1"/>
    <col min="30" max="31" width="9.3984375" style="4" customWidth="1"/>
    <col min="32" max="32" width="11.3984375" style="4"/>
    <col min="33" max="34" width="14" style="4" bestFit="1" customWidth="1"/>
    <col min="35" max="35" width="10.59765625" style="4" bestFit="1" customWidth="1"/>
    <col min="36" max="36" width="9.3984375" style="4" bestFit="1" customWidth="1"/>
    <col min="37" max="38" width="10.59765625" style="4" bestFit="1" customWidth="1"/>
    <col min="39" max="41" width="10.59765625" style="4" customWidth="1"/>
    <col min="42" max="42" width="9" style="4" bestFit="1" customWidth="1"/>
    <col min="43" max="43" width="10.59765625" style="4" bestFit="1" customWidth="1"/>
    <col min="44" max="44" width="9.296875" style="4" bestFit="1" customWidth="1"/>
    <col min="45" max="45" width="11.69921875" style="4" bestFit="1" customWidth="1"/>
    <col min="46" max="46" width="8.3984375" style="4" bestFit="1" customWidth="1"/>
    <col min="47" max="47" width="9.3984375" style="4" bestFit="1" customWidth="1"/>
    <col min="48" max="48" width="9.69921875" style="4" bestFit="1" customWidth="1"/>
    <col min="49" max="49" width="11" style="4" bestFit="1" customWidth="1"/>
    <col min="50" max="50" width="9.3984375" style="4" bestFit="1" customWidth="1"/>
    <col min="51" max="52" width="9.3984375" style="4" customWidth="1"/>
    <col min="53" max="53" width="10.59765625" style="4" bestFit="1" customWidth="1"/>
    <col min="54" max="54" width="14.296875" style="4" customWidth="1"/>
    <col min="55" max="55" width="14" style="4" customWidth="1"/>
    <col min="56" max="56" width="10.59765625" style="4" bestFit="1" customWidth="1"/>
    <col min="57" max="57" width="9.3984375" style="4" bestFit="1" customWidth="1"/>
    <col min="58" max="59" width="10.59765625" style="4" bestFit="1" customWidth="1"/>
    <col min="60" max="62" width="10.59765625" style="4" customWidth="1"/>
    <col min="63" max="63" width="9" style="4" bestFit="1" customWidth="1"/>
    <col min="64" max="64" width="10.59765625" style="4" bestFit="1" customWidth="1"/>
    <col min="65" max="65" width="9.296875" style="4" bestFit="1" customWidth="1"/>
    <col min="66" max="66" width="11.69921875" style="4" bestFit="1" customWidth="1"/>
    <col min="67" max="67" width="8.3984375" style="4" bestFit="1" customWidth="1"/>
    <col min="68" max="68" width="9.3984375" style="4" bestFit="1" customWidth="1"/>
    <col min="69" max="69" width="9.69921875" style="4" bestFit="1" customWidth="1"/>
    <col min="70" max="70" width="11" style="4" bestFit="1" customWidth="1"/>
    <col min="71" max="71" width="9.3984375" style="4" bestFit="1" customWidth="1"/>
    <col min="72" max="73" width="9.3984375" style="4" customWidth="1"/>
    <col min="74" max="74" width="10.59765625" style="4" bestFit="1" customWidth="1"/>
    <col min="75" max="75" width="14" style="4" bestFit="1" customWidth="1"/>
    <col min="76" max="76" width="13.8984375" style="4" customWidth="1"/>
    <col min="77" max="77" width="10.59765625" style="4" bestFit="1" customWidth="1"/>
    <col min="78" max="78" width="9.3984375" style="4" bestFit="1" customWidth="1"/>
    <col min="79" max="80" width="10.59765625" style="4" bestFit="1" customWidth="1"/>
    <col min="81" max="83" width="10.59765625" style="4" customWidth="1"/>
    <col min="84" max="84" width="11.3984375" style="4"/>
    <col min="85" max="85" width="10.59765625" style="4" bestFit="1" customWidth="1"/>
    <col min="86" max="86" width="9.296875" style="4" bestFit="1" customWidth="1"/>
    <col min="87" max="87" width="11.69921875" style="4" bestFit="1" customWidth="1"/>
    <col min="88" max="88" width="8.3984375" style="4" bestFit="1" customWidth="1"/>
    <col min="89" max="89" width="9.3984375" style="4" bestFit="1" customWidth="1"/>
    <col min="90" max="90" width="9.69921875" style="4" bestFit="1" customWidth="1"/>
    <col min="91" max="91" width="11" style="4" bestFit="1" customWidth="1"/>
    <col min="92" max="92" width="9.3984375" style="4" bestFit="1" customWidth="1"/>
    <col min="93" max="94" width="9.3984375" style="4" customWidth="1"/>
    <col min="95" max="95" width="11.3984375" style="4"/>
    <col min="96" max="97" width="14" style="4" customWidth="1"/>
    <col min="98" max="98" width="10.59765625" style="4" bestFit="1" customWidth="1"/>
    <col min="99" max="99" width="9.3984375" style="4" bestFit="1" customWidth="1"/>
    <col min="100" max="101" width="10.59765625" style="4" bestFit="1" customWidth="1"/>
    <col min="102" max="104" width="10.59765625" style="4" customWidth="1"/>
    <col min="105" max="105" width="9" style="4" bestFit="1" customWidth="1"/>
    <col min="106" max="106" width="10.59765625" style="4" bestFit="1" customWidth="1"/>
    <col min="107" max="107" width="9.296875" style="4" bestFit="1" customWidth="1"/>
    <col min="108" max="108" width="11.69921875" style="4" bestFit="1" customWidth="1"/>
    <col min="109" max="109" width="8.3984375" style="4" bestFit="1" customWidth="1"/>
    <col min="110" max="110" width="9.3984375" style="4" bestFit="1" customWidth="1"/>
    <col min="111" max="111" width="9.69921875" style="4" bestFit="1" customWidth="1"/>
    <col min="112" max="112" width="11" style="4" bestFit="1" customWidth="1"/>
    <col min="113" max="113" width="9.3984375" style="4" bestFit="1" customWidth="1"/>
    <col min="114" max="115" width="9.3984375" style="4" customWidth="1"/>
    <col min="116" max="116" width="10.59765625" style="4" bestFit="1" customWidth="1"/>
    <col min="117" max="117" width="14.296875" style="4" customWidth="1"/>
    <col min="118" max="118" width="14" style="4" bestFit="1" customWidth="1"/>
    <col min="119" max="119" width="10.59765625" style="4" bestFit="1" customWidth="1"/>
    <col min="120" max="120" width="9.3984375" style="4" bestFit="1" customWidth="1"/>
    <col min="121" max="122" width="10.59765625" style="4" bestFit="1" customWidth="1"/>
    <col min="123" max="125" width="10.59765625" style="4" customWidth="1"/>
    <col min="126" max="126" width="9" style="4" bestFit="1" customWidth="1"/>
    <col min="127" max="127" width="10.59765625" style="4" bestFit="1" customWidth="1"/>
    <col min="128" max="128" width="9.296875" style="4" bestFit="1" customWidth="1"/>
    <col min="129" max="129" width="11.69921875" style="4" bestFit="1" customWidth="1"/>
    <col min="130" max="130" width="8.3984375" style="4" bestFit="1" customWidth="1"/>
    <col min="131" max="131" width="9.3984375" style="4" bestFit="1" customWidth="1"/>
    <col min="132" max="132" width="9.69921875" style="4" bestFit="1" customWidth="1"/>
    <col min="133" max="133" width="11" style="4" bestFit="1" customWidth="1"/>
    <col min="134" max="134" width="9.3984375" style="4" bestFit="1" customWidth="1"/>
    <col min="135" max="136" width="9.3984375" style="4" customWidth="1"/>
    <col min="137" max="137" width="10.59765625" style="4" bestFit="1" customWidth="1"/>
    <col min="138" max="139" width="14" style="4" customWidth="1"/>
    <col min="140" max="140" width="10.59765625" style="4" bestFit="1" customWidth="1"/>
    <col min="141" max="141" width="9.3984375" style="4" bestFit="1" customWidth="1"/>
    <col min="142" max="143" width="10.59765625" style="4" bestFit="1" customWidth="1"/>
    <col min="144" max="146" width="10.59765625" style="4" customWidth="1"/>
    <col min="147" max="147" width="9" style="4" bestFit="1" customWidth="1"/>
    <col min="148" max="148" width="10.59765625" style="4" bestFit="1" customWidth="1"/>
    <col min="149" max="149" width="9.296875" style="4" bestFit="1" customWidth="1"/>
    <col min="150" max="150" width="11.69921875" style="4" bestFit="1" customWidth="1"/>
    <col min="151" max="151" width="8.3984375" style="4" bestFit="1" customWidth="1"/>
    <col min="152" max="152" width="9.3984375" style="4" bestFit="1" customWidth="1"/>
    <col min="153" max="153" width="9.69921875" style="4" bestFit="1" customWidth="1"/>
    <col min="154" max="154" width="11" style="4" bestFit="1" customWidth="1"/>
    <col min="155" max="155" width="9.3984375" style="4" bestFit="1" customWidth="1"/>
    <col min="156" max="157" width="9.3984375" style="4" customWidth="1"/>
    <col min="158" max="158" width="11.3984375" style="4"/>
    <col min="159" max="160" width="14" style="4" bestFit="1" customWidth="1"/>
    <col min="161" max="161" width="10.59765625" style="4" bestFit="1" customWidth="1"/>
    <col min="162" max="162" width="9.3984375" style="4" bestFit="1" customWidth="1"/>
    <col min="163" max="164" width="10.59765625" style="4" bestFit="1" customWidth="1"/>
    <col min="165" max="167" width="10.59765625" style="4" customWidth="1"/>
    <col min="168" max="168" width="9" style="4" bestFit="1" customWidth="1"/>
    <col min="169" max="169" width="10.59765625" style="4" bestFit="1" customWidth="1"/>
    <col min="170" max="170" width="9.296875" style="4" bestFit="1" customWidth="1"/>
    <col min="171" max="171" width="11.69921875" style="4" bestFit="1" customWidth="1"/>
    <col min="172" max="172" width="8.09765625" style="4" bestFit="1" customWidth="1"/>
    <col min="173" max="173" width="9.3984375" style="4" bestFit="1" customWidth="1"/>
    <col min="174" max="174" width="9.69921875" style="4" bestFit="1" customWidth="1"/>
    <col min="175" max="175" width="11" style="4" bestFit="1" customWidth="1"/>
    <col min="176" max="176" width="9.3984375" style="4" bestFit="1" customWidth="1"/>
    <col min="177" max="178" width="9.3984375" style="4" customWidth="1"/>
    <col min="179" max="179" width="10.59765625" style="4" bestFit="1" customWidth="1"/>
    <col min="180" max="181" width="14" style="4" bestFit="1" customWidth="1"/>
    <col min="182" max="182" width="10.59765625" style="4" bestFit="1" customWidth="1"/>
    <col min="183" max="183" width="9.3984375" style="4" bestFit="1" customWidth="1"/>
    <col min="184" max="185" width="10.59765625" style="4" bestFit="1" customWidth="1"/>
    <col min="186" max="188" width="10.59765625" style="4" customWidth="1"/>
    <col min="189" max="189" width="9" style="4" bestFit="1" customWidth="1"/>
    <col min="190" max="190" width="10.59765625" style="4" bestFit="1" customWidth="1"/>
    <col min="191" max="191" width="9.296875" style="4" bestFit="1" customWidth="1"/>
    <col min="192" max="192" width="11.3984375" style="4"/>
    <col min="193" max="193" width="8.3984375" style="4" bestFit="1" customWidth="1"/>
    <col min="194" max="194" width="9.3984375" style="4" bestFit="1" customWidth="1"/>
    <col min="195" max="195" width="9.69921875" style="4" bestFit="1" customWidth="1"/>
    <col min="196" max="196" width="11" style="4" bestFit="1" customWidth="1"/>
    <col min="197" max="197" width="9.3984375" style="4" bestFit="1" customWidth="1"/>
    <col min="198" max="199" width="9.3984375" style="4" customWidth="1"/>
    <col min="200" max="200" width="10.59765625" style="4" bestFit="1" customWidth="1"/>
    <col min="201" max="201" width="14" style="4" customWidth="1"/>
    <col min="202" max="202" width="14.296875" style="4" customWidth="1"/>
    <col min="203" max="203" width="10.59765625" style="4" bestFit="1" customWidth="1"/>
    <col min="204" max="204" width="9.3984375" style="4" bestFit="1" customWidth="1"/>
    <col min="205" max="206" width="10.59765625" style="4" bestFit="1" customWidth="1"/>
    <col min="207" max="209" width="10.59765625" style="4" customWidth="1"/>
    <col min="210" max="210" width="9" style="4" bestFit="1" customWidth="1"/>
    <col min="211" max="211" width="10.59765625" style="4" bestFit="1" customWidth="1"/>
    <col min="212" max="212" width="9.296875" style="4" bestFit="1" customWidth="1"/>
    <col min="213" max="213" width="11.69921875" style="4" bestFit="1" customWidth="1"/>
    <col min="214" max="214" width="8.3984375" style="4" bestFit="1" customWidth="1"/>
    <col min="215" max="215" width="9.3984375" style="4" bestFit="1" customWidth="1"/>
    <col min="216" max="216" width="9.69921875" style="4" bestFit="1" customWidth="1"/>
    <col min="217" max="217" width="11" style="4" bestFit="1" customWidth="1"/>
    <col min="218" max="218" width="9.3984375" style="4" bestFit="1" customWidth="1"/>
    <col min="219" max="16384" width="11.3984375" style="4"/>
  </cols>
  <sheetData>
    <row r="1" spans="1:218" ht="26.5" thickBot="1" x14ac:dyDescent="0.55000000000000004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Aulne glutineux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Douglas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pubescent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Châtaignier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48</v>
      </c>
      <c r="X2" s="7" t="s">
        <v>49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48</v>
      </c>
      <c r="AS2" s="7" t="s">
        <v>49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48</v>
      </c>
      <c r="BN2" s="7" t="s">
        <v>49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48</v>
      </c>
      <c r="CI2" s="7" t="s">
        <v>49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48</v>
      </c>
      <c r="DD2" s="7" t="s">
        <v>49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48</v>
      </c>
      <c r="DY2" s="7" t="s">
        <v>49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48</v>
      </c>
      <c r="ET2" s="7" t="s">
        <v>49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48</v>
      </c>
      <c r="FO2" s="7" t="s">
        <v>49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48</v>
      </c>
      <c r="GJ2" s="7" t="s">
        <v>49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48</v>
      </c>
      <c r="HE2" s="7" t="s">
        <v>49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223.99456146593315</v>
      </c>
      <c r="T3" s="59">
        <f>IF('Données projet'!E9&gt;30,$R$33-$H$33,LOOKUP('Données projet'!$E$9,$A$3:$A$203,R3:R203)-LOOKUP('Données projet'!$E$9,$A$3:$A$203,$H$3:$H$203))</f>
        <v>132.73290587325937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244.43587473734613</v>
      </c>
      <c r="AO3" s="59">
        <f>IF('Données projet'!E10&gt;30,$AM$33-$H$33,LOOKUP('Données projet'!$E$10,$A$3:$A$203,AM3:AM203)-LOOKUP('Données projet'!$E$10,$A$3:$A$203,$H$3:$H$203))</f>
        <v>256.80261402149375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430.60186171079067</v>
      </c>
      <c r="BJ3" s="59">
        <f>IF('Données projet'!E11&gt;30,$BH$33-$H$33,LOOKUP('Données projet'!$E$11,$A$3:$A$203,BH3:BH203)-LOOKUP('Données projet'!$E$11,$A$3:$A$203,$H$3:$H$203))</f>
        <v>533.76627289533985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215.89467197072673</v>
      </c>
      <c r="CE3" s="59">
        <f>IF('Données projet'!E12&gt;30,$CC$33-$H$33,LOOKUP('Données projet'!$E$12,$A$3:$A$203,CC3:CC203)-LOOKUP('Données projet'!$E$12,$A$3:$A$203,$H$3:$H$203))</f>
        <v>188.21397398859534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342.82846711287749</v>
      </c>
      <c r="CZ3" s="59">
        <f>IF('Données projet'!E13&gt;30,$CX$33-$H$33,LOOKUP('Données projet'!$E$13,$A$3:$A$203,CX3:CX203)-LOOKUP('Données projet'!$E$13,$A$3:$A$203,$H$3:$H$203))</f>
        <v>152.87724741106297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208.48147873805715</v>
      </c>
      <c r="DU3" s="59">
        <f>IF('Données projet'!E14&gt;30,$DS$33-$H$33,LOOKUP('Données projet'!$E$14,$A$3:$A$203,DS3:DS203)-LOOKUP('Données projet'!$E$14,$A$3:$A$203,$H$3:$H$203))</f>
        <v>209.50570914630686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247.31680974612766</v>
      </c>
      <c r="EP3" s="59">
        <f>IF('Données projet'!E15&gt;30,$EN$33-$H$33,LOOKUP('Données projet'!$E$15,$A$3:$A$203,EN3:EN203)-LOOKUP('Données projet'!$E$15,$A$3:$A$203,$H$3:$H$203))</f>
        <v>257.13949761071882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0.17784</v>
      </c>
      <c r="D4" s="11">
        <f>IFERROR(EXP(-1.0587+0.8836*LN(C4)+0.284),0)</f>
        <v>0.10020239145091038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0.4292584289066686</v>
      </c>
      <c r="H4" s="67">
        <f t="shared" ref="H4:H67" si="1">(B4+E4+F4)*44/12+(C4+D4)*0.475*44/12</f>
        <v>257.15092383177699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3.4425641025641025</v>
      </c>
      <c r="N4" s="13">
        <f>IF('Données projet'!$A$36&gt;35,N3+M4-V3,IF(A4&lt;'Données projet'!$A$36,$K$205^A4,IF(A4='Données projet'!$A$36,'Données projet'!$B$36,N3+M4-V3)))</f>
        <v>1.1671681906248585</v>
      </c>
      <c r="O4" s="13">
        <f>N4*VLOOKUP('Données projet'!$B$9,Paramètres!$A$1:$I$89,3,0)*VLOOKUP('Données projet'!$B$9,Paramètres!$A$1:$I$89,5,0)</f>
        <v>0.54623471321243378</v>
      </c>
      <c r="P4" s="13">
        <f>EXP(-1.0587+0.8836*LN(O4)+0.284)</f>
        <v>0.27008496636632595</v>
      </c>
      <c r="Q4" s="20">
        <f t="shared" ref="Q4:Q34" si="2">(O4+P4)*0.475*44/12</f>
        <v>1.4217567752663396</v>
      </c>
      <c r="R4" s="59">
        <f t="shared" si="0"/>
        <v>259.31064566415517</v>
      </c>
      <c r="S4" s="59">
        <f ca="1">AVERAGE(OFFSET($R$3,0,0,'Données projet'!$E$9+1,1))-AVERAGE(OFFSET($H$3,0,0,'Données projet'!$E$9+1,1))</f>
        <v>223.99456146593315</v>
      </c>
      <c r="T4" s="59">
        <f>$T$3</f>
        <v>132.73290587325937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0.83274715428568413</v>
      </c>
      <c r="AK4" s="13">
        <f>EXP(-1.0587+0.8836*LN(AJ4)+0.284)</f>
        <v>0.39202836439738087</v>
      </c>
      <c r="AL4" s="20">
        <f t="shared" ref="AL4:AL67" si="4">(AJ4+AK4)*0.475*44/12</f>
        <v>2.1331506950396717</v>
      </c>
      <c r="AM4" s="59">
        <f t="shared" ref="AM4:AM67" si="5">AL4+(AD4+AE4)*44/12</f>
        <v>260.02203958392852</v>
      </c>
      <c r="AN4" s="59">
        <f ca="1">AVERAGE(OFFSET($AM$3,0,0,'Données projet'!$E$10+1,1))-AVERAGE(OFFSET($H$3,0,0,'Données projet'!$E$10+1,1))</f>
        <v>244.43587473734613</v>
      </c>
      <c r="AO4" s="59">
        <f>$AO$3</f>
        <v>256.80261402149375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8.526315789473685</v>
      </c>
      <c r="BD4" s="12">
        <f>IF('Données projet'!$A$88&gt;35,BD3+BC4-BL3,IF(A4&lt;'Données projet'!$A$88,$BA$205^A4,IF(A4='Données projet'!$A$88,'Données projet'!$B$88,BD3+BC4-BL3)))</f>
        <v>1.3070441688874561</v>
      </c>
      <c r="BE4" s="13">
        <f>BD4*VLOOKUP('Données projet'!$B$11,Paramètres!$A$1:$I$89,3,0)*VLOOKUP('Données projet'!$B$11,Paramètres!$A$1:$I$89,5,0)</f>
        <v>0.73063769040808801</v>
      </c>
      <c r="BF4" s="13">
        <f>EXP(-1.0587+0.8836*LN(BE4)+0.284)</f>
        <v>0.34923616900555043</v>
      </c>
      <c r="BG4" s="20">
        <f t="shared" ref="BG4:BG67" si="7">(BE4+BF4)*0.475*44/12</f>
        <v>1.8807803051454206</v>
      </c>
      <c r="BH4" s="59">
        <f t="shared" ref="BH4:BH67" si="8">BG4+(AY4+AZ4)*44/12</f>
        <v>259.76966919403429</v>
      </c>
      <c r="BI4" s="59">
        <f ca="1">AVERAGE(OFFSET($BH$3,0,0,'Données projet'!$E$11+1,1))-AVERAGE(OFFSET($H$3,0,0,'Données projet'!$E$11+1,1))</f>
        <v>430.60186171079067</v>
      </c>
      <c r="BJ4" s="59">
        <f>$BJ$3</f>
        <v>533.76627289533985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4.857846153846153</v>
      </c>
      <c r="BY4" s="12">
        <f>IF('Données projet'!$A$114&gt;35,BY3+BX4-CG3,IF(A4&lt;'Données projet'!$A$114,$BV$205^A4,IF(A4='Données projet'!$A$114,'Données projet'!$B$114,BY3+BX4-CG3)))</f>
        <v>1.2116448776253546</v>
      </c>
      <c r="BZ4" s="13">
        <f>BY4*VLOOKUP('Données projet'!$B$12,Paramètres!$A$1:$I$89,3,0)*VLOOKUP('Données projet'!$B$12,Paramètres!$A$1:$I$89,5,0)</f>
        <v>0.72456363681996205</v>
      </c>
      <c r="CA4" s="13">
        <f>EXP(-1.0587+0.8836*LN(BZ4)+0.284)</f>
        <v>0.34666954530770067</v>
      </c>
      <c r="CB4" s="20">
        <f t="shared" ref="CB4:CB67" si="10">(BZ4+CA4)*0.475*44/12</f>
        <v>1.8657311255390123</v>
      </c>
      <c r="CC4" s="59">
        <f t="shared" ref="CC4:CC67" si="11">CB4+(BT4+BU4)*44/12</f>
        <v>259.75462001442787</v>
      </c>
      <c r="CD4" s="59">
        <f ca="1">AVERAGE(OFFSET($CC$3,0,0,'Données projet'!$E$12+1,1))-AVERAGE(OFFSET($H$3,0,0,'Données projet'!$E$12+1,1))</f>
        <v>215.89467197072673</v>
      </c>
      <c r="CE4" s="59">
        <f>$CE$3</f>
        <v>188.21397398859534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1.8914529914529912</v>
      </c>
      <c r="CT4" s="12">
        <f>IF('Données projet'!$A$140&gt;35,CT3+CS4-DB3,IF(A4&lt;'Données projet'!$A$140,$CQ$205^A4,IF(A4='Données projet'!$A$140,'Données projet'!$B$140,CT3+CS4-DB3)))</f>
        <v>1.1440997575339091</v>
      </c>
      <c r="CU4" s="17">
        <f>CT4*VLOOKUP('Données projet'!$B$13,Paramètres!$A$1:$I$89,3,0)*VLOOKUP('Données projet'!$B$13,Paramètres!$A$1:$I$89,5,0)</f>
        <v>1.160117154139384</v>
      </c>
      <c r="CV4" s="13">
        <f>EXP(-1.0587+0.8836*LN(CU4)+0.284)</f>
        <v>0.52546754602624479</v>
      </c>
      <c r="CW4" s="20">
        <f t="shared" ref="CW4:CW67" si="13">(CU4+CV4)*0.475*44/12</f>
        <v>2.9357266861218037</v>
      </c>
      <c r="CX4" s="59">
        <f t="shared" ref="CX4:CX67" si="14">CW4+(CO4+CP4)*44/12</f>
        <v>260.82461557501068</v>
      </c>
      <c r="CY4" s="59">
        <f ca="1">AVERAGE(OFFSET($CX$3,0,0,'Données projet'!$E$13+1,1))-AVERAGE(OFFSET($H$3,0,0,'Données projet'!$E$13+1,1))</f>
        <v>342.82846711287749</v>
      </c>
      <c r="CZ4" s="59">
        <f>$CZ$3</f>
        <v>152.87724741106297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0.6</v>
      </c>
      <c r="DO4" s="12">
        <f>IF('Données projet'!$A$166&gt;35,DO3+DN4-DW3,IF(A4&lt;'Données projet'!$A$166,$DL$205^A4,IF(A4='Données projet'!$A$166,'Données projet'!$B$166,DO3+DN4-DW3)))</f>
        <v>1.1577536725165907</v>
      </c>
      <c r="DP4" s="17">
        <f>DO4*VLOOKUP('Données projet'!$B$14,Paramètres!$A$1:$I$89,3,0)*VLOOKUP('Données projet'!$B$14,Paramètres!$A$1:$I$89,5,0)</f>
        <v>0.84886499268916427</v>
      </c>
      <c r="DQ4" s="13">
        <f>EXP(-1.0587+0.8836*LN(DP4)+0.284)</f>
        <v>0.39872537270470576</v>
      </c>
      <c r="DR4" s="20">
        <f t="shared" ref="DR4:DR67" si="16">(DP4+DQ4)*0.475*44/12</f>
        <v>2.1728865530609904</v>
      </c>
      <c r="DS4" s="59">
        <f t="shared" ref="DS4:DS67" si="17">DR4+(DJ4+DK4)*44/12</f>
        <v>260.06177544194986</v>
      </c>
      <c r="DT4" s="59">
        <f ca="1">AVERAGE(OFFSET($DS$3,0,0,'Données projet'!$E$14+1,1))-AVERAGE(OFFSET($H$3,0,0,'Données projet'!$E$14+1,1))</f>
        <v>208.48147873805715</v>
      </c>
      <c r="DU4" s="59">
        <f>$DU$3</f>
        <v>209.50570914630686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7.4312217194570129</v>
      </c>
      <c r="EJ4" s="12">
        <f>IF('Données projet'!$A$192&gt;35,EJ3+EI4-ER3,IF(A4&lt;'Données projet'!$A$192,$EG$205^A4,IF(A4='Données projet'!$A$192,'Données projet'!$B$192,EJ3+EI4-ER3)))</f>
        <v>1.3292852468636394</v>
      </c>
      <c r="EK4" s="17">
        <f>EJ4*VLOOKUP('Données projet'!$B$15,Paramètres!$A$1:$I$89,3,0)*VLOOKUP('Données projet'!$B$15,Paramètres!$A$1:$I$89,5,0)</f>
        <v>0.79491257762445644</v>
      </c>
      <c r="EL4" s="13">
        <f>EXP(-1.0587+0.8836*LN(EK4)+0.284)</f>
        <v>0.37624805113513943</v>
      </c>
      <c r="EM4" s="20">
        <f t="shared" ref="EM4:EM67" si="19">(EK4+EL4)*0.475*44/12</f>
        <v>2.0397714284229629</v>
      </c>
      <c r="EN4" s="59">
        <f t="shared" ref="EN4:EN67" si="20">EM4+(EE4+EF4)*44/12</f>
        <v>259.92866031731182</v>
      </c>
      <c r="EO4" s="59">
        <f ca="1">AVERAGE(OFFSET($EN$3,0,0,'Données projet'!$E$15+1,1))-AVERAGE(OFFSET($H$3,0,0,'Données projet'!$E$15+1,1))</f>
        <v>247.31680974612766</v>
      </c>
      <c r="EP4" s="59">
        <f>$EP$3</f>
        <v>257.13949761071882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0.35568</v>
      </c>
      <c r="D5" s="11">
        <f t="shared" ref="D5:D68" si="32">IFERROR(EXP(-1.0587+0.8836*LN(C5)+0.284),0)</f>
        <v>0.18487074475397844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0.83453448312894929</v>
      </c>
      <c r="H5" s="67">
        <f t="shared" si="1"/>
        <v>257.60812588044655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3.4425641025641025</v>
      </c>
      <c r="N5" s="13">
        <f>IF('Données projet'!$A$36&gt;35,N4+M5-V4,IF(A5&lt;'Données projet'!$A$36,$K$205^A5,IF(A5='Données projet'!$A$36,'Données projet'!$B$36,N4+M5-V4)))</f>
        <v>1.3622815852065062</v>
      </c>
      <c r="O5" s="13">
        <f>N5*VLOOKUP('Données projet'!$B$9,Paramètres!$A$1:$I$89,3,0)*VLOOKUP('Données projet'!$B$9,Paramètres!$A$1:$I$89,5,0)</f>
        <v>0.63754778187664485</v>
      </c>
      <c r="P5" s="13">
        <f t="shared" ref="P5:P68" si="33">EXP(-1.0587+0.8836*LN(O5)+0.284)</f>
        <v>0.30961323785545058</v>
      </c>
      <c r="Q5" s="20">
        <f t="shared" si="2"/>
        <v>1.6496387760333995</v>
      </c>
      <c r="R5" s="59">
        <f t="shared" si="0"/>
        <v>260.76074988714453</v>
      </c>
      <c r="S5" s="59">
        <f ca="1">AVERAGE(OFFSET($R$3,0,0,'Données projet'!$E$9+1,1))-AVERAGE(OFFSET($H$3,0,0,'Données projet'!$E$9+1,1))</f>
        <v>223.99456146593315</v>
      </c>
      <c r="T5" s="59">
        <f t="shared" ref="T5:T68" si="34">$T$3</f>
        <v>132.73290587325937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1.0584063232156671</v>
      </c>
      <c r="AK5" s="13">
        <f t="shared" ref="AK5:AK68" si="35">EXP(-1.0587+0.8836*LN(AJ5)+0.284)</f>
        <v>0.48454592807852009</v>
      </c>
      <c r="AL5" s="20">
        <f t="shared" si="4"/>
        <v>2.6873085043373757</v>
      </c>
      <c r="AM5" s="59">
        <f t="shared" si="5"/>
        <v>261.79841961544849</v>
      </c>
      <c r="AN5" s="59">
        <f ca="1">AVERAGE(OFFSET($AM$3,0,0,'Données projet'!$E$10+1,1))-AVERAGE(OFFSET($H$3,0,0,'Données projet'!$E$10+1,1))</f>
        <v>244.43587473734613</v>
      </c>
      <c r="AO5" s="59">
        <f t="shared" ref="AO5:AO68" si="36">$AO$3</f>
        <v>256.80261402149375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8.526315789473685</v>
      </c>
      <c r="BD5" s="12">
        <f>IF('Données projet'!$A$88&gt;35,BD4+BC5-BL4,IF(A5&lt;'Données projet'!$A$88,$BA$205^A5,IF(A5='Données projet'!$A$88,'Données projet'!$B$88,BD4+BC5-BL4)))</f>
        <v>1.708364459422701</v>
      </c>
      <c r="BE5" s="13">
        <f>BD5*VLOOKUP('Données projet'!$B$11,Paramètres!$A$1:$I$89,3,0)*VLOOKUP('Données projet'!$B$11,Paramètres!$A$1:$I$89,5,0)</f>
        <v>0.95497573281728976</v>
      </c>
      <c r="BF5" s="13">
        <f t="shared" ref="BF5:BF68" si="37">EXP(-1.0587+0.8836*LN(BE5)+0.284)</f>
        <v>0.44245926414263009</v>
      </c>
      <c r="BG5" s="20">
        <f t="shared" si="7"/>
        <v>2.4338659530385267</v>
      </c>
      <c r="BH5" s="59">
        <f t="shared" si="8"/>
        <v>261.54497706414969</v>
      </c>
      <c r="BI5" s="59">
        <f ca="1">AVERAGE(OFFSET($BH$3,0,0,'Données projet'!$E$11+1,1))-AVERAGE(OFFSET($H$3,0,0,'Données projet'!$E$11+1,1))</f>
        <v>430.60186171079067</v>
      </c>
      <c r="BJ5" s="59">
        <f t="shared" ref="BJ5:BJ68" si="38">$BJ$3</f>
        <v>533.76627289533985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4.857846153846153</v>
      </c>
      <c r="BY5" s="12">
        <f>IF('Données projet'!$A$114&gt;35,BY4+BX5-CG4,IF(A5&lt;'Données projet'!$A$114,$BV$205^A5,IF(A5='Données projet'!$A$114,'Données projet'!$B$114,BY4+BX5-CG4)))</f>
        <v>1.4680833094757604</v>
      </c>
      <c r="BZ5" s="13">
        <f>BY5*VLOOKUP('Données projet'!$B$12,Paramètres!$A$1:$I$89,3,0)*VLOOKUP('Données projet'!$B$12,Paramètres!$A$1:$I$89,5,0)</f>
        <v>0.87791381906650479</v>
      </c>
      <c r="CA5" s="13">
        <f t="shared" ref="CA5:CA68" si="39">EXP(-1.0587+0.8836*LN(BZ5)+0.284)</f>
        <v>0.41075811355440428</v>
      </c>
      <c r="CB5" s="20">
        <f t="shared" si="10"/>
        <v>2.2444369493147502</v>
      </c>
      <c r="CC5" s="59">
        <f t="shared" si="11"/>
        <v>261.35554806042592</v>
      </c>
      <c r="CD5" s="59">
        <f ca="1">AVERAGE(OFFSET($CC$3,0,0,'Données projet'!$E$12+1,1))-AVERAGE(OFFSET($H$3,0,0,'Données projet'!$E$12+1,1))</f>
        <v>215.89467197072673</v>
      </c>
      <c r="CE5" s="59">
        <f t="shared" ref="CE5:CE68" si="40">$CE$3</f>
        <v>188.21397398859534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1.8914529914529912</v>
      </c>
      <c r="CT5" s="12">
        <f>IF('Données projet'!$A$140&gt;35,CT4+CS5-DB4,IF(A5&lt;'Données projet'!$A$140,$CQ$205^A5,IF(A5='Données projet'!$A$140,'Données projet'!$B$140,CT4+CS5-DB4)))</f>
        <v>1.3089642551891496</v>
      </c>
      <c r="CU5" s="17">
        <f>CT5*VLOOKUP('Données projet'!$B$13,Paramètres!$A$1:$I$89,3,0)*VLOOKUP('Données projet'!$B$13,Paramètres!$A$1:$I$89,5,0)</f>
        <v>1.3272897547617977</v>
      </c>
      <c r="CV5" s="13">
        <f t="shared" ref="CV5:CV68" si="41">EXP(-1.0587+0.8836*LN(CU5)+0.284)</f>
        <v>0.59184038244431703</v>
      </c>
      <c r="CW5" s="20">
        <f t="shared" si="13"/>
        <v>3.3424849889673163</v>
      </c>
      <c r="CX5" s="59">
        <f t="shared" si="14"/>
        <v>262.45359610007847</v>
      </c>
      <c r="CY5" s="59">
        <f ca="1">AVERAGE(OFFSET($CX$3,0,0,'Données projet'!$E$13+1,1))-AVERAGE(OFFSET($H$3,0,0,'Données projet'!$E$13+1,1))</f>
        <v>342.82846711287749</v>
      </c>
      <c r="CZ5" s="59">
        <f t="shared" ref="CZ5:CZ68" si="42">$CZ$3</f>
        <v>152.87724741106297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0.6</v>
      </c>
      <c r="DO5" s="12">
        <f>IF('Données projet'!$A$166&gt;35,DO4+DN5-DW4,IF(A5&lt;'Données projet'!$A$166,$DL$205^A5,IF(A5='Données projet'!$A$166,'Données projet'!$B$166,DO4+DN5-DW4)))</f>
        <v>1.340393566225653</v>
      </c>
      <c r="DP5" s="17">
        <f>DO5*VLOOKUP('Données projet'!$B$14,Paramètres!$A$1:$I$89,3,0)*VLOOKUP('Données projet'!$B$14,Paramètres!$A$1:$I$89,5,0)</f>
        <v>0.98277656275664871</v>
      </c>
      <c r="DQ5" s="13">
        <f t="shared" ref="DQ5:DQ68" si="43">EXP(-1.0587+0.8836*LN(DP5)+0.284)</f>
        <v>0.45382155345822645</v>
      </c>
      <c r="DR5" s="20">
        <f t="shared" si="16"/>
        <v>2.5020750524075739</v>
      </c>
      <c r="DS5" s="59">
        <f t="shared" si="17"/>
        <v>261.61318616351872</v>
      </c>
      <c r="DT5" s="59">
        <f ca="1">AVERAGE(OFFSET($DS$3,0,0,'Données projet'!$E$14+1,1))-AVERAGE(OFFSET($H$3,0,0,'Données projet'!$E$14+1,1))</f>
        <v>208.48147873805715</v>
      </c>
      <c r="DU5" s="59">
        <f t="shared" ref="DU5:DU68" si="44">$DU$3</f>
        <v>209.50570914630686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7.4312217194570129</v>
      </c>
      <c r="EJ5" s="12">
        <f>IF('Données projet'!$A$192&gt;35,EJ4+EI5-ER4,IF(A5&lt;'Données projet'!$A$192,$EG$205^A5,IF(A5='Données projet'!$A$192,'Données projet'!$B$192,EJ4+EI5-ER4)))</f>
        <v>1.7669992675293267</v>
      </c>
      <c r="EK5" s="17">
        <f>EJ5*VLOOKUP('Données projet'!$B$15,Paramètres!$A$1:$I$89,3,0)*VLOOKUP('Données projet'!$B$15,Paramètres!$A$1:$I$89,5,0)</f>
        <v>1.0566655619825374</v>
      </c>
      <c r="EL5" s="13">
        <f t="shared" ref="EL5:EL68" si="45">EXP(-1.0587+0.8836*LN(EK5)+0.284)</f>
        <v>0.48384169076702271</v>
      </c>
      <c r="EM5" s="20">
        <f t="shared" si="19"/>
        <v>2.6830501318721502</v>
      </c>
      <c r="EN5" s="59">
        <f t="shared" si="20"/>
        <v>261.79416124298331</v>
      </c>
      <c r="EO5" s="59">
        <f ca="1">AVERAGE(OFFSET($EN$3,0,0,'Données projet'!$E$15+1,1))-AVERAGE(OFFSET($H$3,0,0,'Données projet'!$E$15+1,1))</f>
        <v>247.31680974612766</v>
      </c>
      <c r="EP5" s="59">
        <f t="shared" ref="EP5:EP68" si="46">$EP$3</f>
        <v>257.13949761071882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0.53351999999999999</v>
      </c>
      <c r="D6" s="11">
        <f t="shared" si="32"/>
        <v>0.26452238349522977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1.2320654341680741</v>
      </c>
      <c r="H6" s="67">
        <f t="shared" si="1"/>
        <v>258.05659048458756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3.4425641025641025</v>
      </c>
      <c r="N6" s="13">
        <f>IF('Données projet'!$A$36&gt;35,N5+M6-V5,IF(A6&lt;'Données projet'!$A$36,$K$205^A6,IF(A6='Données projet'!$A$36,'Données projet'!$B$36,N5+M6-V5)))</f>
        <v>1.590011732927042</v>
      </c>
      <c r="O6" s="13">
        <f>N6*VLOOKUP('Données projet'!$B$9,Paramètres!$A$1:$I$89,3,0)*VLOOKUP('Données projet'!$B$9,Paramètres!$A$1:$I$89,5,0)</f>
        <v>0.7441254910098557</v>
      </c>
      <c r="P6" s="13">
        <f t="shared" si="33"/>
        <v>0.35492666750402163</v>
      </c>
      <c r="Q6" s="20">
        <f t="shared" si="2"/>
        <v>1.9141825094116696</v>
      </c>
      <c r="R6" s="59">
        <f t="shared" si="0"/>
        <v>262.24751584274497</v>
      </c>
      <c r="S6" s="59">
        <f ca="1">AVERAGE(OFFSET($R$3,0,0,'Données projet'!$E$9+1,1))-AVERAGE(OFFSET($H$3,0,0,'Données projet'!$E$9+1,1))</f>
        <v>223.99456146593315</v>
      </c>
      <c r="T6" s="59">
        <f t="shared" si="34"/>
        <v>132.73290587325937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1.3452149782292753</v>
      </c>
      <c r="AK6" s="13">
        <f t="shared" si="35"/>
        <v>0.59889737003693966</v>
      </c>
      <c r="AL6" s="20">
        <f t="shared" si="4"/>
        <v>3.3859956732303242</v>
      </c>
      <c r="AM6" s="59">
        <f t="shared" si="5"/>
        <v>263.71932900656361</v>
      </c>
      <c r="AN6" s="59">
        <f ca="1">AVERAGE(OFFSET($AM$3,0,0,'Données projet'!$E$10+1,1))-AVERAGE(OFFSET($H$3,0,0,'Données projet'!$E$10+1,1))</f>
        <v>244.43587473734613</v>
      </c>
      <c r="AO6" s="59">
        <f t="shared" si="36"/>
        <v>256.80261402149375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8.526315789473685</v>
      </c>
      <c r="BD6" s="12">
        <f>IF('Données projet'!$A$88&gt;35,BD5+BC6-BL5,IF(A6&lt;'Données projet'!$A$88,$BA$205^A6,IF(A6='Données projet'!$A$88,'Données projet'!$B$88,BD5+BC6-BL5)))</f>
        <v>2.2329078050230127</v>
      </c>
      <c r="BE6" s="13">
        <f>BD6*VLOOKUP('Données projet'!$B$11,Paramètres!$A$1:$I$89,3,0)*VLOOKUP('Données projet'!$B$11,Paramètres!$A$1:$I$89,5,0)</f>
        <v>1.248195463007864</v>
      </c>
      <c r="BF6" s="13">
        <f t="shared" si="37"/>
        <v>0.56056679634040518</v>
      </c>
      <c r="BG6" s="20">
        <f t="shared" si="7"/>
        <v>3.1502609350315693</v>
      </c>
      <c r="BH6" s="59">
        <f t="shared" si="8"/>
        <v>263.48359426836487</v>
      </c>
      <c r="BI6" s="59">
        <f ca="1">AVERAGE(OFFSET($BH$3,0,0,'Données projet'!$E$11+1,1))-AVERAGE(OFFSET($H$3,0,0,'Données projet'!$E$11+1,1))</f>
        <v>430.60186171079067</v>
      </c>
      <c r="BJ6" s="59">
        <f t="shared" si="38"/>
        <v>533.76627289533985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4.857846153846153</v>
      </c>
      <c r="BY6" s="12">
        <f>IF('Données projet'!$A$114&gt;35,BY5+BX6-CG5,IF(A6&lt;'Données projet'!$A$114,$BV$205^A6,IF(A6='Données projet'!$A$114,'Données projet'!$B$114,BY5+BX6-CG5)))</f>
        <v>1.7787956218535832</v>
      </c>
      <c r="BZ6" s="13">
        <f>BY6*VLOOKUP('Données projet'!$B$12,Paramètres!$A$1:$I$89,3,0)*VLOOKUP('Données projet'!$B$12,Paramètres!$A$1:$I$89,5,0)</f>
        <v>1.0637197818684427</v>
      </c>
      <c r="CA6" s="13">
        <f t="shared" si="39"/>
        <v>0.48669469278305533</v>
      </c>
      <c r="CB6" s="20">
        <f t="shared" si="10"/>
        <v>2.7003052100180258</v>
      </c>
      <c r="CC6" s="59">
        <f t="shared" si="11"/>
        <v>263.03363854335134</v>
      </c>
      <c r="CD6" s="59">
        <f ca="1">AVERAGE(OFFSET($CC$3,0,0,'Données projet'!$E$12+1,1))-AVERAGE(OFFSET($H$3,0,0,'Données projet'!$E$12+1,1))</f>
        <v>215.89467197072673</v>
      </c>
      <c r="CE6" s="59">
        <f t="shared" si="40"/>
        <v>188.21397398859534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1.8914529914529912</v>
      </c>
      <c r="CT6" s="12">
        <f>IF('Données projet'!$A$140&gt;35,CT5+CS6-DB5,IF(A6&lt;'Données projet'!$A$140,$CQ$205^A6,IF(A6='Données projet'!$A$140,'Données projet'!$B$140,CT5+CS6-DB5)))</f>
        <v>1.49758568698246</v>
      </c>
      <c r="CU6" s="17">
        <f>CT6*VLOOKUP('Données projet'!$B$13,Paramètres!$A$1:$I$89,3,0)*VLOOKUP('Données projet'!$B$13,Paramètres!$A$1:$I$89,5,0)</f>
        <v>1.5185518866002146</v>
      </c>
      <c r="CV6" s="13">
        <f t="shared" si="41"/>
        <v>0.66659690201750477</v>
      </c>
      <c r="CW6" s="20">
        <f t="shared" si="13"/>
        <v>3.8058008068425271</v>
      </c>
      <c r="CX6" s="59">
        <f t="shared" si="14"/>
        <v>264.13913414017583</v>
      </c>
      <c r="CY6" s="59">
        <f ca="1">AVERAGE(OFFSET($CX$3,0,0,'Données projet'!$E$13+1,1))-AVERAGE(OFFSET($H$3,0,0,'Données projet'!$E$13+1,1))</f>
        <v>342.82846711287749</v>
      </c>
      <c r="CZ6" s="59">
        <f t="shared" si="42"/>
        <v>152.87724741106297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0.6</v>
      </c>
      <c r="DO6" s="12">
        <f>IF('Données projet'!$A$166&gt;35,DO5+DN6-DW5,IF(A6&lt;'Données projet'!$A$166,$DL$205^A6,IF(A6='Données projet'!$A$166,'Données projet'!$B$166,DO5+DN6-DW5)))</f>
        <v>1.5518455739153598</v>
      </c>
      <c r="DP6" s="17">
        <f>DO6*VLOOKUP('Données projet'!$B$14,Paramètres!$A$1:$I$89,3,0)*VLOOKUP('Données projet'!$B$14,Paramètres!$A$1:$I$89,5,0)</f>
        <v>1.137813174794742</v>
      </c>
      <c r="DQ6" s="13">
        <f t="shared" si="43"/>
        <v>0.51653096713202284</v>
      </c>
      <c r="DR6" s="20">
        <f t="shared" si="16"/>
        <v>2.8813160471891153</v>
      </c>
      <c r="DS6" s="59">
        <f t="shared" si="17"/>
        <v>263.21464938052242</v>
      </c>
      <c r="DT6" s="59">
        <f ca="1">AVERAGE(OFFSET($DS$3,0,0,'Données projet'!$E$14+1,1))-AVERAGE(OFFSET($H$3,0,0,'Données projet'!$E$14+1,1))</f>
        <v>208.48147873805715</v>
      </c>
      <c r="DU6" s="59">
        <f t="shared" si="44"/>
        <v>209.50570914630686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7.4312217194570129</v>
      </c>
      <c r="EJ6" s="12">
        <f>IF('Données projet'!$A$192&gt;35,EJ5+EI6-ER5,IF(A6&lt;'Données projet'!$A$192,$EG$205^A6,IF(A6='Données projet'!$A$192,'Données projet'!$B$192,EJ5+EI6-ER5)))</f>
        <v>2.3488460575455909</v>
      </c>
      <c r="EK6" s="17">
        <f>EJ6*VLOOKUP('Données projet'!$B$15,Paramètres!$A$1:$I$89,3,0)*VLOOKUP('Données projet'!$B$15,Paramètres!$A$1:$I$89,5,0)</f>
        <v>1.4046099424122636</v>
      </c>
      <c r="EL6" s="13">
        <f t="shared" si="45"/>
        <v>0.62220330714804695</v>
      </c>
      <c r="EM6" s="20">
        <f t="shared" si="19"/>
        <v>3.5300330763175403</v>
      </c>
      <c r="EN6" s="59">
        <f t="shared" si="20"/>
        <v>263.86336640965084</v>
      </c>
      <c r="EO6" s="59">
        <f ca="1">AVERAGE(OFFSET($EN$3,0,0,'Données projet'!$E$15+1,1))-AVERAGE(OFFSET($H$3,0,0,'Données projet'!$E$15+1,1))</f>
        <v>247.31680974612766</v>
      </c>
      <c r="EP6" s="59">
        <f t="shared" si="46"/>
        <v>257.13949761071882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0.71135999999999999</v>
      </c>
      <c r="D7" s="11">
        <f t="shared" si="32"/>
        <v>0.3410816026545056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1.62482212339643</v>
      </c>
      <c r="H7" s="67">
        <f t="shared" si="1"/>
        <v>258.49966912462327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3.4425641025641025</v>
      </c>
      <c r="N7" s="13">
        <f>IF('Données projet'!$A$36&gt;35,N6+M7-V6,IF(A7&lt;'Données projet'!$A$36,$K$205^A7,IF(A7='Données projet'!$A$36,'Données projet'!$B$36,N6+M7-V6)))</f>
        <v>1.8558111173927514</v>
      </c>
      <c r="O7" s="13">
        <f>N7*VLOOKUP('Données projet'!$B$9,Paramètres!$A$1:$I$89,3,0)*VLOOKUP('Données projet'!$B$9,Paramètres!$A$1:$I$89,5,0)</f>
        <v>0.86851960293980757</v>
      </c>
      <c r="P7" s="13">
        <f t="shared" si="33"/>
        <v>0.40687194183965542</v>
      </c>
      <c r="Q7" s="20">
        <f t="shared" si="2"/>
        <v>2.2213069404908978</v>
      </c>
      <c r="R7" s="59">
        <f t="shared" si="0"/>
        <v>263.77686249604642</v>
      </c>
      <c r="S7" s="59">
        <f ca="1">AVERAGE(OFFSET($R$3,0,0,'Données projet'!$E$9+1,1))-AVERAGE(OFFSET($H$3,0,0,'Données projet'!$E$9+1,1))</f>
        <v>223.99456146593315</v>
      </c>
      <c r="T7" s="59">
        <f t="shared" si="34"/>
        <v>132.73290587325937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1.7097435058347183</v>
      </c>
      <c r="AK7" s="13">
        <f t="shared" si="35"/>
        <v>0.74023542259349984</v>
      </c>
      <c r="AL7" s="20">
        <f t="shared" si="4"/>
        <v>4.2670466336791462</v>
      </c>
      <c r="AM7" s="59">
        <f t="shared" si="5"/>
        <v>265.82260218923471</v>
      </c>
      <c r="AN7" s="59">
        <f ca="1">AVERAGE(OFFSET($AM$3,0,0,'Données projet'!$E$10+1,1))-AVERAGE(OFFSET($H$3,0,0,'Données projet'!$E$10+1,1))</f>
        <v>244.43587473734613</v>
      </c>
      <c r="AO7" s="59">
        <f t="shared" si="36"/>
        <v>256.80261402149375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8.526315789473685</v>
      </c>
      <c r="BD7" s="12">
        <f>IF('Données projet'!$A$88&gt;35,BD6+BC7-BL6,IF(A7&lt;'Données projet'!$A$88,$BA$205^A7,IF(A7='Données projet'!$A$88,'Données projet'!$B$88,BD6+BC7-BL6)))</f>
        <v>2.9185091262186176</v>
      </c>
      <c r="BE7" s="13">
        <f>BD7*VLOOKUP('Données projet'!$B$11,Paramètres!$A$1:$I$89,3,0)*VLOOKUP('Données projet'!$B$11,Paramètres!$A$1:$I$89,5,0)</f>
        <v>1.6314466015562072</v>
      </c>
      <c r="BF7" s="13">
        <f t="shared" si="37"/>
        <v>0.71020127416305878</v>
      </c>
      <c r="BG7" s="20">
        <f t="shared" si="7"/>
        <v>4.0783700502110554</v>
      </c>
      <c r="BH7" s="59">
        <f t="shared" si="8"/>
        <v>265.63392560576659</v>
      </c>
      <c r="BI7" s="59">
        <f ca="1">AVERAGE(OFFSET($BH$3,0,0,'Données projet'!$E$11+1,1))-AVERAGE(OFFSET($H$3,0,0,'Données projet'!$E$11+1,1))</f>
        <v>430.60186171079067</v>
      </c>
      <c r="BJ7" s="59">
        <f t="shared" si="38"/>
        <v>533.76627289533985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4.857846153846153</v>
      </c>
      <c r="BY7" s="12">
        <f>IF('Données projet'!$A$114&gt;35,BY6+BX7-CG6,IF(A7&lt;'Données projet'!$A$114,$BV$205^A7,IF(A7='Données projet'!$A$114,'Données projet'!$B$114,BY6+BX7-CG6)))</f>
        <v>2.1552686035613013</v>
      </c>
      <c r="BZ7" s="13">
        <f>BY7*VLOOKUP('Données projet'!$B$12,Paramètres!$A$1:$I$89,3,0)*VLOOKUP('Données projet'!$B$12,Paramètres!$A$1:$I$89,5,0)</f>
        <v>1.2888506249296583</v>
      </c>
      <c r="CA7" s="13">
        <f t="shared" si="39"/>
        <v>0.57666961690294016</v>
      </c>
      <c r="CB7" s="20">
        <f t="shared" si="10"/>
        <v>3.2491144211917753</v>
      </c>
      <c r="CC7" s="59">
        <f t="shared" si="11"/>
        <v>264.80466997674733</v>
      </c>
      <c r="CD7" s="59">
        <f ca="1">AVERAGE(OFFSET($CC$3,0,0,'Données projet'!$E$12+1,1))-AVERAGE(OFFSET($H$3,0,0,'Données projet'!$E$12+1,1))</f>
        <v>215.89467197072673</v>
      </c>
      <c r="CE7" s="59">
        <f t="shared" si="40"/>
        <v>188.21397398859534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1.8914529914529912</v>
      </c>
      <c r="CT7" s="12">
        <f>IF('Données projet'!$A$140&gt;35,CT6+CS7-DB6,IF(A7&lt;'Données projet'!$A$140,$CQ$205^A7,IF(A7='Données projet'!$A$140,'Données projet'!$B$140,CT6+CS7-DB6)))</f>
        <v>1.7133874213628852</v>
      </c>
      <c r="CU7" s="17">
        <f>CT7*VLOOKUP('Données projet'!$B$13,Paramètres!$A$1:$I$89,3,0)*VLOOKUP('Données projet'!$B$13,Paramètres!$A$1:$I$89,5,0)</f>
        <v>1.7373748452619655</v>
      </c>
      <c r="CV7" s="13">
        <f t="shared" si="41"/>
        <v>0.75079606420932499</v>
      </c>
      <c r="CW7" s="20">
        <f t="shared" si="13"/>
        <v>4.3335643339958301</v>
      </c>
      <c r="CX7" s="59">
        <f t="shared" si="14"/>
        <v>265.88911988955135</v>
      </c>
      <c r="CY7" s="59">
        <f ca="1">AVERAGE(OFFSET($CX$3,0,0,'Données projet'!$E$13+1,1))-AVERAGE(OFFSET($H$3,0,0,'Données projet'!$E$13+1,1))</f>
        <v>342.82846711287749</v>
      </c>
      <c r="CZ7" s="59">
        <f t="shared" si="42"/>
        <v>152.87724741106297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0.6</v>
      </c>
      <c r="DO7" s="12">
        <f>IF('Données projet'!$A$166&gt;35,DO6+DN7-DW6,IF(A7&lt;'Données projet'!$A$166,$DL$205^A7,IF(A7='Données projet'!$A$166,'Données projet'!$B$166,DO6+DN7-DW6)))</f>
        <v>1.796654912379124</v>
      </c>
      <c r="DP7" s="17">
        <f>DO7*VLOOKUP('Données projet'!$B$14,Paramètres!$A$1:$I$89,3,0)*VLOOKUP('Données projet'!$B$14,Paramètres!$A$1:$I$89,5,0)</f>
        <v>1.3173073817563736</v>
      </c>
      <c r="DQ7" s="13">
        <f t="shared" si="43"/>
        <v>0.58790561614632908</v>
      </c>
      <c r="DR7" s="20">
        <f t="shared" si="16"/>
        <v>3.3182459713472077</v>
      </c>
      <c r="DS7" s="59">
        <f t="shared" si="17"/>
        <v>264.87380152690275</v>
      </c>
      <c r="DT7" s="59">
        <f ca="1">AVERAGE(OFFSET($DS$3,0,0,'Données projet'!$E$14+1,1))-AVERAGE(OFFSET($H$3,0,0,'Données projet'!$E$14+1,1))</f>
        <v>208.48147873805715</v>
      </c>
      <c r="DU7" s="59">
        <f t="shared" si="44"/>
        <v>209.50570914630686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7.4312217194570129</v>
      </c>
      <c r="EJ7" s="12">
        <f>IF('Données projet'!$A$192&gt;35,EJ6+EI7-ER6,IF(A7&lt;'Données projet'!$A$192,$EG$205^A7,IF(A7='Données projet'!$A$192,'Données projet'!$B$192,EJ6+EI7-ER6)))</f>
        <v>3.1222864114491768</v>
      </c>
      <c r="EK7" s="17">
        <f>EJ7*VLOOKUP('Données projet'!$B$15,Paramètres!$A$1:$I$89,3,0)*VLOOKUP('Données projet'!$B$15,Paramètres!$A$1:$I$89,5,0)</f>
        <v>1.8671272740466078</v>
      </c>
      <c r="EL7" s="13">
        <f t="shared" si="45"/>
        <v>0.80013145376589556</v>
      </c>
      <c r="EM7" s="20">
        <f t="shared" si="19"/>
        <v>4.6454756176067766</v>
      </c>
      <c r="EN7" s="59">
        <f t="shared" si="20"/>
        <v>266.20103117316233</v>
      </c>
      <c r="EO7" s="59">
        <f ca="1">AVERAGE(OFFSET($EN$3,0,0,'Données projet'!$E$15+1,1))-AVERAGE(OFFSET($H$3,0,0,'Données projet'!$E$15+1,1))</f>
        <v>247.31680974612766</v>
      </c>
      <c r="EP7" s="59">
        <f t="shared" si="46"/>
        <v>257.13949761071882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8" s="11">
        <f t="shared" si="32"/>
        <v>0.41542055579923082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2.0141510335146022</v>
      </c>
      <c r="H8" s="67">
        <f t="shared" si="1"/>
        <v>258.93888080135036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3.4425641025641025</v>
      </c>
      <c r="N8" s="13">
        <f>IF('Données projet'!$A$36&gt;35,N7+M8-V7,IF(A8&lt;'Données projet'!$A$36,$K$205^A8,IF(A8='Données projet'!$A$36,'Données projet'!$B$36,N7+M8-V7)))</f>
        <v>2.1660437040287945</v>
      </c>
      <c r="O8" s="13">
        <f>N8*VLOOKUP('Données projet'!$B$9,Paramètres!$A$1:$I$89,3,0)*VLOOKUP('Données projet'!$B$9,Paramètres!$A$1:$I$89,5,0)</f>
        <v>1.0137084534854759</v>
      </c>
      <c r="P8" s="13">
        <f t="shared" si="33"/>
        <v>0.46641966415357117</v>
      </c>
      <c r="Q8" s="20">
        <f t="shared" si="2"/>
        <v>2.5778898048880068</v>
      </c>
      <c r="R8" s="59">
        <f t="shared" si="0"/>
        <v>265.35566758266577</v>
      </c>
      <c r="S8" s="59">
        <f ca="1">AVERAGE(OFFSET($R$3,0,0,'Données projet'!$E$9+1,1))-AVERAGE(OFFSET($H$3,0,0,'Données projet'!$E$9+1,1))</f>
        <v>223.99456146593315</v>
      </c>
      <c r="T8" s="59">
        <f t="shared" si="34"/>
        <v>132.73290587325937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2.173052562640859</v>
      </c>
      <c r="AK8" s="13">
        <f t="shared" si="35"/>
        <v>0.91492884804015795</v>
      </c>
      <c r="AL8" s="20">
        <f t="shared" si="4"/>
        <v>5.3782342902694369</v>
      </c>
      <c r="AM8" s="59">
        <f t="shared" si="5"/>
        <v>268.15601206804723</v>
      </c>
      <c r="AN8" s="59">
        <f ca="1">AVERAGE(OFFSET($AM$3,0,0,'Données projet'!$E$10+1,1))-AVERAGE(OFFSET($H$3,0,0,'Données projet'!$E$10+1,1))</f>
        <v>244.43587473734613</v>
      </c>
      <c r="AO8" s="59">
        <f t="shared" si="36"/>
        <v>256.80261402149375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8.526315789473685</v>
      </c>
      <c r="BD8" s="12">
        <f>IF('Données projet'!$A$88&gt;35,BD7+BC8-BL7,IF(A8&lt;'Données projet'!$A$88,$BA$205^A8,IF(A8='Données projet'!$A$88,'Données projet'!$B$88,BD7+BC8-BL7)))</f>
        <v>3.8146203352688688</v>
      </c>
      <c r="BE8" s="13">
        <f>BD8*VLOOKUP('Données projet'!$B$11,Paramètres!$A$1:$I$89,3,0)*VLOOKUP('Données projet'!$B$11,Paramètres!$A$1:$I$89,5,0)</f>
        <v>2.1323727674152977</v>
      </c>
      <c r="BF8" s="13">
        <f t="shared" si="37"/>
        <v>0.89977831922200224</v>
      </c>
      <c r="BG8" s="20">
        <f t="shared" si="7"/>
        <v>5.2809964758932972</v>
      </c>
      <c r="BH8" s="59">
        <f t="shared" si="8"/>
        <v>268.05877425367106</v>
      </c>
      <c r="BI8" s="59">
        <f ca="1">AVERAGE(OFFSET($BH$3,0,0,'Données projet'!$E$11+1,1))-AVERAGE(OFFSET($H$3,0,0,'Données projet'!$E$11+1,1))</f>
        <v>430.60186171079067</v>
      </c>
      <c r="BJ8" s="59">
        <f t="shared" si="38"/>
        <v>533.76627289533985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4.857846153846153</v>
      </c>
      <c r="BY8" s="12">
        <f>IF('Données projet'!$A$114&gt;35,BY7+BX8-CG7,IF(A8&lt;'Données projet'!$A$114,$BV$205^A8,IF(A8='Données projet'!$A$114,'Données projet'!$B$114,BY7+BX8-CG7)))</f>
        <v>2.6114201634118017</v>
      </c>
      <c r="BZ8" s="13">
        <f>BY8*VLOOKUP('Données projet'!$B$12,Paramètres!$A$1:$I$89,3,0)*VLOOKUP('Données projet'!$B$12,Paramètres!$A$1:$I$89,5,0)</f>
        <v>1.5616292577202577</v>
      </c>
      <c r="CA8" s="13">
        <f t="shared" si="39"/>
        <v>0.68327814539620879</v>
      </c>
      <c r="CB8" s="20">
        <f t="shared" si="10"/>
        <v>3.909880393761179</v>
      </c>
      <c r="CC8" s="59">
        <f t="shared" si="11"/>
        <v>266.68765817153894</v>
      </c>
      <c r="CD8" s="59">
        <f ca="1">AVERAGE(OFFSET($CC$3,0,0,'Données projet'!$E$12+1,1))-AVERAGE(OFFSET($H$3,0,0,'Données projet'!$E$12+1,1))</f>
        <v>215.89467197072673</v>
      </c>
      <c r="CE8" s="59">
        <f t="shared" si="40"/>
        <v>188.21397398859534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1.8914529914529912</v>
      </c>
      <c r="CT8" s="12">
        <f>IF('Données projet'!$A$140&gt;35,CT7+CS8-DB7,IF(A8&lt;'Données projet'!$A$140,$CQ$205^A8,IF(A8='Données projet'!$A$140,'Données projet'!$B$140,CT7+CS8-DB7)))</f>
        <v>1.9602861333429269</v>
      </c>
      <c r="CU8" s="17">
        <f>CT8*VLOOKUP('Données projet'!$B$13,Paramètres!$A$1:$I$89,3,0)*VLOOKUP('Données projet'!$B$13,Paramètres!$A$1:$I$89,5,0)</f>
        <v>1.9877301392097282</v>
      </c>
      <c r="CV8" s="13">
        <f t="shared" si="41"/>
        <v>0.84563058773022992</v>
      </c>
      <c r="CW8" s="20">
        <f t="shared" si="13"/>
        <v>4.9347699327537597</v>
      </c>
      <c r="CX8" s="59">
        <f t="shared" si="14"/>
        <v>267.71254771053151</v>
      </c>
      <c r="CY8" s="59">
        <f ca="1">AVERAGE(OFFSET($CX$3,0,0,'Données projet'!$E$13+1,1))-AVERAGE(OFFSET($H$3,0,0,'Données projet'!$E$13+1,1))</f>
        <v>342.82846711287749</v>
      </c>
      <c r="CZ8" s="59">
        <f t="shared" si="42"/>
        <v>152.87724741106297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0.6</v>
      </c>
      <c r="DO8" s="12">
        <f>IF('Données projet'!$A$166&gt;35,DO7+DN8-DW7,IF(A8&lt;'Données projet'!$A$166,$DL$205^A8,IF(A8='Données projet'!$A$166,'Données projet'!$B$166,DO7+DN8-DW7)))</f>
        <v>2.0800838230519041</v>
      </c>
      <c r="DP8" s="17">
        <f>DO8*VLOOKUP('Données projet'!$B$14,Paramètres!$A$1:$I$89,3,0)*VLOOKUP('Données projet'!$B$14,Paramètres!$A$1:$I$89,5,0)</f>
        <v>1.5251174590616561</v>
      </c>
      <c r="DQ8" s="13">
        <f t="shared" si="43"/>
        <v>0.66914286943042611</v>
      </c>
      <c r="DR8" s="20">
        <f t="shared" si="16"/>
        <v>3.8216700721237102</v>
      </c>
      <c r="DS8" s="59">
        <f t="shared" si="17"/>
        <v>266.59944784990148</v>
      </c>
      <c r="DT8" s="59">
        <f ca="1">AVERAGE(OFFSET($DS$3,0,0,'Données projet'!$E$14+1,1))-AVERAGE(OFFSET($H$3,0,0,'Données projet'!$E$14+1,1))</f>
        <v>208.48147873805715</v>
      </c>
      <c r="DU8" s="59">
        <f t="shared" si="44"/>
        <v>209.50570914630686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7.4312217194570129</v>
      </c>
      <c r="EJ8" s="12">
        <f>IF('Données projet'!$A$192&gt;35,EJ7+EI8-ER7,IF(A8&lt;'Données projet'!$A$192,$EG$205^A8,IF(A8='Données projet'!$A$192,'Données projet'!$B$192,EJ7+EI8-ER7)))</f>
        <v>4.1504092632222056</v>
      </c>
      <c r="EK8" s="17">
        <f>EJ8*VLOOKUP('Données projet'!$B$15,Paramètres!$A$1:$I$89,3,0)*VLOOKUP('Données projet'!$B$15,Paramètres!$A$1:$I$89,5,0)</f>
        <v>2.4819447394068792</v>
      </c>
      <c r="EL8" s="13">
        <f t="shared" si="45"/>
        <v>1.0289407593154982</v>
      </c>
      <c r="EM8" s="20">
        <f t="shared" si="19"/>
        <v>6.1147922436081394</v>
      </c>
      <c r="EN8" s="59">
        <f t="shared" si="20"/>
        <v>268.89257002138589</v>
      </c>
      <c r="EO8" s="59">
        <f ca="1">AVERAGE(OFFSET($EN$3,0,0,'Données projet'!$E$15+1,1))-AVERAGE(OFFSET($H$3,0,0,'Données projet'!$E$15+1,1))</f>
        <v>247.31680974612766</v>
      </c>
      <c r="EP8" s="59">
        <f t="shared" si="46"/>
        <v>257.13949761071882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1.06704</v>
      </c>
      <c r="D9" s="11">
        <f t="shared" si="32"/>
        <v>0.48803675573769273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2.4008202544722281</v>
      </c>
      <c r="H9" s="67">
        <f t="shared" si="1"/>
        <v>259.37509201624317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3.4425641025641025</v>
      </c>
      <c r="N9" s="13">
        <f>IF('Données projet'!$A$36&gt;35,N8+M9-V8,IF(A9&lt;'Données projet'!$A$36,$K$205^A9,IF(A9='Données projet'!$A$36,'Données projet'!$B$36,N8+M9-V8)))</f>
        <v>2.5281373108456551</v>
      </c>
      <c r="O9" s="13">
        <f>N9*VLOOKUP('Données projet'!$B$9,Paramètres!$A$1:$I$89,3,0)*VLOOKUP('Données projet'!$B$9,Paramètres!$A$1:$I$89,5,0)</f>
        <v>1.1831682614757666</v>
      </c>
      <c r="P9" s="13">
        <f t="shared" si="33"/>
        <v>0.53468249033221249</v>
      </c>
      <c r="Q9" s="20">
        <f t="shared" si="2"/>
        <v>2.9919233927322302</v>
      </c>
      <c r="R9" s="59">
        <f t="shared" si="0"/>
        <v>266.99192339273225</v>
      </c>
      <c r="S9" s="59">
        <f ca="1">AVERAGE(OFFSET($R$3,0,0,'Données projet'!$E$9+1,1))-AVERAGE(OFFSET($H$3,0,0,'Données projet'!$E$9+1,1))</f>
        <v>223.99456146593315</v>
      </c>
      <c r="T9" s="59">
        <f t="shared" si="34"/>
        <v>132.73290587325937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2.7619098560018145</v>
      </c>
      <c r="AK9" s="13">
        <f t="shared" si="35"/>
        <v>1.1308494182070246</v>
      </c>
      <c r="AL9" s="20">
        <f t="shared" si="4"/>
        <v>6.7798890692470613</v>
      </c>
      <c r="AM9" s="59">
        <f t="shared" si="5"/>
        <v>270.77988906924708</v>
      </c>
      <c r="AN9" s="59">
        <f ca="1">AVERAGE(OFFSET($AM$3,0,0,'Données projet'!$E$10+1,1))-AVERAGE(OFFSET($H$3,0,0,'Données projet'!$E$10+1,1))</f>
        <v>244.43587473734613</v>
      </c>
      <c r="AO9" s="59">
        <f t="shared" si="36"/>
        <v>256.80261402149375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8.526315789473685</v>
      </c>
      <c r="BD9" s="12">
        <f>IF('Données projet'!$A$88&gt;35,BD8+BC9-BL8,IF(A9&lt;'Données projet'!$A$88,$BA$205^A9,IF(A9='Données projet'!$A$88,'Données projet'!$B$88,BD8+BC9-BL8)))</f>
        <v>4.9858772657326877</v>
      </c>
      <c r="BE9" s="13">
        <f>BD9*VLOOKUP('Données projet'!$B$11,Paramètres!$A$1:$I$89,3,0)*VLOOKUP('Données projet'!$B$11,Paramètres!$A$1:$I$89,5,0)</f>
        <v>2.7871053915445723</v>
      </c>
      <c r="BF9" s="13">
        <f t="shared" si="37"/>
        <v>1.1399599707787778</v>
      </c>
      <c r="BG9" s="20">
        <f t="shared" si="7"/>
        <v>6.839638839379834</v>
      </c>
      <c r="BH9" s="59">
        <f t="shared" si="8"/>
        <v>270.83963883937986</v>
      </c>
      <c r="BI9" s="59">
        <f ca="1">AVERAGE(OFFSET($BH$3,0,0,'Données projet'!$E$11+1,1))-AVERAGE(OFFSET($H$3,0,0,'Données projet'!$E$11+1,1))</f>
        <v>430.60186171079067</v>
      </c>
      <c r="BJ9" s="59">
        <f t="shared" si="38"/>
        <v>533.76627289533985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4.857846153846153</v>
      </c>
      <c r="BY9" s="12">
        <f>IF('Données projet'!$A$114&gt;35,BY8+BX9-CG8,IF(A9&lt;'Données projet'!$A$114,$BV$205^A9,IF(A9='Données projet'!$A$114,'Données projet'!$B$114,BY8+BX9-CG8)))</f>
        <v>3.164113864325476</v>
      </c>
      <c r="BZ9" s="13">
        <f>BY9*VLOOKUP('Données projet'!$B$12,Paramètres!$A$1:$I$89,3,0)*VLOOKUP('Données projet'!$B$12,Paramètres!$A$1:$I$89,5,0)</f>
        <v>1.8921400908666348</v>
      </c>
      <c r="CA9" s="13">
        <f t="shared" si="39"/>
        <v>0.80959532163918713</v>
      </c>
      <c r="CB9" s="20">
        <f t="shared" si="10"/>
        <v>4.7055225101143057</v>
      </c>
      <c r="CC9" s="59">
        <f t="shared" si="11"/>
        <v>268.70552251011429</v>
      </c>
      <c r="CD9" s="59">
        <f ca="1">AVERAGE(OFFSET($CC$3,0,0,'Données projet'!$E$12+1,1))-AVERAGE(OFFSET($H$3,0,0,'Données projet'!$E$12+1,1))</f>
        <v>215.89467197072673</v>
      </c>
      <c r="CE9" s="59">
        <f t="shared" si="40"/>
        <v>188.21397398859534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1.8914529914529912</v>
      </c>
      <c r="CT9" s="12">
        <f>IF('Données projet'!$A$140&gt;35,CT8+CS9-DB8,IF(A9&lt;'Données projet'!$A$140,$CQ$205^A9,IF(A9='Données projet'!$A$140,'Données projet'!$B$140,CT8+CS9-DB8)))</f>
        <v>2.2427628898547267</v>
      </c>
      <c r="CU9" s="17">
        <f>CT9*VLOOKUP('Données projet'!$B$13,Paramètres!$A$1:$I$89,3,0)*VLOOKUP('Données projet'!$B$13,Paramètres!$A$1:$I$89,5,0)</f>
        <v>2.2741615703126929</v>
      </c>
      <c r="CV9" s="13">
        <f t="shared" si="41"/>
        <v>0.95244384593044884</v>
      </c>
      <c r="CW9" s="20">
        <f t="shared" si="13"/>
        <v>5.6196710999568049</v>
      </c>
      <c r="CX9" s="59">
        <f t="shared" si="14"/>
        <v>269.6196710999568</v>
      </c>
      <c r="CY9" s="59">
        <f ca="1">AVERAGE(OFFSET($CX$3,0,0,'Données projet'!$E$13+1,1))-AVERAGE(OFFSET($H$3,0,0,'Données projet'!$E$13+1,1))</f>
        <v>342.82846711287749</v>
      </c>
      <c r="CZ9" s="59">
        <f t="shared" si="42"/>
        <v>152.87724741106297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0.6</v>
      </c>
      <c r="DO9" s="12">
        <f>IF('Données projet'!$A$166&gt;35,DO8+DN9-DW8,IF(A9&lt;'Données projet'!$A$166,$DL$205^A9,IF(A9='Données projet'!$A$166,'Données projet'!$B$166,DO8+DN9-DW8)))</f>
        <v>2.4082246852806919</v>
      </c>
      <c r="DP9" s="17">
        <f>DO9*VLOOKUP('Données projet'!$B$14,Paramètres!$A$1:$I$89,3,0)*VLOOKUP('Données projet'!$B$14,Paramètres!$A$1:$I$89,5,0)</f>
        <v>1.7657103392478033</v>
      </c>
      <c r="DQ9" s="13">
        <f t="shared" si="43"/>
        <v>0.7616055492794257</v>
      </c>
      <c r="DR9" s="20">
        <f t="shared" si="16"/>
        <v>4.4017418391849237</v>
      </c>
      <c r="DS9" s="59">
        <f t="shared" si="17"/>
        <v>268.40174183918492</v>
      </c>
      <c r="DT9" s="59">
        <f ca="1">AVERAGE(OFFSET($DS$3,0,0,'Données projet'!$E$14+1,1))-AVERAGE(OFFSET($H$3,0,0,'Données projet'!$E$14+1,1))</f>
        <v>208.48147873805715</v>
      </c>
      <c r="DU9" s="59">
        <f t="shared" si="44"/>
        <v>209.50570914630686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7.4312217194570129</v>
      </c>
      <c r="EJ9" s="12">
        <f>IF('Données projet'!$A$192&gt;35,EJ8+EI9-ER8,IF(A9&lt;'Données projet'!$A$192,$EG$205^A9,IF(A9='Données projet'!$A$192,'Données projet'!$B$192,EJ8+EI9-ER8)))</f>
        <v>5.5170778020474653</v>
      </c>
      <c r="EK9" s="17">
        <f>EJ9*VLOOKUP('Données projet'!$B$15,Paramètres!$A$1:$I$89,3,0)*VLOOKUP('Données projet'!$B$15,Paramètres!$A$1:$I$89,5,0)</f>
        <v>3.2992125256243843</v>
      </c>
      <c r="EL9" s="13">
        <f t="shared" si="45"/>
        <v>1.3231814362474952</v>
      </c>
      <c r="EM9" s="20">
        <f t="shared" si="19"/>
        <v>8.0506694835935235</v>
      </c>
      <c r="EN9" s="59">
        <f t="shared" si="20"/>
        <v>272.05066948359354</v>
      </c>
      <c r="EO9" s="59">
        <f ca="1">AVERAGE(OFFSET($EN$3,0,0,'Données projet'!$E$15+1,1))-AVERAGE(OFFSET($H$3,0,0,'Données projet'!$E$15+1,1))</f>
        <v>247.31680974612766</v>
      </c>
      <c r="EP9" s="59">
        <f t="shared" si="46"/>
        <v>257.13949761071882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1.24488</v>
      </c>
      <c r="D10" s="11">
        <f t="shared" si="32"/>
        <v>0.55925092974078128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2.7853249441612067</v>
      </c>
      <c r="H10" s="67">
        <f t="shared" si="1"/>
        <v>259.80886136929854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3.4425641025641025</v>
      </c>
      <c r="N10" s="13">
        <f>IF('Données projet'!$A$36&gt;35,N9+M10-V9,IF(A10&lt;'Données projet'!$A$36,$K$205^A10,IF(A10='Données projet'!$A$36,'Données projet'!$B$36,N9+M10-V9)))</f>
        <v>2.9507614507509188</v>
      </c>
      <c r="O10" s="13">
        <f>N10*VLOOKUP('Données projet'!$B$9,Paramètres!$A$1:$I$89,3,0)*VLOOKUP('Données projet'!$B$9,Paramètres!$A$1:$I$89,5,0)</f>
        <v>1.38095635895143</v>
      </c>
      <c r="P10" s="13">
        <f t="shared" si="33"/>
        <v>0.61293591895758326</v>
      </c>
      <c r="Q10" s="20">
        <f t="shared" si="2"/>
        <v>3.472695717358198</v>
      </c>
      <c r="R10" s="59">
        <f t="shared" si="0"/>
        <v>268.69491793958042</v>
      </c>
      <c r="S10" s="59">
        <f ca="1">AVERAGE(OFFSET($R$3,0,0,'Données projet'!$E$9+1,1))-AVERAGE(OFFSET($H$3,0,0,'Données projet'!$E$9+1,1))</f>
        <v>223.99456146593315</v>
      </c>
      <c r="T10" s="59">
        <f t="shared" si="34"/>
        <v>132.73290587325937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3.510336649845994</v>
      </c>
      <c r="AK10" s="13">
        <f t="shared" si="35"/>
        <v>1.397726620379814</v>
      </c>
      <c r="AL10" s="20">
        <f t="shared" si="4"/>
        <v>8.5482101956432839</v>
      </c>
      <c r="AM10" s="59">
        <f t="shared" si="5"/>
        <v>273.77043241786549</v>
      </c>
      <c r="AN10" s="59">
        <f ca="1">AVERAGE(OFFSET($AM$3,0,0,'Données projet'!$E$10+1,1))-AVERAGE(OFFSET($H$3,0,0,'Données projet'!$E$10+1,1))</f>
        <v>244.43587473734613</v>
      </c>
      <c r="AO10" s="59">
        <f t="shared" si="36"/>
        <v>256.80261402149375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8.526315789473685</v>
      </c>
      <c r="BD10" s="12">
        <f>IF('Données projet'!$A$88&gt;35,BD9+BC10-BL9,IF(A10&lt;'Données projet'!$A$88,$BA$205^A10,IF(A10='Données projet'!$A$88,'Données projet'!$B$88,BD9+BC10-BL9)))</f>
        <v>6.5167618069644444</v>
      </c>
      <c r="BE10" s="13">
        <f>BD10*VLOOKUP('Données projet'!$B$11,Paramètres!$A$1:$I$89,3,0)*VLOOKUP('Données projet'!$B$11,Paramètres!$A$1:$I$89,5,0)</f>
        <v>3.6428698500931249</v>
      </c>
      <c r="BF10" s="13">
        <f t="shared" si="37"/>
        <v>1.4442543315575544</v>
      </c>
      <c r="BG10" s="20">
        <f t="shared" si="7"/>
        <v>8.8600746163749324</v>
      </c>
      <c r="BH10" s="59">
        <f t="shared" si="8"/>
        <v>274.08229683859719</v>
      </c>
      <c r="BI10" s="59">
        <f ca="1">AVERAGE(OFFSET($BH$3,0,0,'Données projet'!$E$11+1,1))-AVERAGE(OFFSET($H$3,0,0,'Données projet'!$E$11+1,1))</f>
        <v>430.60186171079067</v>
      </c>
      <c r="BJ10" s="59">
        <f t="shared" si="38"/>
        <v>533.76627289533985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4.857846153846153</v>
      </c>
      <c r="BY10" s="12">
        <f>IF('Données projet'!$A$114&gt;35,BY9+BX10-CG9,IF(A10&lt;'Données projet'!$A$114,$BV$205^A10,IF(A10='Données projet'!$A$114,'Données projet'!$B$114,BY9+BX10-CG9)))</f>
        <v>3.8337823559333288</v>
      </c>
      <c r="BZ10" s="13">
        <f>BY10*VLOOKUP('Données projet'!$B$12,Paramètres!$A$1:$I$89,3,0)*VLOOKUP('Données projet'!$B$12,Paramètres!$A$1:$I$89,5,0)</f>
        <v>2.2926018488481308</v>
      </c>
      <c r="CA10" s="13">
        <f t="shared" si="39"/>
        <v>0.95926467023175421</v>
      </c>
      <c r="CB10" s="20">
        <f t="shared" si="10"/>
        <v>5.6636675207308</v>
      </c>
      <c r="CC10" s="59">
        <f t="shared" si="11"/>
        <v>270.88588974295305</v>
      </c>
      <c r="CD10" s="59">
        <f ca="1">AVERAGE(OFFSET($CC$3,0,0,'Données projet'!$E$12+1,1))-AVERAGE(OFFSET($H$3,0,0,'Données projet'!$E$12+1,1))</f>
        <v>215.89467197072673</v>
      </c>
      <c r="CE10" s="59">
        <f t="shared" si="40"/>
        <v>188.21397398859534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1.8914529914529912</v>
      </c>
      <c r="CT10" s="12">
        <f>IF('Données projet'!$A$140&gt;35,CT9+CS10-DB9,IF(A10&lt;'Données projet'!$A$140,$CQ$205^A10,IF(A10='Données projet'!$A$140,'Données projet'!$B$140,CT9+CS10-DB9)))</f>
        <v>2.5659444784888423</v>
      </c>
      <c r="CU10" s="17">
        <f>CT10*VLOOKUP('Données projet'!$B$13,Paramètres!$A$1:$I$89,3,0)*VLOOKUP('Données projet'!$B$13,Paramètres!$A$1:$I$89,5,0)</f>
        <v>2.6018677011876861</v>
      </c>
      <c r="CV10" s="13">
        <f t="shared" si="41"/>
        <v>1.0727488962830427</v>
      </c>
      <c r="CW10" s="20">
        <f t="shared" si="13"/>
        <v>6.3999572405948522</v>
      </c>
      <c r="CX10" s="59">
        <f t="shared" si="14"/>
        <v>271.62217946281709</v>
      </c>
      <c r="CY10" s="59">
        <f ca="1">AVERAGE(OFFSET($CX$3,0,0,'Données projet'!$E$13+1,1))-AVERAGE(OFFSET($H$3,0,0,'Données projet'!$E$13+1,1))</f>
        <v>342.82846711287749</v>
      </c>
      <c r="CZ10" s="59">
        <f t="shared" si="42"/>
        <v>152.87724741106297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0.6</v>
      </c>
      <c r="DO10" s="12">
        <f>IF('Données projet'!$A$166&gt;35,DO9+DN10-DW9,IF(A10&lt;'Données projet'!$A$166,$DL$205^A10,IF(A10='Données projet'!$A$166,'Données projet'!$B$166,DO9+DN10-DW9)))</f>
        <v>2.788130973628832</v>
      </c>
      <c r="DP10" s="17">
        <f>DO10*VLOOKUP('Données projet'!$B$14,Paramètres!$A$1:$I$89,3,0)*VLOOKUP('Données projet'!$B$14,Paramètres!$A$1:$I$89,5,0)</f>
        <v>2.0442576298646595</v>
      </c>
      <c r="DQ10" s="13">
        <f t="shared" si="43"/>
        <v>0.8668447938284809</v>
      </c>
      <c r="DR10" s="20">
        <f t="shared" si="16"/>
        <v>5.0701700545988864</v>
      </c>
      <c r="DS10" s="59">
        <f t="shared" si="17"/>
        <v>270.29239227682109</v>
      </c>
      <c r="DT10" s="59">
        <f ca="1">AVERAGE(OFFSET($DS$3,0,0,'Données projet'!$E$14+1,1))-AVERAGE(OFFSET($H$3,0,0,'Données projet'!$E$14+1,1))</f>
        <v>208.48147873805715</v>
      </c>
      <c r="DU10" s="59">
        <f t="shared" si="44"/>
        <v>209.50570914630686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7.4312217194570129</v>
      </c>
      <c r="EJ10" s="12">
        <f>IF('Données projet'!$A$192&gt;35,EJ9+EI10-ER9,IF(A10&lt;'Données projet'!$A$192,$EG$205^A10,IF(A10='Données projet'!$A$192,'Données projet'!$B$192,EJ9+EI10-ER9)))</f>
        <v>7.3337701280605696</v>
      </c>
      <c r="EK10" s="17">
        <f>EJ10*VLOOKUP('Données projet'!$B$15,Paramètres!$A$1:$I$89,3,0)*VLOOKUP('Données projet'!$B$15,Paramètres!$A$1:$I$89,5,0)</f>
        <v>4.3855945365802205</v>
      </c>
      <c r="EL10" s="13">
        <f t="shared" si="45"/>
        <v>1.7015645433219191</v>
      </c>
      <c r="EM10" s="20">
        <f t="shared" si="19"/>
        <v>10.601802064162893</v>
      </c>
      <c r="EN10" s="59">
        <f t="shared" si="20"/>
        <v>275.82402428638511</v>
      </c>
      <c r="EO10" s="59">
        <f ca="1">AVERAGE(OFFSET($EN$3,0,0,'Données projet'!$E$15+1,1))-AVERAGE(OFFSET($H$3,0,0,'Données projet'!$E$15+1,1))</f>
        <v>247.31680974612766</v>
      </c>
      <c r="EP10" s="59">
        <f t="shared" si="46"/>
        <v>257.13949761071882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1.42272</v>
      </c>
      <c r="D11" s="11">
        <f t="shared" si="32"/>
        <v>0.62928647701497653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3.1680099996020687</v>
      </c>
      <c r="H11" s="67">
        <f t="shared" si="1"/>
        <v>260.24057794746778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3.4425641025641025</v>
      </c>
      <c r="N11" s="13">
        <f>IF('Données projet'!$A$36&gt;35,N10+M11-V10,IF(A11&lt;'Données projet'!$A$36,$K$205^A11,IF(A11='Données projet'!$A$36,'Données projet'!$B$36,N10+M11-V10)))</f>
        <v>3.4440349034385327</v>
      </c>
      <c r="O11" s="13">
        <f>N11*VLOOKUP('Données projet'!$B$9,Paramètres!$A$1:$I$89,3,0)*VLOOKUP('Données projet'!$B$9,Paramètres!$A$1:$I$89,5,0)</f>
        <v>1.6118083348092334</v>
      </c>
      <c r="P11" s="13">
        <f t="shared" si="33"/>
        <v>0.70264212414165761</v>
      </c>
      <c r="Q11" s="20">
        <f t="shared" si="2"/>
        <v>4.0310012160061346</v>
      </c>
      <c r="R11" s="59">
        <f t="shared" si="0"/>
        <v>270.47544566045059</v>
      </c>
      <c r="S11" s="59">
        <f ca="1">AVERAGE(OFFSET($R$3,0,0,'Données projet'!$E$9+1,1))-AVERAGE(OFFSET($H$3,0,0,'Données projet'!$E$9+1,1))</f>
        <v>223.99456146593315</v>
      </c>
      <c r="T11" s="59">
        <f t="shared" si="34"/>
        <v>132.73290587325937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4.4615733451526163</v>
      </c>
      <c r="AK11" s="13">
        <f t="shared" si="35"/>
        <v>1.7275860727911023</v>
      </c>
      <c r="AL11" s="20">
        <f t="shared" si="4"/>
        <v>10.779452652918643</v>
      </c>
      <c r="AM11" s="59">
        <f t="shared" si="5"/>
        <v>277.22389709736308</v>
      </c>
      <c r="AN11" s="59">
        <f ca="1">AVERAGE(OFFSET($AM$3,0,0,'Données projet'!$E$10+1,1))-AVERAGE(OFFSET($H$3,0,0,'Données projet'!$E$10+1,1))</f>
        <v>244.43587473734613</v>
      </c>
      <c r="AO11" s="59">
        <f t="shared" si="36"/>
        <v>256.80261402149375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8.526315789473685</v>
      </c>
      <c r="BD11" s="12">
        <f>IF('Données projet'!$A$88&gt;35,BD10+BC11-BL10,IF(A11&lt;'Données projet'!$A$88,$BA$205^A11,IF(A11='Données projet'!$A$88,'Données projet'!$B$88,BD10+BC11-BL10)))</f>
        <v>8.5176955198213591</v>
      </c>
      <c r="BE11" s="13">
        <f>BD11*VLOOKUP('Données projet'!$B$11,Paramètres!$A$1:$I$89,3,0)*VLOOKUP('Données projet'!$B$11,Paramètres!$A$1:$I$89,5,0)</f>
        <v>4.7613917955801393</v>
      </c>
      <c r="BF11" s="13">
        <f t="shared" si="37"/>
        <v>1.8297752795633417</v>
      </c>
      <c r="BG11" s="20">
        <f t="shared" si="7"/>
        <v>11.479615989208229</v>
      </c>
      <c r="BH11" s="59">
        <f t="shared" si="8"/>
        <v>277.9240604336527</v>
      </c>
      <c r="BI11" s="59">
        <f ca="1">AVERAGE(OFFSET($BH$3,0,0,'Données projet'!$E$11+1,1))-AVERAGE(OFFSET($H$3,0,0,'Données projet'!$E$11+1,1))</f>
        <v>430.60186171079067</v>
      </c>
      <c r="BJ11" s="59">
        <f t="shared" si="38"/>
        <v>533.76627289533985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4.857846153846153</v>
      </c>
      <c r="BY11" s="12">
        <f>IF('Données projet'!$A$114&gt;35,BY10+BX11-CG10,IF(A11&lt;'Données projet'!$A$114,$BV$205^A11,IF(A11='Données projet'!$A$114,'Données projet'!$B$114,BY10+BX11-CG10)))</f>
        <v>4.6451827534970818</v>
      </c>
      <c r="BZ11" s="13">
        <f>BY11*VLOOKUP('Données projet'!$B$12,Paramètres!$A$1:$I$89,3,0)*VLOOKUP('Données projet'!$B$12,Paramètres!$A$1:$I$89,5,0)</f>
        <v>2.7778192865912552</v>
      </c>
      <c r="CA11" s="13">
        <f t="shared" si="39"/>
        <v>1.136603291743004</v>
      </c>
      <c r="CB11" s="20">
        <f t="shared" si="10"/>
        <v>6.8176193239321679</v>
      </c>
      <c r="CC11" s="59">
        <f t="shared" si="11"/>
        <v>273.26206376837661</v>
      </c>
      <c r="CD11" s="59">
        <f ca="1">AVERAGE(OFFSET($CC$3,0,0,'Données projet'!$E$12+1,1))-AVERAGE(OFFSET($H$3,0,0,'Données projet'!$E$12+1,1))</f>
        <v>215.89467197072673</v>
      </c>
      <c r="CE11" s="59">
        <f t="shared" si="40"/>
        <v>188.21397398859534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1.8914529914529912</v>
      </c>
      <c r="CT11" s="12">
        <f>IF('Données projet'!$A$140&gt;35,CT10+CS11-DB10,IF(A11&lt;'Données projet'!$A$140,$CQ$205^A11,IF(A11='Données projet'!$A$140,'Données projet'!$B$140,CT10+CS11-DB10)))</f>
        <v>2.9356964556845573</v>
      </c>
      <c r="CU11" s="17">
        <f>CT11*VLOOKUP('Données projet'!$B$13,Paramètres!$A$1:$I$89,3,0)*VLOOKUP('Données projet'!$B$13,Paramètres!$A$1:$I$89,5,0)</f>
        <v>2.9767962060641411</v>
      </c>
      <c r="CV11" s="13">
        <f t="shared" si="41"/>
        <v>1.2082499135182836</v>
      </c>
      <c r="CW11" s="20">
        <f t="shared" si="13"/>
        <v>7.2889553249393897</v>
      </c>
      <c r="CX11" s="59">
        <f t="shared" si="14"/>
        <v>273.73339976938382</v>
      </c>
      <c r="CY11" s="59">
        <f ca="1">AVERAGE(OFFSET($CX$3,0,0,'Données projet'!$E$13+1,1))-AVERAGE(OFFSET($H$3,0,0,'Données projet'!$E$13+1,1))</f>
        <v>342.82846711287749</v>
      </c>
      <c r="CZ11" s="59">
        <f t="shared" si="42"/>
        <v>152.87724741106297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0.6</v>
      </c>
      <c r="DO11" s="12">
        <f>IF('Données projet'!$A$166&gt;35,DO10+DN11-DW10,IF(A11&lt;'Données projet'!$A$166,$DL$205^A11,IF(A11='Données projet'!$A$166,'Données projet'!$B$166,DO10+DN11-DW10)))</f>
        <v>3.227968874176038</v>
      </c>
      <c r="DP11" s="17">
        <f>DO11*VLOOKUP('Données projet'!$B$14,Paramètres!$A$1:$I$89,3,0)*VLOOKUP('Données projet'!$B$14,Paramètres!$A$1:$I$89,5,0)</f>
        <v>2.3667467785458709</v>
      </c>
      <c r="DQ11" s="13">
        <f t="shared" si="43"/>
        <v>0.98662607868138441</v>
      </c>
      <c r="DR11" s="20">
        <f t="shared" si="16"/>
        <v>5.8404577263374691</v>
      </c>
      <c r="DS11" s="59">
        <f t="shared" si="17"/>
        <v>272.28490217078195</v>
      </c>
      <c r="DT11" s="59">
        <f ca="1">AVERAGE(OFFSET($DS$3,0,0,'Données projet'!$E$14+1,1))-AVERAGE(OFFSET($H$3,0,0,'Données projet'!$E$14+1,1))</f>
        <v>208.48147873805715</v>
      </c>
      <c r="DU11" s="59">
        <f t="shared" si="44"/>
        <v>209.50570914630686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7.4312217194570129</v>
      </c>
      <c r="EJ11" s="12">
        <f>IF('Données projet'!$A$192&gt;35,EJ10+EI11-ER10,IF(A11&lt;'Données projet'!$A$192,$EG$205^A11,IF(A11='Données projet'!$A$192,'Données projet'!$B$192,EJ10+EI11-ER10)))</f>
        <v>9.748672435120179</v>
      </c>
      <c r="EK11" s="17">
        <f>EJ11*VLOOKUP('Données projet'!$B$15,Paramètres!$A$1:$I$89,3,0)*VLOOKUP('Données projet'!$B$15,Paramètres!$A$1:$I$89,5,0)</f>
        <v>5.8297061162018684</v>
      </c>
      <c r="EL11" s="13">
        <f t="shared" si="45"/>
        <v>2.1881518405377438</v>
      </c>
      <c r="EM11" s="20">
        <f t="shared" si="19"/>
        <v>13.96443594132149</v>
      </c>
      <c r="EN11" s="59">
        <f t="shared" si="20"/>
        <v>280.40888038576594</v>
      </c>
      <c r="EO11" s="59">
        <f ca="1">AVERAGE(OFFSET($EN$3,0,0,'Données projet'!$E$15+1,1))-AVERAGE(OFFSET($H$3,0,0,'Données projet'!$E$15+1,1))</f>
        <v>247.31680974612766</v>
      </c>
      <c r="EP11" s="59">
        <f t="shared" si="46"/>
        <v>257.13949761071882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1.60056</v>
      </c>
      <c r="D12" s="11">
        <f t="shared" si="32"/>
        <v>0.69830759881890692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3.5491289244923476</v>
      </c>
      <c r="H12" s="67">
        <f t="shared" si="1"/>
        <v>260.67052773460961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3.4425641025641025</v>
      </c>
      <c r="N12" s="13">
        <f>IF('Données projet'!$A$36&gt;35,N11+M12-V11,IF(A12&lt;'Données projet'!$A$36,$K$205^A12,IF(A12='Données projet'!$A$36,'Données projet'!$B$36,N11+M12-V11)))</f>
        <v>4.0197679866952116</v>
      </c>
      <c r="O12" s="13">
        <f>N12*VLOOKUP('Données projet'!$B$9,Paramètres!$A$1:$I$89,3,0)*VLOOKUP('Données projet'!$B$9,Paramètres!$A$1:$I$89,5,0)</f>
        <v>1.881251417773359</v>
      </c>
      <c r="P12" s="13">
        <f t="shared" si="33"/>
        <v>0.80547727641405575</v>
      </c>
      <c r="Q12" s="20">
        <f t="shared" si="2"/>
        <v>4.6793858090430804</v>
      </c>
      <c r="R12" s="59">
        <f t="shared" si="0"/>
        <v>272.34605247570977</v>
      </c>
      <c r="S12" s="59">
        <f ca="1">AVERAGE(OFFSET($R$3,0,0,'Données projet'!$E$9+1,1))-AVERAGE(OFFSET($H$3,0,0,'Données projet'!$E$9+1,1))</f>
        <v>223.99456146593315</v>
      </c>
      <c r="T12" s="59">
        <f t="shared" si="34"/>
        <v>132.73290587325937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5.6705776966005823</v>
      </c>
      <c r="AK12" s="13">
        <f t="shared" si="35"/>
        <v>2.1352914049034637</v>
      </c>
      <c r="AL12" s="20">
        <f t="shared" si="4"/>
        <v>13.59522201845288</v>
      </c>
      <c r="AM12" s="59">
        <f t="shared" si="5"/>
        <v>281.26188868511957</v>
      </c>
      <c r="AN12" s="59">
        <f ca="1">AVERAGE(OFFSET($AM$3,0,0,'Données projet'!$E$10+1,1))-AVERAGE(OFFSET($H$3,0,0,'Données projet'!$E$10+1,1))</f>
        <v>244.43587473734613</v>
      </c>
      <c r="AO12" s="59">
        <f t="shared" si="36"/>
        <v>256.80261402149375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8.526315789473685</v>
      </c>
      <c r="BD12" s="12">
        <f>IF('Données projet'!$A$88&gt;35,BD11+BC12-BL11,IF(A12&lt;'Données projet'!$A$88,$BA$205^A12,IF(A12='Données projet'!$A$88,'Données projet'!$B$88,BD11+BC12-BL11)))</f>
        <v>11.133004261541316</v>
      </c>
      <c r="BE12" s="13">
        <f>BD12*VLOOKUP('Données projet'!$B$11,Paramètres!$A$1:$I$89,3,0)*VLOOKUP('Données projet'!$B$11,Paramètres!$A$1:$I$89,5,0)</f>
        <v>6.2233493822015964</v>
      </c>
      <c r="BF12" s="13">
        <f t="shared" si="37"/>
        <v>2.3182049730052579</v>
      </c>
      <c r="BG12" s="20">
        <f t="shared" si="7"/>
        <v>14.87654050198527</v>
      </c>
      <c r="BH12" s="59">
        <f t="shared" si="8"/>
        <v>282.54320716865197</v>
      </c>
      <c r="BI12" s="59">
        <f ca="1">AVERAGE(OFFSET($BH$3,0,0,'Données projet'!$E$11+1,1))-AVERAGE(OFFSET($H$3,0,0,'Données projet'!$E$11+1,1))</f>
        <v>430.60186171079067</v>
      </c>
      <c r="BJ12" s="59">
        <f t="shared" si="38"/>
        <v>533.76627289533985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4.857846153846153</v>
      </c>
      <c r="BY12" s="12">
        <f>IF('Données projet'!$A$114&gt;35,BY11+BX12-CG11,IF(A12&lt;'Données projet'!$A$114,$BV$205^A12,IF(A12='Données projet'!$A$114,'Données projet'!$B$114,BY11+BX12-CG11)))</f>
        <v>5.628311888908379</v>
      </c>
      <c r="BZ12" s="13">
        <f>BY12*VLOOKUP('Données projet'!$B$12,Paramètres!$A$1:$I$89,3,0)*VLOOKUP('Données projet'!$B$12,Paramètres!$A$1:$I$89,5,0)</f>
        <v>3.3657305095672108</v>
      </c>
      <c r="CA12" s="13">
        <f t="shared" si="39"/>
        <v>1.3467263862526309</v>
      </c>
      <c r="CB12" s="20">
        <f t="shared" si="10"/>
        <v>8.2075290935528908</v>
      </c>
      <c r="CC12" s="59">
        <f t="shared" si="11"/>
        <v>275.87419576021955</v>
      </c>
      <c r="CD12" s="59">
        <f ca="1">AVERAGE(OFFSET($CC$3,0,0,'Données projet'!$E$12+1,1))-AVERAGE(OFFSET($H$3,0,0,'Données projet'!$E$12+1,1))</f>
        <v>215.89467197072673</v>
      </c>
      <c r="CE12" s="59">
        <f t="shared" si="40"/>
        <v>188.21397398859534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1.8914529914529912</v>
      </c>
      <c r="CT12" s="12">
        <f>IF('Données projet'!$A$140&gt;35,CT11+CS12-DB11,IF(A12&lt;'Données projet'!$A$140,$CQ$205^A12,IF(A12='Données projet'!$A$140,'Données projet'!$B$140,CT11+CS12-DB11)))</f>
        <v>3.3587296031418585</v>
      </c>
      <c r="CU12" s="17">
        <f>CT12*VLOOKUP('Données projet'!$B$13,Paramètres!$A$1:$I$89,3,0)*VLOOKUP('Données projet'!$B$13,Paramètres!$A$1:$I$89,5,0)</f>
        <v>3.4057518175858448</v>
      </c>
      <c r="CV12" s="13">
        <f t="shared" si="41"/>
        <v>1.360866330019282</v>
      </c>
      <c r="CW12" s="20">
        <f t="shared" si="13"/>
        <v>8.3018599404122622</v>
      </c>
      <c r="CX12" s="59">
        <f t="shared" si="14"/>
        <v>275.96852660707896</v>
      </c>
      <c r="CY12" s="59">
        <f ca="1">AVERAGE(OFFSET($CX$3,0,0,'Données projet'!$E$13+1,1))-AVERAGE(OFFSET($H$3,0,0,'Données projet'!$E$13+1,1))</f>
        <v>342.82846711287749</v>
      </c>
      <c r="CZ12" s="59">
        <f t="shared" si="42"/>
        <v>152.87724741106297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0.6</v>
      </c>
      <c r="DO12" s="12">
        <f>IF('Données projet'!$A$166&gt;35,DO11+DN12-DW11,IF(A12&lt;'Données projet'!$A$166,$DL$205^A12,IF(A12='Données projet'!$A$166,'Données projet'!$B$166,DO11+DN12-DW11)))</f>
        <v>3.7371928188465526</v>
      </c>
      <c r="DP12" s="17">
        <f>DO12*VLOOKUP('Données projet'!$B$14,Paramètres!$A$1:$I$89,3,0)*VLOOKUP('Données projet'!$B$14,Paramètres!$A$1:$I$89,5,0)</f>
        <v>2.7401097747782925</v>
      </c>
      <c r="DQ12" s="13">
        <f t="shared" si="43"/>
        <v>1.1229588342279577</v>
      </c>
      <c r="DR12" s="20">
        <f t="shared" si="16"/>
        <v>6.7281778273525523</v>
      </c>
      <c r="DS12" s="59">
        <f t="shared" si="17"/>
        <v>274.39484449401925</v>
      </c>
      <c r="DT12" s="59">
        <f ca="1">AVERAGE(OFFSET($DS$3,0,0,'Données projet'!$E$14+1,1))-AVERAGE(OFFSET($H$3,0,0,'Données projet'!$E$14+1,1))</f>
        <v>208.48147873805715</v>
      </c>
      <c r="DU12" s="59">
        <f t="shared" si="44"/>
        <v>209.50570914630686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7.4312217194570129</v>
      </c>
      <c r="EJ12" s="12">
        <f>IF('Données projet'!$A$192&gt;35,EJ11+EI12-ER11,IF(A12&lt;'Données projet'!$A$192,$EG$205^A12,IF(A12='Données projet'!$A$192,'Données projet'!$B$192,EJ11+EI12-ER11)))</f>
        <v>12.958766444511483</v>
      </c>
      <c r="EK12" s="17">
        <f>EJ12*VLOOKUP('Données projet'!$B$15,Paramètres!$A$1:$I$89,3,0)*VLOOKUP('Données projet'!$B$15,Paramètres!$A$1:$I$89,5,0)</f>
        <v>7.7493423338178671</v>
      </c>
      <c r="EL12" s="13">
        <f t="shared" si="45"/>
        <v>2.8138859005026107</v>
      </c>
      <c r="EM12" s="20">
        <f t="shared" si="19"/>
        <v>18.397622508108167</v>
      </c>
      <c r="EN12" s="59">
        <f t="shared" si="20"/>
        <v>286.06428917477484</v>
      </c>
      <c r="EO12" s="59">
        <f ca="1">AVERAGE(OFFSET($EN$3,0,0,'Données projet'!$E$15+1,1))-AVERAGE(OFFSET($H$3,0,0,'Données projet'!$E$15+1,1))</f>
        <v>247.31680974612766</v>
      </c>
      <c r="EP12" s="59">
        <f t="shared" si="46"/>
        <v>257.13949761071882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13" s="11">
        <f t="shared" si="32"/>
        <v>0.76643986660078545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3.9288755835240199</v>
      </c>
      <c r="H13" s="67">
        <f t="shared" si="1"/>
        <v>261.0989294343297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3.4425641025641025</v>
      </c>
      <c r="N13" s="13">
        <f>IF('Données projet'!$A$36&gt;35,N12+M13-V12,IF(A13&lt;'Données projet'!$A$36,$K$205^A13,IF(A13='Données projet'!$A$36,'Données projet'!$B$36,N12+M13-V12)))</f>
        <v>4.6917453277627805</v>
      </c>
      <c r="O13" s="13">
        <f>N13*VLOOKUP('Données projet'!$B$9,Paramètres!$A$1:$I$89,3,0)*VLOOKUP('Données projet'!$B$9,Paramètres!$A$1:$I$89,5,0)</f>
        <v>2.1957368133929811</v>
      </c>
      <c r="P13" s="13">
        <f t="shared" si="33"/>
        <v>0.9233628621568436</v>
      </c>
      <c r="Q13" s="20">
        <f t="shared" si="2"/>
        <v>5.432431934915944</v>
      </c>
      <c r="R13" s="59">
        <f t="shared" si="0"/>
        <v>274.3213208238048</v>
      </c>
      <c r="S13" s="59">
        <f ca="1">AVERAGE(OFFSET($R$3,0,0,'Données projet'!$E$9+1,1))-AVERAGE(OFFSET($H$3,0,0,'Données projet'!$E$9+1,1))</f>
        <v>223.99456146593315</v>
      </c>
      <c r="T13" s="59">
        <f t="shared" si="34"/>
        <v>132.73290587325937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7.2072000000000003</v>
      </c>
      <c r="AK13" s="13">
        <f t="shared" si="35"/>
        <v>2.6392140198770462</v>
      </c>
      <c r="AL13" s="20">
        <f t="shared" si="4"/>
        <v>17.149171084619187</v>
      </c>
      <c r="AM13" s="59">
        <f t="shared" si="5"/>
        <v>286.03805997350804</v>
      </c>
      <c r="AN13" s="59">
        <f ca="1">AVERAGE(OFFSET($AM$3,0,0,'Données projet'!$E$10+1,1))-AVERAGE(OFFSET($H$3,0,0,'Données projet'!$E$10+1,1))</f>
        <v>244.43587473734613</v>
      </c>
      <c r="AO13" s="59">
        <f t="shared" si="36"/>
        <v>256.80261402149375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4.3000000000000003E-2</v>
      </c>
      <c r="AT13" s="16">
        <f>IF(ISNA(VLOOKUP(A13,'Données projet'!$A$61:$I$81,7,0)),0%,VLOOKUP(A13,'Données projet'!$A$61:$I$81,7,0))</f>
        <v>0.3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3.1022450236522271E-2</v>
      </c>
      <c r="AW13" s="21">
        <f>EXP(-LN(2)/2)*AW12+(1-EXP(-LN(2)/2))/(LN(2)/2)*AQ13*AT13*VLOOKUP('Données projet'!$B$10,Paramètres!$A$1:$I$89,3,0)*0.475*44/12</f>
        <v>0.18545965033483505</v>
      </c>
      <c r="AX13" s="21">
        <f t="shared" si="6"/>
        <v>0.21648210057135733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8.526315789473685</v>
      </c>
      <c r="BD13" s="12">
        <f>IF('Données projet'!$A$88&gt;35,BD12+BC13-BL12,IF(A13&lt;'Données projet'!$A$88,$BA$205^A13,IF(A13='Données projet'!$A$88,'Données projet'!$B$88,BD12+BC13-BL12)))</f>
        <v>14.551328302246779</v>
      </c>
      <c r="BE13" s="13">
        <f>BD13*VLOOKUP('Données projet'!$B$11,Paramètres!$A$1:$I$89,3,0)*VLOOKUP('Données projet'!$B$11,Paramètres!$A$1:$I$89,5,0)</f>
        <v>8.1341925209559491</v>
      </c>
      <c r="BF13" s="13">
        <f t="shared" si="37"/>
        <v>2.9370132807503975</v>
      </c>
      <c r="BG13" s="20">
        <f t="shared" si="7"/>
        <v>19.282350104638549</v>
      </c>
      <c r="BH13" s="59">
        <f t="shared" si="8"/>
        <v>288.17123899352742</v>
      </c>
      <c r="BI13" s="59">
        <f ca="1">AVERAGE(OFFSET($BH$3,0,0,'Données projet'!$E$11+1,1))-AVERAGE(OFFSET($H$3,0,0,'Données projet'!$E$11+1,1))</f>
        <v>430.60186171079067</v>
      </c>
      <c r="BJ13" s="59">
        <f t="shared" si="38"/>
        <v>533.76627289533985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4.857846153846153</v>
      </c>
      <c r="BY13" s="12">
        <f>IF('Données projet'!$A$114&gt;35,BY12+BX13-CG12,IF(A13&lt;'Données projet'!$A$114,$BV$205^A13,IF(A13='Données projet'!$A$114,'Données projet'!$B$114,BY12+BX13-CG12)))</f>
        <v>6.8195152698737207</v>
      </c>
      <c r="BZ13" s="13">
        <f>BY13*VLOOKUP('Données projet'!$B$12,Paramètres!$A$1:$I$89,3,0)*VLOOKUP('Données projet'!$B$12,Paramètres!$A$1:$I$89,5,0)</f>
        <v>4.0780701313844849</v>
      </c>
      <c r="CA13" s="13">
        <f t="shared" si="39"/>
        <v>1.5956947974765834</v>
      </c>
      <c r="CB13" s="20">
        <f t="shared" si="10"/>
        <v>9.8818072510996942</v>
      </c>
      <c r="CC13" s="59">
        <f t="shared" si="11"/>
        <v>278.77069613998856</v>
      </c>
      <c r="CD13" s="59">
        <f ca="1">AVERAGE(OFFSET($CC$3,0,0,'Données projet'!$E$12+1,1))-AVERAGE(OFFSET($H$3,0,0,'Données projet'!$E$12+1,1))</f>
        <v>215.89467197072673</v>
      </c>
      <c r="CE13" s="59">
        <f t="shared" si="40"/>
        <v>188.21397398859534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1.8914529914529912</v>
      </c>
      <c r="CT13" s="12">
        <f>IF('Données projet'!$A$140&gt;35,CT12+CS13-DB12,IF(A13&lt;'Données projet'!$A$140,$CQ$205^A13,IF(A13='Données projet'!$A$140,'Données projet'!$B$140,CT12+CS13-DB12)))</f>
        <v>3.8427217245765628</v>
      </c>
      <c r="CU13" s="17">
        <f>CT13*VLOOKUP('Données projet'!$B$13,Paramètres!$A$1:$I$89,3,0)*VLOOKUP('Données projet'!$B$13,Paramètres!$A$1:$I$89,5,0)</f>
        <v>3.8965198287206353</v>
      </c>
      <c r="CV13" s="13">
        <f t="shared" si="41"/>
        <v>1.5327600254383342</v>
      </c>
      <c r="CW13" s="20">
        <f t="shared" si="13"/>
        <v>9.4559957459935386</v>
      </c>
      <c r="CX13" s="59">
        <f t="shared" si="14"/>
        <v>278.34488463488242</v>
      </c>
      <c r="CY13" s="59">
        <f ca="1">AVERAGE(OFFSET($CX$3,0,0,'Données projet'!$E$13+1,1))-AVERAGE(OFFSET($H$3,0,0,'Données projet'!$E$13+1,1))</f>
        <v>342.82846711287749</v>
      </c>
      <c r="CZ13" s="59">
        <f t="shared" si="42"/>
        <v>152.87724741106297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0.6</v>
      </c>
      <c r="DO13" s="12">
        <f>IF('Données projet'!$A$166&gt;35,DO12+DN13-DW12,IF(A13&lt;'Données projet'!$A$166,$DL$205^A13,IF(A13='Données projet'!$A$166,'Données projet'!$B$166,DO12+DN13-DW12)))</f>
        <v>4.3267487109222253</v>
      </c>
      <c r="DP13" s="17">
        <f>DO13*VLOOKUP('Données projet'!$B$14,Paramètres!$A$1:$I$89,3,0)*VLOOKUP('Données projet'!$B$14,Paramètres!$A$1:$I$89,5,0)</f>
        <v>3.1723721548481754</v>
      </c>
      <c r="DQ13" s="13">
        <f t="shared" si="43"/>
        <v>1.2781301555052913</v>
      </c>
      <c r="DR13" s="20">
        <f t="shared" si="16"/>
        <v>7.7512915238656204</v>
      </c>
      <c r="DS13" s="59">
        <f t="shared" si="17"/>
        <v>276.64018041275449</v>
      </c>
      <c r="DT13" s="59">
        <f ca="1">AVERAGE(OFFSET($DS$3,0,0,'Données projet'!$E$14+1,1))-AVERAGE(OFFSET($H$3,0,0,'Données projet'!$E$14+1,1))</f>
        <v>208.48147873805715</v>
      </c>
      <c r="DU13" s="59">
        <f t="shared" si="44"/>
        <v>209.50570914630686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7.4312217194570129</v>
      </c>
      <c r="EJ13" s="12">
        <f>IF('Données projet'!$A$192&gt;35,EJ12+EI13-ER12,IF(A13&lt;'Données projet'!$A$192,$EG$205^A13,IF(A13='Données projet'!$A$192,'Données projet'!$B$192,EJ12+EI13-ER12)))</f>
        <v>17.225897052240693</v>
      </c>
      <c r="EK13" s="17">
        <f>EJ13*VLOOKUP('Données projet'!$B$15,Paramètres!$A$1:$I$89,3,0)*VLOOKUP('Données projet'!$B$15,Paramètres!$A$1:$I$89,5,0)</f>
        <v>10.301086437239935</v>
      </c>
      <c r="EL13" s="13">
        <f t="shared" si="45"/>
        <v>3.6185577775542006</v>
      </c>
      <c r="EM13" s="20">
        <f t="shared" si="19"/>
        <v>24.243380340766453</v>
      </c>
      <c r="EN13" s="59">
        <f t="shared" si="20"/>
        <v>293.13226922965532</v>
      </c>
      <c r="EO13" s="59">
        <f ca="1">AVERAGE(OFFSET($EN$3,0,0,'Données projet'!$E$15+1,1))-AVERAGE(OFFSET($H$3,0,0,'Données projet'!$E$15+1,1))</f>
        <v>247.31680974612766</v>
      </c>
      <c r="EP13" s="59">
        <f t="shared" si="46"/>
        <v>257.13949761071882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1.95624</v>
      </c>
      <c r="D14" s="11">
        <f t="shared" si="32"/>
        <v>0.83378228422236333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4.3074028247643517</v>
      </c>
      <c r="H14" s="67">
        <f t="shared" si="1"/>
        <v>261.52595547835398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3.4425641025641025</v>
      </c>
      <c r="N14" s="13">
        <f>IF('Données projet'!$A$36&gt;35,N13+M14-V13,IF(A14&lt;'Données projet'!$A$36,$K$205^A14,IF(A14='Données projet'!$A$36,'Données projet'!$B$36,N13+M14-V13)))</f>
        <v>5.4760559050775193</v>
      </c>
      <c r="O14" s="13">
        <f>N14*VLOOKUP('Données projet'!$B$9,Paramètres!$A$1:$I$89,3,0)*VLOOKUP('Données projet'!$B$9,Paramètres!$A$1:$I$89,5,0)</f>
        <v>2.562794163576279</v>
      </c>
      <c r="P14" s="13">
        <f t="shared" si="33"/>
        <v>1.0585015867936163</v>
      </c>
      <c r="Q14" s="20">
        <f t="shared" si="2"/>
        <v>6.3070900985608995</v>
      </c>
      <c r="R14" s="59">
        <f t="shared" si="0"/>
        <v>276.41820120967202</v>
      </c>
      <c r="S14" s="59">
        <f ca="1">AVERAGE(OFFSET($R$3,0,0,'Données projet'!$E$9+1,1))-AVERAGE(OFFSET($H$3,0,0,'Données projet'!$E$9+1,1))</f>
        <v>223.99456146593315</v>
      </c>
      <c r="T14" s="59">
        <f t="shared" si="34"/>
        <v>132.73290587325937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6.8</v>
      </c>
      <c r="AI14" s="13">
        <f>IF('Données projet'!$A$62&gt;35,AI13+AH14-AQ13,IF(A14&lt;'Données projet'!$A$62,$AF$205^A14,IF(A14='Données projet'!$A$62,'Données projet'!$B$62,AI13+AH14-AQ13)))</f>
        <v>16.8</v>
      </c>
      <c r="AJ14" s="13">
        <f>AI14*VLOOKUP('Données projet'!$B$10,Paramètres!$A$1:$I$89,3,0)*VLOOKUP('Données projet'!$B$10,Paramètres!$A$1:$I$89,5,0)</f>
        <v>11.00736</v>
      </c>
      <c r="AK14" s="13">
        <f t="shared" si="35"/>
        <v>3.8369250365307539</v>
      </c>
      <c r="AL14" s="20">
        <f t="shared" si="4"/>
        <v>25.853796438624396</v>
      </c>
      <c r="AM14" s="59">
        <f t="shared" si="5"/>
        <v>295.96490754973553</v>
      </c>
      <c r="AN14" s="59">
        <f ca="1">AVERAGE(OFFSET($AM$3,0,0,'Données projet'!$E$10+1,1))-AVERAGE(OFFSET($H$3,0,0,'Données projet'!$E$10+1,1))</f>
        <v>244.43587473734613</v>
      </c>
      <c r="AO14" s="59">
        <f t="shared" si="36"/>
        <v>256.80261402149375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3.0174139703404813E-2</v>
      </c>
      <c r="AW14" s="21">
        <f>EXP(-LN(2)/2)*AW13+(1-EXP(-LN(2)/2))/(LN(2)/2)*AQ14*AT14*VLOOKUP('Données projet'!$B$10,Paramètres!$A$1:$I$89,3,0)*0.475*44/12</f>
        <v>0.13113977638824784</v>
      </c>
      <c r="AX14" s="21">
        <f t="shared" si="6"/>
        <v>0.16131391609165266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8.526315789473685</v>
      </c>
      <c r="BD14" s="12">
        <f>IF('Données projet'!$A$88&gt;35,BD13+BC14-BL13,IF(A14&lt;'Données projet'!$A$88,$BA$205^A14,IF(A14='Données projet'!$A$88,'Données projet'!$B$88,BD13+BC14-BL13)))</f>
        <v>19.01922880701866</v>
      </c>
      <c r="BE14" s="13">
        <f>BD14*VLOOKUP('Données projet'!$B$11,Paramètres!$A$1:$I$89,3,0)*VLOOKUP('Données projet'!$B$11,Paramètres!$A$1:$I$89,5,0)</f>
        <v>10.631748903123432</v>
      </c>
      <c r="BF14" s="13">
        <f t="shared" si="37"/>
        <v>3.7210027205323613</v>
      </c>
      <c r="BG14" s="20">
        <f t="shared" si="7"/>
        <v>24.997709077867171</v>
      </c>
      <c r="BH14" s="59">
        <f t="shared" si="8"/>
        <v>295.10882018897831</v>
      </c>
      <c r="BI14" s="59">
        <f ca="1">AVERAGE(OFFSET($BH$3,0,0,'Données projet'!$E$11+1,1))-AVERAGE(OFFSET($H$3,0,0,'Données projet'!$E$11+1,1))</f>
        <v>430.60186171079067</v>
      </c>
      <c r="BJ14" s="59">
        <f t="shared" si="38"/>
        <v>533.76627289533985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4.857846153846153</v>
      </c>
      <c r="BY14" s="12">
        <f>IF('Données projet'!$A$114&gt;35,BY13+BX14-CG13,IF(A14&lt;'Données projet'!$A$114,$BV$205^A14,IF(A14='Données projet'!$A$114,'Données projet'!$B$114,BY13+BX14-CG13)))</f>
        <v>8.2628307446303815</v>
      </c>
      <c r="BZ14" s="13">
        <f>BY14*VLOOKUP('Données projet'!$B$12,Paramètres!$A$1:$I$89,3,0)*VLOOKUP('Données projet'!$B$12,Paramètres!$A$1:$I$89,5,0)</f>
        <v>4.9411727852889689</v>
      </c>
      <c r="CA14" s="13">
        <f t="shared" si="39"/>
        <v>1.8906898332770827</v>
      </c>
      <c r="CB14" s="20">
        <f t="shared" si="10"/>
        <v>11.89882739400254</v>
      </c>
      <c r="CC14" s="59">
        <f t="shared" si="11"/>
        <v>282.00993850511367</v>
      </c>
      <c r="CD14" s="59">
        <f ca="1">AVERAGE(OFFSET($CC$3,0,0,'Données projet'!$E$12+1,1))-AVERAGE(OFFSET($H$3,0,0,'Données projet'!$E$12+1,1))</f>
        <v>215.89467197072673</v>
      </c>
      <c r="CE14" s="59">
        <f t="shared" si="40"/>
        <v>188.21397398859534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1.8914529914529912</v>
      </c>
      <c r="CT14" s="12">
        <f>IF('Données projet'!$A$140&gt;35,CT13+CS14-DB13,IF(A14&lt;'Données projet'!$A$140,$CQ$205^A14,IF(A14='Données projet'!$A$140,'Données projet'!$B$140,CT13+CS14-DB13)))</f>
        <v>4.3964569933583304</v>
      </c>
      <c r="CU14" s="17">
        <f>CT14*VLOOKUP('Données projet'!$B$13,Paramètres!$A$1:$I$89,3,0)*VLOOKUP('Données projet'!$B$13,Paramètres!$A$1:$I$89,5,0)</f>
        <v>4.4580073912653475</v>
      </c>
      <c r="CV14" s="13">
        <f t="shared" si="41"/>
        <v>1.7263659506870417</v>
      </c>
      <c r="CW14" s="20">
        <f t="shared" si="13"/>
        <v>10.771116903900412</v>
      </c>
      <c r="CX14" s="59">
        <f t="shared" si="14"/>
        <v>280.88222801501155</v>
      </c>
      <c r="CY14" s="59">
        <f ca="1">AVERAGE(OFFSET($CX$3,0,0,'Données projet'!$E$13+1,1))-AVERAGE(OFFSET($H$3,0,0,'Données projet'!$E$13+1,1))</f>
        <v>342.82846711287749</v>
      </c>
      <c r="CZ14" s="59">
        <f t="shared" si="42"/>
        <v>152.87724741106297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0.6</v>
      </c>
      <c r="DO14" s="12">
        <f>IF('Données projet'!$A$166&gt;35,DO13+DN14-DW13,IF(A14&lt;'Données projet'!$A$166,$DL$205^A14,IF(A14='Données projet'!$A$166,'Données projet'!$B$166,DO13+DN14-DW13)))</f>
        <v>5.0093092101266317</v>
      </c>
      <c r="DP14" s="17">
        <f>DO14*VLOOKUP('Données projet'!$B$14,Paramètres!$A$1:$I$89,3,0)*VLOOKUP('Données projet'!$B$14,Paramètres!$A$1:$I$89,5,0)</f>
        <v>3.6728255128648462</v>
      </c>
      <c r="DQ14" s="13">
        <f t="shared" si="43"/>
        <v>1.4547431701137148</v>
      </c>
      <c r="DR14" s="20">
        <f t="shared" si="16"/>
        <v>8.9305154561876599</v>
      </c>
      <c r="DS14" s="59">
        <f t="shared" si="17"/>
        <v>279.04162656729881</v>
      </c>
      <c r="DT14" s="59">
        <f ca="1">AVERAGE(OFFSET($DS$3,0,0,'Données projet'!$E$14+1,1))-AVERAGE(OFFSET($H$3,0,0,'Données projet'!$E$14+1,1))</f>
        <v>208.48147873805715</v>
      </c>
      <c r="DU14" s="59">
        <f t="shared" si="44"/>
        <v>209.50570914630686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7.4312217194570129</v>
      </c>
      <c r="EJ14" s="12">
        <f>IF('Données projet'!$A$192&gt;35,EJ13+EI14-ER13,IF(A14&lt;'Données projet'!$A$192,$EG$205^A14,IF(A14='Données projet'!$A$192,'Données projet'!$B$192,EJ13+EI14-ER13)))</f>
        <v>22.89813081553541</v>
      </c>
      <c r="EK14" s="17">
        <f>EJ14*VLOOKUP('Données projet'!$B$15,Paramètres!$A$1:$I$89,3,0)*VLOOKUP('Données projet'!$B$15,Paramètres!$A$1:$I$89,5,0)</f>
        <v>13.693082227690176</v>
      </c>
      <c r="EL14" s="13">
        <f t="shared" si="45"/>
        <v>4.6533373606794726</v>
      </c>
      <c r="EM14" s="20">
        <f t="shared" si="19"/>
        <v>31.953347449743802</v>
      </c>
      <c r="EN14" s="59">
        <f t="shared" si="20"/>
        <v>302.06445856085497</v>
      </c>
      <c r="EO14" s="59">
        <f ca="1">AVERAGE(OFFSET($EN$3,0,0,'Données projet'!$E$15+1,1))-AVERAGE(OFFSET($H$3,0,0,'Données projet'!$E$15+1,1))</f>
        <v>247.31680974612766</v>
      </c>
      <c r="EP14" s="59">
        <f t="shared" si="46"/>
        <v>257.13949761071882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2.13408</v>
      </c>
      <c r="D15" s="11">
        <f t="shared" si="32"/>
        <v>0.9004148223821955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4.6848341117479526</v>
      </c>
      <c r="H15" s="67">
        <f t="shared" si="1"/>
        <v>261.95174514898235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3.4425641025641025</v>
      </c>
      <c r="N15" s="13">
        <f>IF('Données projet'!$A$36&gt;35,N14+M15-V14,IF(A15&lt;'Données projet'!$A$36,$K$205^A15,IF(A15='Données projet'!$A$36,'Données projet'!$B$36,N14+M15-V14)))</f>
        <v>6.3914782624899003</v>
      </c>
      <c r="O15" s="13">
        <f>N15*VLOOKUP('Données projet'!$B$9,Paramètres!$A$1:$I$89,3,0)*VLOOKUP('Données projet'!$B$9,Paramètres!$A$1:$I$89,5,0)</f>
        <v>2.9912118268452734</v>
      </c>
      <c r="P15" s="13">
        <f t="shared" si="33"/>
        <v>1.2134185325879896</v>
      </c>
      <c r="Q15" s="20">
        <f t="shared" si="2"/>
        <v>7.3230645426796004</v>
      </c>
      <c r="R15" s="59">
        <f t="shared" si="0"/>
        <v>278.65639787601293</v>
      </c>
      <c r="S15" s="59">
        <f ca="1">AVERAGE(OFFSET($R$3,0,0,'Données projet'!$E$9+1,1))-AVERAGE(OFFSET($H$3,0,0,'Données projet'!$E$9+1,1))</f>
        <v>223.99456146593315</v>
      </c>
      <c r="T15" s="59">
        <f t="shared" si="34"/>
        <v>132.73290587325937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6.8</v>
      </c>
      <c r="AI15" s="13">
        <f>IF('Données projet'!$A$62&gt;35,AI14+AH15-AQ14,IF(A15&lt;'Données projet'!$A$62,$AF$205^A15,IF(A15='Données projet'!$A$62,'Données projet'!$B$62,AI14+AH15-AQ14)))</f>
        <v>23.6</v>
      </c>
      <c r="AJ15" s="13">
        <f>AI15*VLOOKUP('Données projet'!$B$10,Paramètres!$A$1:$I$89,3,0)*VLOOKUP('Données projet'!$B$10,Paramètres!$A$1:$I$89,5,0)</f>
        <v>15.462720000000001</v>
      </c>
      <c r="AK15" s="13">
        <f t="shared" si="35"/>
        <v>5.1808984376512361</v>
      </c>
      <c r="AL15" s="20">
        <f t="shared" si="4"/>
        <v>35.954302112242566</v>
      </c>
      <c r="AM15" s="59">
        <f t="shared" si="5"/>
        <v>307.28763544557586</v>
      </c>
      <c r="AN15" s="59">
        <f ca="1">AVERAGE(OFFSET($AM$3,0,0,'Données projet'!$E$10+1,1))-AVERAGE(OFFSET($H$3,0,0,'Données projet'!$E$10+1,1))</f>
        <v>244.43587473734613</v>
      </c>
      <c r="AO15" s="59">
        <f t="shared" si="36"/>
        <v>256.80261402149375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2.9349026266426166E-2</v>
      </c>
      <c r="AW15" s="21">
        <f>EXP(-LN(2)/2)*AW14+(1-EXP(-LN(2)/2))/(LN(2)/2)*AQ15*AT15*VLOOKUP('Données projet'!$B$10,Paramètres!$A$1:$I$89,3,0)*0.475*44/12</f>
        <v>9.272982516741754E-2</v>
      </c>
      <c r="AX15" s="21">
        <f t="shared" si="6"/>
        <v>0.1220788514338437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8.526315789473685</v>
      </c>
      <c r="BD15" s="12">
        <f>IF('Données projet'!$A$88&gt;35,BD14+BC15-BL14,IF(A15&lt;'Données projet'!$A$88,$BA$205^A15,IF(A15='Données projet'!$A$88,'Données projet'!$B$88,BD14+BC15-BL14)))</f>
        <v>24.85897210895007</v>
      </c>
      <c r="BE15" s="13">
        <f>BD15*VLOOKUP('Données projet'!$B$11,Paramètres!$A$1:$I$89,3,0)*VLOOKUP('Données projet'!$B$11,Paramètres!$A$1:$I$89,5,0)</f>
        <v>13.896165408903089</v>
      </c>
      <c r="BF15" s="13">
        <f t="shared" si="37"/>
        <v>4.7142657940830492</v>
      </c>
      <c r="BG15" s="20">
        <f t="shared" si="7"/>
        <v>32.413167678534187</v>
      </c>
      <c r="BH15" s="59">
        <f t="shared" si="8"/>
        <v>303.74650101186751</v>
      </c>
      <c r="BI15" s="59">
        <f ca="1">AVERAGE(OFFSET($BH$3,0,0,'Données projet'!$E$11+1,1))-AVERAGE(OFFSET($H$3,0,0,'Données projet'!$E$11+1,1))</f>
        <v>430.60186171079067</v>
      </c>
      <c r="BJ15" s="59">
        <f t="shared" si="38"/>
        <v>533.76627289533985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4.857846153846153</v>
      </c>
      <c r="BY15" s="12">
        <f>IF('Données projet'!$A$114&gt;35,BY14+BX15-CG14,IF(A15&lt;'Données projet'!$A$114,$BV$205^A15,IF(A15='Données projet'!$A$114,'Données projet'!$B$114,BY14+BX15-CG14)))</f>
        <v>10.011616546416697</v>
      </c>
      <c r="BZ15" s="13">
        <f>BY15*VLOOKUP('Données projet'!$B$12,Paramètres!$A$1:$I$89,3,0)*VLOOKUP('Données projet'!$B$12,Paramètres!$A$1:$I$89,5,0)</f>
        <v>5.9869466947571857</v>
      </c>
      <c r="CA15" s="13">
        <f t="shared" si="39"/>
        <v>2.2402204051240453</v>
      </c>
      <c r="CB15" s="20">
        <f t="shared" si="10"/>
        <v>14.328982698959813</v>
      </c>
      <c r="CC15" s="59">
        <f t="shared" si="11"/>
        <v>285.66231603229312</v>
      </c>
      <c r="CD15" s="59">
        <f ca="1">AVERAGE(OFFSET($CC$3,0,0,'Données projet'!$E$12+1,1))-AVERAGE(OFFSET($H$3,0,0,'Données projet'!$E$12+1,1))</f>
        <v>215.89467197072673</v>
      </c>
      <c r="CE15" s="59">
        <f t="shared" si="40"/>
        <v>188.21397398859534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1.8914529914529912</v>
      </c>
      <c r="CT15" s="12">
        <f>IF('Données projet'!$A$140&gt;35,CT14+CS15-DB14,IF(A15&lt;'Données projet'!$A$140,$CQ$205^A15,IF(A15='Données projet'!$A$140,'Données projet'!$B$140,CT14+CS15-DB14)))</f>
        <v>5.0299853801095251</v>
      </c>
      <c r="CU15" s="17">
        <f>CT15*VLOOKUP('Données projet'!$B$13,Paramètres!$A$1:$I$89,3,0)*VLOOKUP('Données projet'!$B$13,Paramètres!$A$1:$I$89,5,0)</f>
        <v>5.1004051754310593</v>
      </c>
      <c r="CV15" s="13">
        <f t="shared" si="41"/>
        <v>1.9444266201026892</v>
      </c>
      <c r="CW15" s="20">
        <f t="shared" si="13"/>
        <v>12.269748710554611</v>
      </c>
      <c r="CX15" s="59">
        <f t="shared" si="14"/>
        <v>283.60308204388792</v>
      </c>
      <c r="CY15" s="59">
        <f ca="1">AVERAGE(OFFSET($CX$3,0,0,'Données projet'!$E$13+1,1))-AVERAGE(OFFSET($H$3,0,0,'Données projet'!$E$13+1,1))</f>
        <v>342.82846711287749</v>
      </c>
      <c r="CZ15" s="59">
        <f t="shared" si="42"/>
        <v>152.87724741106297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0.6</v>
      </c>
      <c r="DO15" s="12">
        <f>IF('Données projet'!$A$166&gt;35,DO14+DN15-DW14,IF(A15&lt;'Données projet'!$A$166,$DL$205^A15,IF(A15='Données projet'!$A$166,'Données projet'!$B$166,DO14+DN15-DW14)))</f>
        <v>5.799546134795289</v>
      </c>
      <c r="DP15" s="17">
        <f>DO15*VLOOKUP('Données projet'!$B$14,Paramètres!$A$1:$I$89,3,0)*VLOOKUP('Données projet'!$B$14,Paramètres!$A$1:$I$89,5,0)</f>
        <v>4.2522272260319056</v>
      </c>
      <c r="DQ15" s="13">
        <f t="shared" si="43"/>
        <v>1.6557607078411023</v>
      </c>
      <c r="DR15" s="20">
        <f t="shared" si="16"/>
        <v>10.289745651495487</v>
      </c>
      <c r="DS15" s="59">
        <f t="shared" si="17"/>
        <v>281.62307898482879</v>
      </c>
      <c r="DT15" s="59">
        <f ca="1">AVERAGE(OFFSET($DS$3,0,0,'Données projet'!$E$14+1,1))-AVERAGE(OFFSET($H$3,0,0,'Données projet'!$E$14+1,1))</f>
        <v>208.48147873805715</v>
      </c>
      <c r="DU15" s="59">
        <f t="shared" si="44"/>
        <v>209.50570914630686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7.4312217194570129</v>
      </c>
      <c r="EJ15" s="12">
        <f>IF('Données projet'!$A$192&gt;35,EJ14+EI15-ER14,IF(A15&lt;'Données projet'!$A$192,$EG$205^A15,IF(A15='Données projet'!$A$192,'Données projet'!$B$192,EJ14+EI15-ER14)))</f>
        <v>30.438147473844893</v>
      </c>
      <c r="EK15" s="17">
        <f>EJ15*VLOOKUP('Données projet'!$B$15,Paramètres!$A$1:$I$89,3,0)*VLOOKUP('Données projet'!$B$15,Paramètres!$A$1:$I$89,5,0)</f>
        <v>18.202012189359248</v>
      </c>
      <c r="EL15" s="13">
        <f t="shared" si="45"/>
        <v>5.984027317903192</v>
      </c>
      <c r="EM15" s="20">
        <f t="shared" si="19"/>
        <v>42.124018808482084</v>
      </c>
      <c r="EN15" s="59">
        <f t="shared" si="20"/>
        <v>313.45735214181542</v>
      </c>
      <c r="EO15" s="59">
        <f ca="1">AVERAGE(OFFSET($EN$3,0,0,'Données projet'!$E$15+1,1))-AVERAGE(OFFSET($H$3,0,0,'Données projet'!$E$15+1,1))</f>
        <v>247.31680974612766</v>
      </c>
      <c r="EP15" s="59">
        <f t="shared" si="46"/>
        <v>257.13949761071882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2.3119199999999998</v>
      </c>
      <c r="D16" s="11">
        <f t="shared" si="32"/>
        <v>0.96640336328463661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5.0612711573517197</v>
      </c>
      <c r="H16" s="67">
        <f t="shared" si="1"/>
        <v>262.3764131910541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3.4425641025641025</v>
      </c>
      <c r="N16" s="13">
        <f>IF('Données projet'!$A$36&gt;35,N15+M16-V15,IF(A16&lt;'Données projet'!$A$36,$K$205^A16,IF(A16='Données projet'!$A$36,'Données projet'!$B$36,N15+M16-V15)))</f>
        <v>7.459930119048451</v>
      </c>
      <c r="O16" s="13">
        <f>N16*VLOOKUP('Données projet'!$B$9,Paramètres!$A$1:$I$89,3,0)*VLOOKUP('Données projet'!$B$9,Paramètres!$A$1:$I$89,5,0)</f>
        <v>3.4912472957146754</v>
      </c>
      <c r="P16" s="13">
        <f t="shared" si="33"/>
        <v>1.3910083400895945</v>
      </c>
      <c r="Q16" s="20">
        <f t="shared" si="2"/>
        <v>8.5032618990257713</v>
      </c>
      <c r="R16" s="59">
        <f t="shared" si="0"/>
        <v>281.05881745458129</v>
      </c>
      <c r="S16" s="59">
        <f ca="1">AVERAGE(OFFSET($R$3,0,0,'Données projet'!$E$9+1,1))-AVERAGE(OFFSET($H$3,0,0,'Données projet'!$E$9+1,1))</f>
        <v>223.99456146593315</v>
      </c>
      <c r="T16" s="59">
        <f t="shared" si="34"/>
        <v>132.73290587325937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6.8</v>
      </c>
      <c r="AI16" s="13">
        <f>IF('Données projet'!$A$62&gt;35,AI15+AH16-AQ15,IF(A16&lt;'Données projet'!$A$62,$AF$205^A16,IF(A16='Données projet'!$A$62,'Données projet'!$B$62,AI15+AH16-AQ15)))</f>
        <v>30.400000000000002</v>
      </c>
      <c r="AJ16" s="13">
        <f>AI16*VLOOKUP('Données projet'!$B$10,Paramètres!$A$1:$I$89,3,0)*VLOOKUP('Données projet'!$B$10,Paramètres!$A$1:$I$89,5,0)</f>
        <v>19.918080000000003</v>
      </c>
      <c r="AK16" s="13">
        <f t="shared" si="35"/>
        <v>6.4798825087607046</v>
      </c>
      <c r="AL16" s="20">
        <f t="shared" si="4"/>
        <v>45.976451369424893</v>
      </c>
      <c r="AM16" s="59">
        <f t="shared" si="5"/>
        <v>318.53200692498046</v>
      </c>
      <c r="AN16" s="59">
        <f ca="1">AVERAGE(OFFSET($AM$3,0,0,'Données projet'!$E$10+1,1))-AVERAGE(OFFSET($H$3,0,0,'Données projet'!$E$10+1,1))</f>
        <v>244.43587473734613</v>
      </c>
      <c r="AO16" s="59">
        <f t="shared" si="36"/>
        <v>256.80261402149375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2.8546475599772528E-2</v>
      </c>
      <c r="AW16" s="21">
        <f>EXP(-LN(2)/2)*AW15+(1-EXP(-LN(2)/2))/(LN(2)/2)*AQ16*AT16*VLOOKUP('Données projet'!$B$10,Paramètres!$A$1:$I$89,3,0)*0.475*44/12</f>
        <v>6.5569888194123932E-2</v>
      </c>
      <c r="AX16" s="21">
        <f t="shared" si="6"/>
        <v>9.4116363793896457E-2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8.526315789473685</v>
      </c>
      <c r="BD16" s="12">
        <f>IF('Données projet'!$A$88&gt;35,BD15+BC16-BL15,IF(A16&lt;'Données projet'!$A$88,$BA$205^A16,IF(A16='Données projet'!$A$88,'Données projet'!$B$88,BD15+BC16-BL15)))</f>
        <v>32.491774539539094</v>
      </c>
      <c r="BE16" s="13">
        <f>BD16*VLOOKUP('Données projet'!$B$11,Paramètres!$A$1:$I$89,3,0)*VLOOKUP('Données projet'!$B$11,Paramètres!$A$1:$I$89,5,0)</f>
        <v>18.162901967602355</v>
      </c>
      <c r="BF16" s="13">
        <f t="shared" si="37"/>
        <v>5.9726648020514927</v>
      </c>
      <c r="BG16" s="20">
        <f t="shared" si="7"/>
        <v>42.036112123813787</v>
      </c>
      <c r="BH16" s="59">
        <f t="shared" si="8"/>
        <v>314.59166767936932</v>
      </c>
      <c r="BI16" s="59">
        <f ca="1">AVERAGE(OFFSET($BH$3,0,0,'Données projet'!$E$11+1,1))-AVERAGE(OFFSET($H$3,0,0,'Données projet'!$E$11+1,1))</f>
        <v>430.60186171079067</v>
      </c>
      <c r="BJ16" s="59">
        <f t="shared" si="38"/>
        <v>533.76627289533985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4.857846153846153</v>
      </c>
      <c r="BY16" s="12">
        <f>IF('Données projet'!$A$114&gt;35,BY15+BX16-CG15,IF(A16&lt;'Données projet'!$A$114,$BV$205^A16,IF(A16='Données projet'!$A$114,'Données projet'!$B$114,BY15+BX16-CG15)))</f>
        <v>12.130523905215032</v>
      </c>
      <c r="BZ16" s="13">
        <f>BY16*VLOOKUP('Données projet'!$B$12,Paramètres!$A$1:$I$89,3,0)*VLOOKUP('Données projet'!$B$12,Paramètres!$A$1:$I$89,5,0)</f>
        <v>7.2540532953185899</v>
      </c>
      <c r="CA16" s="13">
        <f t="shared" si="39"/>
        <v>2.6543684612909537</v>
      </c>
      <c r="CB16" s="20">
        <f t="shared" si="10"/>
        <v>17.257167892761622</v>
      </c>
      <c r="CC16" s="59">
        <f t="shared" si="11"/>
        <v>289.81272344831717</v>
      </c>
      <c r="CD16" s="59">
        <f ca="1">AVERAGE(OFFSET($CC$3,0,0,'Données projet'!$E$12+1,1))-AVERAGE(OFFSET($H$3,0,0,'Données projet'!$E$12+1,1))</f>
        <v>215.89467197072673</v>
      </c>
      <c r="CE16" s="59">
        <f t="shared" si="40"/>
        <v>188.21397398859534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1.8914529914529912</v>
      </c>
      <c r="CT16" s="12">
        <f>IF('Données projet'!$A$140&gt;35,CT15+CS16-DB15,IF(A16&lt;'Données projet'!$A$140,$CQ$205^A16,IF(A16='Données projet'!$A$140,'Données projet'!$B$140,CT15+CS16-DB15)))</f>
        <v>5.754805053782416</v>
      </c>
      <c r="CU16" s="17">
        <f>CT16*VLOOKUP('Données projet'!$B$13,Paramètres!$A$1:$I$89,3,0)*VLOOKUP('Données projet'!$B$13,Paramètres!$A$1:$I$89,5,0)</f>
        <v>5.8353723245353697</v>
      </c>
      <c r="CV16" s="13">
        <f t="shared" si="41"/>
        <v>2.190030960387817</v>
      </c>
      <c r="CW16" s="20">
        <f t="shared" si="13"/>
        <v>13.97757738790788</v>
      </c>
      <c r="CX16" s="59">
        <f t="shared" si="14"/>
        <v>286.53313294346344</v>
      </c>
      <c r="CY16" s="59">
        <f ca="1">AVERAGE(OFFSET($CX$3,0,0,'Données projet'!$E$13+1,1))-AVERAGE(OFFSET($H$3,0,0,'Données projet'!$E$13+1,1))</f>
        <v>342.82846711287749</v>
      </c>
      <c r="CZ16" s="59">
        <f t="shared" si="42"/>
        <v>152.87724741106297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0.6</v>
      </c>
      <c r="DO16" s="12">
        <f>IF('Données projet'!$A$166&gt;35,DO15+DN16-DW15,IF(A16&lt;'Données projet'!$A$166,$DL$205^A16,IF(A16='Données projet'!$A$166,'Données projet'!$B$166,DO15+DN16-DW15)))</f>
        <v>6.7144458364886441</v>
      </c>
      <c r="DP16" s="17">
        <f>DO16*VLOOKUP('Données projet'!$B$14,Paramètres!$A$1:$I$89,3,0)*VLOOKUP('Données projet'!$B$14,Paramètres!$A$1:$I$89,5,0)</f>
        <v>4.9230316873134736</v>
      </c>
      <c r="DQ16" s="13">
        <f t="shared" si="43"/>
        <v>1.8845550045896882</v>
      </c>
      <c r="DR16" s="20">
        <f t="shared" si="16"/>
        <v>11.856546821731341</v>
      </c>
      <c r="DS16" s="59">
        <f t="shared" si="17"/>
        <v>284.41210237728689</v>
      </c>
      <c r="DT16" s="59">
        <f ca="1">AVERAGE(OFFSET($DS$3,0,0,'Données projet'!$E$14+1,1))-AVERAGE(OFFSET($H$3,0,0,'Données projet'!$E$14+1,1))</f>
        <v>208.48147873805715</v>
      </c>
      <c r="DU16" s="59">
        <f t="shared" si="44"/>
        <v>209.50570914630686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7.4312217194570129</v>
      </c>
      <c r="EJ16" s="12">
        <f>IF('Données projet'!$A$192&gt;35,EJ15+EI16-ER15,IF(A16&lt;'Données projet'!$A$192,$EG$205^A16,IF(A16='Données projet'!$A$192,'Données projet'!$B$192,EJ15+EI16-ER15)))</f>
        <v>40.460980378841768</v>
      </c>
      <c r="EK16" s="17">
        <f>EJ16*VLOOKUP('Données projet'!$B$15,Paramètres!$A$1:$I$89,3,0)*VLOOKUP('Données projet'!$B$15,Paramètres!$A$1:$I$89,5,0)</f>
        <v>24.195666266547377</v>
      </c>
      <c r="EL16" s="13">
        <f t="shared" si="45"/>
        <v>7.6952475537219458</v>
      </c>
      <c r="EM16" s="20">
        <f t="shared" si="19"/>
        <v>55.543341570302402</v>
      </c>
      <c r="EN16" s="59">
        <f t="shared" si="20"/>
        <v>328.09889712585795</v>
      </c>
      <c r="EO16" s="59">
        <f ca="1">AVERAGE(OFFSET($EN$3,0,0,'Données projet'!$E$15+1,1))-AVERAGE(OFFSET($H$3,0,0,'Données projet'!$E$15+1,1))</f>
        <v>247.31680974612766</v>
      </c>
      <c r="EP16" s="59">
        <f t="shared" si="46"/>
        <v>257.13949761071882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2.4897599999999995</v>
      </c>
      <c r="D17" s="11">
        <f t="shared" si="32"/>
        <v>1.0318030776359655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5.4367991374028941</v>
      </c>
      <c r="H17" s="67">
        <f t="shared" si="1"/>
        <v>262.80005569354933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3.4425641025641025</v>
      </c>
      <c r="N17" s="13">
        <f>IF('Données projet'!$A$36&gt;35,N16+M17-V16,IF(A17&lt;'Données projet'!$A$36,$K$205^A17,IF(A17='Données projet'!$A$36,'Données projet'!$B$36,N16+M17-V16)))</f>
        <v>8.7069931392376674</v>
      </c>
      <c r="O17" s="13">
        <f>N17*VLOOKUP('Données projet'!$B$9,Paramètres!$A$1:$I$89,3,0)*VLOOKUP('Données projet'!$B$9,Paramètres!$A$1:$I$89,5,0)</f>
        <v>4.0748727891632281</v>
      </c>
      <c r="P17" s="13">
        <f t="shared" si="33"/>
        <v>1.5945892948181934</v>
      </c>
      <c r="Q17" s="20">
        <f t="shared" si="2"/>
        <v>9.8743131296009761</v>
      </c>
      <c r="R17" s="59">
        <f t="shared" si="0"/>
        <v>283.65209090737875</v>
      </c>
      <c r="S17" s="59">
        <f ca="1">AVERAGE(OFFSET($R$3,0,0,'Données projet'!$E$9+1,1))-AVERAGE(OFFSET($H$3,0,0,'Données projet'!$E$9+1,1))</f>
        <v>223.99456146593315</v>
      </c>
      <c r="T17" s="59">
        <f t="shared" si="34"/>
        <v>132.73290587325937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6.8</v>
      </c>
      <c r="AI17" s="13">
        <f>IF('Données projet'!$A$62&gt;35,AI16+AH17-AQ16,IF(A17&lt;'Données projet'!$A$62,$AF$205^A17,IF(A17='Données projet'!$A$62,'Données projet'!$B$62,AI16+AH17-AQ16)))</f>
        <v>37.200000000000003</v>
      </c>
      <c r="AJ17" s="13">
        <f>AI17*VLOOKUP('Données projet'!$B$10,Paramètres!$A$1:$I$89,3,0)*VLOOKUP('Données projet'!$B$10,Paramètres!$A$1:$I$89,5,0)</f>
        <v>24.373440000000002</v>
      </c>
      <c r="AK17" s="13">
        <f t="shared" si="35"/>
        <v>7.7451846247230876</v>
      </c>
      <c r="AL17" s="20">
        <f t="shared" si="4"/>
        <v>55.939937888059376</v>
      </c>
      <c r="AM17" s="59">
        <f t="shared" si="5"/>
        <v>329.71771566583715</v>
      </c>
      <c r="AN17" s="59">
        <f ca="1">AVERAGE(OFFSET($AM$3,0,0,'Données projet'!$E$10+1,1))-AVERAGE(OFFSET($H$3,0,0,'Données projet'!$E$10+1,1))</f>
        <v>244.43587473734613</v>
      </c>
      <c r="AO17" s="59">
        <f t="shared" si="36"/>
        <v>256.80261402149375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2.7765870723302839E-2</v>
      </c>
      <c r="AW17" s="21">
        <f>EXP(-LN(2)/2)*AW16+(1-EXP(-LN(2)/2))/(LN(2)/2)*AQ17*AT17*VLOOKUP('Données projet'!$B$10,Paramètres!$A$1:$I$89,3,0)*0.475*44/12</f>
        <v>4.6364912583708777E-2</v>
      </c>
      <c r="AX17" s="21">
        <f t="shared" si="6"/>
        <v>7.4130783307011616E-2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8.526315789473685</v>
      </c>
      <c r="BD17" s="12">
        <f>IF('Données projet'!$A$88&gt;35,BD16+BC17-BL16,IF(A17&lt;'Données projet'!$A$88,$BA$205^A17,IF(A17='Données projet'!$A$88,'Données projet'!$B$88,BD16+BC17-BL16)))</f>
        <v>42.468184448710481</v>
      </c>
      <c r="BE17" s="13">
        <f>BD17*VLOOKUP('Données projet'!$B$11,Paramètres!$A$1:$I$89,3,0)*VLOOKUP('Données projet'!$B$11,Paramètres!$A$1:$I$89,5,0)</f>
        <v>23.739715106829159</v>
      </c>
      <c r="BF17" s="13">
        <f t="shared" si="37"/>
        <v>7.5669736064602473</v>
      </c>
      <c r="BG17" s="20">
        <f t="shared" si="7"/>
        <v>54.525816175645708</v>
      </c>
      <c r="BH17" s="59">
        <f t="shared" si="8"/>
        <v>328.3035939534235</v>
      </c>
      <c r="BI17" s="59">
        <f ca="1">AVERAGE(OFFSET($BH$3,0,0,'Données projet'!$E$11+1,1))-AVERAGE(OFFSET($H$3,0,0,'Données projet'!$E$11+1,1))</f>
        <v>430.60186171079067</v>
      </c>
      <c r="BJ17" s="59">
        <f t="shared" si="38"/>
        <v>533.76627289533985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4.857846153846153</v>
      </c>
      <c r="BY17" s="12">
        <f>IF('Données projet'!$A$114&gt;35,BY16+BX17-CG16,IF(A17&lt;'Données projet'!$A$114,$BV$205^A17,IF(A17='Données projet'!$A$114,'Données projet'!$B$114,BY16+BX17-CG16)))</f>
        <v>14.697887152665707</v>
      </c>
      <c r="BZ17" s="13">
        <f>BY17*VLOOKUP('Données projet'!$B$12,Paramètres!$A$1:$I$89,3,0)*VLOOKUP('Données projet'!$B$12,Paramètres!$A$1:$I$89,5,0)</f>
        <v>8.7893365172940943</v>
      </c>
      <c r="CA17" s="13">
        <f t="shared" si="39"/>
        <v>3.1450797931223988</v>
      </c>
      <c r="CB17" s="20">
        <f t="shared" si="10"/>
        <v>20.78577507397539</v>
      </c>
      <c r="CC17" s="59">
        <f t="shared" si="11"/>
        <v>294.56355285175317</v>
      </c>
      <c r="CD17" s="59">
        <f ca="1">AVERAGE(OFFSET($CC$3,0,0,'Données projet'!$E$12+1,1))-AVERAGE(OFFSET($H$3,0,0,'Données projet'!$E$12+1,1))</f>
        <v>215.89467197072673</v>
      </c>
      <c r="CE17" s="59">
        <f t="shared" si="40"/>
        <v>188.21397398859534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1.8914529914529912</v>
      </c>
      <c r="CT17" s="12">
        <f>IF('Données projet'!$A$140&gt;35,CT16+CS17-DB16,IF(A17&lt;'Données projet'!$A$140,$CQ$205^A17,IF(A17='Données projet'!$A$140,'Données projet'!$B$140,CT16+CS17-DB16)))</f>
        <v>6.5840710666873763</v>
      </c>
      <c r="CU17" s="17">
        <f>CT17*VLOOKUP('Données projet'!$B$13,Paramètres!$A$1:$I$89,3,0)*VLOOKUP('Données projet'!$B$13,Paramètres!$A$1:$I$89,5,0)</f>
        <v>6.6762480616210009</v>
      </c>
      <c r="CV17" s="13">
        <f t="shared" si="41"/>
        <v>2.4666580666355444</v>
      </c>
      <c r="CW17" s="20">
        <f t="shared" si="13"/>
        <v>15.923894840046813</v>
      </c>
      <c r="CX17" s="59">
        <f t="shared" si="14"/>
        <v>289.70167261782456</v>
      </c>
      <c r="CY17" s="59">
        <f ca="1">AVERAGE(OFFSET($CX$3,0,0,'Données projet'!$E$13+1,1))-AVERAGE(OFFSET($H$3,0,0,'Données projet'!$E$13+1,1))</f>
        <v>342.82846711287749</v>
      </c>
      <c r="CZ17" s="59">
        <f t="shared" si="42"/>
        <v>152.87724741106297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0.6</v>
      </c>
      <c r="DO17" s="12">
        <f>IF('Données projet'!$A$166&gt;35,DO16+DN17-DW16,IF(A17&lt;'Données projet'!$A$166,$DL$205^A17,IF(A17='Données projet'!$A$166,'Données projet'!$B$166,DO16+DN17-DW16)))</f>
        <v>7.7736743261084582</v>
      </c>
      <c r="DP17" s="17">
        <f>DO17*VLOOKUP('Données projet'!$B$14,Paramètres!$A$1:$I$89,3,0)*VLOOKUP('Données projet'!$B$14,Paramètres!$A$1:$I$89,5,0)</f>
        <v>5.6996580159027213</v>
      </c>
      <c r="DQ17" s="13">
        <f t="shared" si="43"/>
        <v>2.1449642744299671</v>
      </c>
      <c r="DR17" s="20">
        <f t="shared" si="16"/>
        <v>13.662717155662767</v>
      </c>
      <c r="DS17" s="59">
        <f t="shared" si="17"/>
        <v>287.44049493344056</v>
      </c>
      <c r="DT17" s="59">
        <f ca="1">AVERAGE(OFFSET($DS$3,0,0,'Données projet'!$E$14+1,1))-AVERAGE(OFFSET($H$3,0,0,'Données projet'!$E$14+1,1))</f>
        <v>208.48147873805715</v>
      </c>
      <c r="DU17" s="59">
        <f t="shared" si="44"/>
        <v>209.50570914630686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7.4312217194570129</v>
      </c>
      <c r="EJ17" s="12">
        <f>IF('Données projet'!$A$192&gt;35,EJ16+EI17-ER16,IF(A17&lt;'Données projet'!$A$192,$EG$205^A17,IF(A17='Données projet'!$A$192,'Données projet'!$B$192,EJ16+EI17-ER16)))</f>
        <v>53.784184291233551</v>
      </c>
      <c r="EK17" s="17">
        <f>EJ17*VLOOKUP('Données projet'!$B$15,Paramètres!$A$1:$I$89,3,0)*VLOOKUP('Données projet'!$B$15,Paramètres!$A$1:$I$89,5,0)</f>
        <v>32.162942206157666</v>
      </c>
      <c r="EL17" s="13">
        <f t="shared" si="45"/>
        <v>9.8958162734145461</v>
      </c>
      <c r="EM17" s="20">
        <f t="shared" si="19"/>
        <v>73.252337685254929</v>
      </c>
      <c r="EN17" s="59">
        <f t="shared" si="20"/>
        <v>347.0301154630327</v>
      </c>
      <c r="EO17" s="59">
        <f ca="1">AVERAGE(OFFSET($EN$3,0,0,'Données projet'!$E$15+1,1))-AVERAGE(OFFSET($H$3,0,0,'Données projet'!$E$15+1,1))</f>
        <v>247.31680974612766</v>
      </c>
      <c r="EP17" s="59">
        <f t="shared" si="46"/>
        <v>257.13949761071882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2.6675999999999993</v>
      </c>
      <c r="D18" s="11">
        <f t="shared" si="32"/>
        <v>1.0966608080083622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5.8114903702585226</v>
      </c>
      <c r="H18" s="67">
        <f t="shared" si="1"/>
        <v>263.22275424061456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3.4425641025641025</v>
      </c>
      <c r="N18" s="13">
        <f>IF('Données projet'!$A$36&gt;35,N17+M18-V17,IF(A18&lt;'Données projet'!$A$36,$K$205^A18,IF(A18='Données projet'!$A$36,'Données projet'!$B$36,N17+M18-V17)))</f>
        <v>10.162525428107084</v>
      </c>
      <c r="O18" s="13">
        <f>N18*VLOOKUP('Données projet'!$B$9,Paramètres!$A$1:$I$89,3,0)*VLOOKUP('Données projet'!$B$9,Paramètres!$A$1:$I$89,5,0)</f>
        <v>4.7560619003541156</v>
      </c>
      <c r="P18" s="13">
        <f t="shared" si="33"/>
        <v>1.8279653298016947</v>
      </c>
      <c r="Q18" s="20">
        <f t="shared" si="2"/>
        <v>11.467180759188034</v>
      </c>
      <c r="R18" s="59">
        <f t="shared" si="0"/>
        <v>286.46718075918801</v>
      </c>
      <c r="S18" s="59">
        <f ca="1">AVERAGE(OFFSET($R$3,0,0,'Données projet'!$E$9+1,1))-AVERAGE(OFFSET($H$3,0,0,'Données projet'!$E$9+1,1))</f>
        <v>223.99456146593315</v>
      </c>
      <c r="T18" s="59">
        <f t="shared" si="34"/>
        <v>132.73290587325937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44</v>
      </c>
      <c r="AG18" s="12">
        <f>VLOOKUP(A18,'Données projet'!$A$61:$I$81,9,0)</f>
        <v>6.8</v>
      </c>
      <c r="AH18" s="12">
        <f t="array" ref="AH18">INDEX(AG:AG,MIN(IF(ISNUMBER(AG18:AG214),ROW(AG18:AG214),"")))</f>
        <v>6.8</v>
      </c>
      <c r="AI18" s="13">
        <f>IF('Données projet'!$A$62&gt;35,AI17+AH18-AQ17,IF(A18&lt;'Données projet'!$A$62,$AF$205^A18,IF(A18='Données projet'!$A$62,'Données projet'!$B$62,AI17+AH18-AQ17)))</f>
        <v>44</v>
      </c>
      <c r="AJ18" s="13">
        <f>AI18*VLOOKUP('Données projet'!$B$10,Paramètres!$A$1:$I$89,3,0)*VLOOKUP('Données projet'!$B$10,Paramètres!$A$1:$I$89,5,0)</f>
        <v>28.828800000000001</v>
      </c>
      <c r="AK18" s="13">
        <f t="shared" si="35"/>
        <v>8.983691253405949</v>
      </c>
      <c r="AL18" s="20">
        <f t="shared" si="4"/>
        <v>65.856755599682032</v>
      </c>
      <c r="AM18" s="59">
        <f t="shared" si="5"/>
        <v>340.85675559968206</v>
      </c>
      <c r="AN18" s="59">
        <f ca="1">AVERAGE(OFFSET($AM$3,0,0,'Données projet'!$E$10+1,1))-AVERAGE(OFFSET($H$3,0,0,'Données projet'!$E$10+1,1))</f>
        <v>244.43587473734613</v>
      </c>
      <c r="AO18" s="59">
        <f t="shared" si="36"/>
        <v>256.80261402149375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4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4.3000000000000003E-2</v>
      </c>
      <c r="AT18" s="16">
        <f>IF(ISNA(VLOOKUP(A18,'Données projet'!$A$61:$I$81,7,0)),0%,VLOOKUP(A18,'Données projet'!$A$61:$I$81,7,0))</f>
        <v>0.3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0.15109641247431951</v>
      </c>
      <c r="AW18" s="21">
        <f>EXP(-LN(2)/2)*AW17+(1-EXP(-LN(2)/2))/(LN(2)/2)*AQ18*AT18*VLOOKUP('Données projet'!$B$10,Paramètres!$A$1:$I$89,3,0)*0.475*44/12</f>
        <v>0.77462354543640222</v>
      </c>
      <c r="AX18" s="21">
        <f t="shared" si="6"/>
        <v>0.9257199579107217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8.526315789473685</v>
      </c>
      <c r="BD18" s="12">
        <f>IF('Données projet'!$A$88&gt;35,BD17+BC18-BL17,IF(A18&lt;'Données projet'!$A$88,$BA$205^A18,IF(A18='Données projet'!$A$88,'Données projet'!$B$88,BD17+BC18-BL17)))</f>
        <v>55.507792846923991</v>
      </c>
      <c r="BE18" s="13">
        <f>BD18*VLOOKUP('Données projet'!$B$11,Paramètres!$A$1:$I$89,3,0)*VLOOKUP('Données projet'!$B$11,Paramètres!$A$1:$I$89,5,0)</f>
        <v>31.028856201430514</v>
      </c>
      <c r="BF18" s="13">
        <f t="shared" si="37"/>
        <v>9.5868580371693835</v>
      </c>
      <c r="BG18" s="20">
        <f t="shared" si="7"/>
        <v>70.739035632228152</v>
      </c>
      <c r="BH18" s="59">
        <f t="shared" si="8"/>
        <v>345.73903563222814</v>
      </c>
      <c r="BI18" s="59">
        <f ca="1">AVERAGE(OFFSET($BH$3,0,0,'Données projet'!$E$11+1,1))-AVERAGE(OFFSET($H$3,0,0,'Données projet'!$E$11+1,1))</f>
        <v>430.60186171079067</v>
      </c>
      <c r="BJ18" s="59">
        <f t="shared" si="38"/>
        <v>533.76627289533985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4.857846153846153</v>
      </c>
      <c r="BY18" s="12">
        <f>IF('Données projet'!$A$114&gt;35,BY17+BX18-CG17,IF(A18&lt;'Données projet'!$A$114,$BV$205^A18,IF(A18='Données projet'!$A$114,'Données projet'!$B$114,BY17+BX18-CG17)))</f>
        <v>17.808619680442909</v>
      </c>
      <c r="BZ18" s="13">
        <f>BY18*VLOOKUP('Données projet'!$B$12,Paramètres!$A$1:$I$89,3,0)*VLOOKUP('Données projet'!$B$12,Paramètres!$A$1:$I$89,5,0)</f>
        <v>10.649554568904859</v>
      </c>
      <c r="CA18" s="13">
        <f t="shared" si="39"/>
        <v>3.7265086024628529</v>
      </c>
      <c r="CB18" s="20">
        <f t="shared" si="10"/>
        <v>25.038310023465428</v>
      </c>
      <c r="CC18" s="59">
        <f t="shared" si="11"/>
        <v>300.03831002346544</v>
      </c>
      <c r="CD18" s="59">
        <f ca="1">AVERAGE(OFFSET($CC$3,0,0,'Données projet'!$E$12+1,1))-AVERAGE(OFFSET($H$3,0,0,'Données projet'!$E$12+1,1))</f>
        <v>215.89467197072673</v>
      </c>
      <c r="CE18" s="59">
        <f t="shared" si="40"/>
        <v>188.21397398859534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1.8914529914529912</v>
      </c>
      <c r="CT18" s="12">
        <f>IF('Données projet'!$A$140&gt;35,CT17+CS18-DB17,IF(A18&lt;'Données projet'!$A$140,$CQ$205^A18,IF(A18='Données projet'!$A$140,'Données projet'!$B$140,CT17+CS18-DB17)))</f>
        <v>7.5328341109830541</v>
      </c>
      <c r="CU18" s="17">
        <f>CT18*VLOOKUP('Données projet'!$B$13,Paramètres!$A$1:$I$89,3,0)*VLOOKUP('Données projet'!$B$13,Paramètres!$A$1:$I$89,5,0)</f>
        <v>7.6382937885368172</v>
      </c>
      <c r="CV18" s="13">
        <f t="shared" si="41"/>
        <v>2.7782264852642795</v>
      </c>
      <c r="CW18" s="20">
        <f t="shared" si="13"/>
        <v>18.14210614353691</v>
      </c>
      <c r="CX18" s="59">
        <f t="shared" si="14"/>
        <v>293.14210614353692</v>
      </c>
      <c r="CY18" s="59">
        <f ca="1">AVERAGE(OFFSET($CX$3,0,0,'Données projet'!$E$13+1,1))-AVERAGE(OFFSET($H$3,0,0,'Données projet'!$E$13+1,1))</f>
        <v>342.82846711287749</v>
      </c>
      <c r="CZ18" s="59">
        <f t="shared" si="42"/>
        <v>152.87724741106297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9</v>
      </c>
      <c r="DM18" s="12">
        <f>VLOOKUP(A18,'Données projet'!$A$165:$I$185,9,0)</f>
        <v>0.6</v>
      </c>
      <c r="DN18" s="12">
        <f t="array" ref="DN18">INDEX(DM:DM,MIN(IF(ISNUMBER(DM18:DM214),ROW(DM18:DM214),"")))</f>
        <v>0.6</v>
      </c>
      <c r="DO18" s="12">
        <f>IF('Données projet'!$A$166&gt;35,DO17+DN18-DW17,IF(A18&lt;'Données projet'!$A$166,$DL$205^A18,IF(A18='Données projet'!$A$166,'Données projet'!$B$166,DO17+DN18-DW17)))</f>
        <v>9</v>
      </c>
      <c r="DP18" s="17">
        <f>DO18*VLOOKUP('Données projet'!$B$14,Paramètres!$A$1:$I$89,3,0)*VLOOKUP('Données projet'!$B$14,Paramètres!$A$1:$I$89,5,0)</f>
        <v>6.5987999999999998</v>
      </c>
      <c r="DQ18" s="13">
        <f t="shared" si="43"/>
        <v>2.4413570988248194</v>
      </c>
      <c r="DR18" s="20">
        <f t="shared" si="16"/>
        <v>15.744940280453227</v>
      </c>
      <c r="DS18" s="59">
        <f t="shared" si="17"/>
        <v>290.74494028045325</v>
      </c>
      <c r="DT18" s="59">
        <f ca="1">AVERAGE(OFFSET($DS$3,0,0,'Données projet'!$E$14+1,1))-AVERAGE(OFFSET($H$3,0,0,'Données projet'!$E$14+1,1))</f>
        <v>208.48147873805715</v>
      </c>
      <c r="DU18" s="59">
        <f t="shared" si="44"/>
        <v>209.50570914630686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7.4312217194570129</v>
      </c>
      <c r="EJ18" s="12">
        <f>IF('Données projet'!$A$192&gt;35,EJ17+EI18-ER17,IF(A18&lt;'Données projet'!$A$192,$EG$205^A18,IF(A18='Données projet'!$A$192,'Données projet'!$B$192,EJ17+EI18-ER17)))</f>
        <v>71.494522692931866</v>
      </c>
      <c r="EK18" s="17">
        <f>EJ18*VLOOKUP('Données projet'!$B$15,Paramètres!$A$1:$I$89,3,0)*VLOOKUP('Données projet'!$B$15,Paramètres!$A$1:$I$89,5,0)</f>
        <v>42.753724570373258</v>
      </c>
      <c r="EL18" s="13">
        <f t="shared" si="45"/>
        <v>12.725669841487028</v>
      </c>
      <c r="EM18" s="20">
        <f t="shared" si="19"/>
        <v>96.626611933989992</v>
      </c>
      <c r="EN18" s="59">
        <f t="shared" si="20"/>
        <v>371.62661193398998</v>
      </c>
      <c r="EO18" s="59">
        <f ca="1">AVERAGE(OFFSET($EN$3,0,0,'Données projet'!$E$15+1,1))-AVERAGE(OFFSET($H$3,0,0,'Données projet'!$E$15+1,1))</f>
        <v>247.31680974612766</v>
      </c>
      <c r="EP18" s="59">
        <f t="shared" si="46"/>
        <v>257.13949761071882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2.8454399999999991</v>
      </c>
      <c r="D19" s="11">
        <f t="shared" si="32"/>
        <v>1.161016797950974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6.1854069863102739</v>
      </c>
      <c r="H19" s="67">
        <f t="shared" si="1"/>
        <v>263.64457892309798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3.4425641025641025</v>
      </c>
      <c r="N19" s="13">
        <f>IF('Données projet'!$A$36&gt;35,N18+M19-V18,IF(A19&lt;'Données projet'!$A$36,$K$205^A19,IF(A19='Données projet'!$A$36,'Données projet'!$B$36,N18+M19-V18)))</f>
        <v>11.861376416102864</v>
      </c>
      <c r="O19" s="13">
        <f>N19*VLOOKUP('Données projet'!$B$9,Paramètres!$A$1:$I$89,3,0)*VLOOKUP('Données projet'!$B$9,Paramètres!$A$1:$I$89,5,0)</f>
        <v>5.5511241627361398</v>
      </c>
      <c r="P19" s="13">
        <f t="shared" si="33"/>
        <v>2.0954971024924585</v>
      </c>
      <c r="Q19" s="20">
        <f t="shared" si="2"/>
        <v>13.31786537027314</v>
      </c>
      <c r="R19" s="59">
        <f t="shared" si="0"/>
        <v>289.54008759249535</v>
      </c>
      <c r="S19" s="59">
        <f ca="1">AVERAGE(OFFSET($R$3,0,0,'Données projet'!$E$9+1,1))-AVERAGE(OFFSET($H$3,0,0,'Données projet'!$E$9+1,1))</f>
        <v>223.99456146593315</v>
      </c>
      <c r="T19" s="59">
        <f t="shared" si="34"/>
        <v>132.73290587325937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</v>
      </c>
      <c r="AI19" s="13">
        <f>IF('Données projet'!$A$62&gt;35,AI18+AH19-AQ18,IF(A19&lt;'Données projet'!$A$62,$AF$205^A19,IF(A19='Données projet'!$A$62,'Données projet'!$B$62,AI18+AH19-AQ18)))</f>
        <v>52</v>
      </c>
      <c r="AJ19" s="13">
        <f>AI19*VLOOKUP('Données projet'!$B$10,Paramètres!$A$1:$I$89,3,0)*VLOOKUP('Données projet'!$B$10,Paramètres!$A$1:$I$89,5,0)</f>
        <v>34.070399999999999</v>
      </c>
      <c r="AK19" s="13">
        <f t="shared" si="35"/>
        <v>10.412633617059315</v>
      </c>
      <c r="AL19" s="20">
        <f t="shared" si="4"/>
        <v>77.474616883044959</v>
      </c>
      <c r="AM19" s="59">
        <f t="shared" si="5"/>
        <v>353.6968391052672</v>
      </c>
      <c r="AN19" s="59">
        <f ca="1">AVERAGE(OFFSET($AM$3,0,0,'Données projet'!$E$10+1,1))-AVERAGE(OFFSET($H$3,0,0,'Données projet'!$E$10+1,1))</f>
        <v>244.43587473734613</v>
      </c>
      <c r="AO19" s="59">
        <f t="shared" si="36"/>
        <v>256.80261402149375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0.14696467312939426</v>
      </c>
      <c r="AW19" s="21">
        <f>EXP(-LN(2)/2)*AW18+(1-EXP(-LN(2)/2))/(LN(2)/2)*AQ19*AT19*VLOOKUP('Données projet'!$B$10,Paramètres!$A$1:$I$89,3,0)*0.475*44/12</f>
        <v>0.54774156184484579</v>
      </c>
      <c r="AX19" s="21">
        <f t="shared" si="6"/>
        <v>0.69470623497424011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8.526315789473685</v>
      </c>
      <c r="BD19" s="12">
        <f>IF('Données projet'!$A$88&gt;35,BD18+BC19-BL18,IF(A19&lt;'Données projet'!$A$88,$BA$205^A19,IF(A19='Données projet'!$A$88,'Données projet'!$B$88,BD18+BC19-BL18)))</f>
        <v>72.551136968384853</v>
      </c>
      <c r="BE19" s="13">
        <f>BD19*VLOOKUP('Données projet'!$B$11,Paramètres!$A$1:$I$89,3,0)*VLOOKUP('Données projet'!$B$11,Paramètres!$A$1:$I$89,5,0)</f>
        <v>40.55608556532713</v>
      </c>
      <c r="BF19" s="13">
        <f t="shared" si="37"/>
        <v>12.145918805157919</v>
      </c>
      <c r="BG19" s="20">
        <f t="shared" si="7"/>
        <v>91.78932427859479</v>
      </c>
      <c r="BH19" s="59">
        <f t="shared" si="8"/>
        <v>368.01154650081702</v>
      </c>
      <c r="BI19" s="59">
        <f ca="1">AVERAGE(OFFSET($BH$3,0,0,'Données projet'!$E$11+1,1))-AVERAGE(OFFSET($H$3,0,0,'Données projet'!$E$11+1,1))</f>
        <v>430.60186171079067</v>
      </c>
      <c r="BJ19" s="59">
        <f t="shared" si="38"/>
        <v>533.76627289533985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4.857846153846153</v>
      </c>
      <c r="BY19" s="12">
        <f>IF('Données projet'!$A$114&gt;35,BY18+BX19-CG18,IF(A19&lt;'Données projet'!$A$114,$BV$205^A19,IF(A19='Données projet'!$A$114,'Données projet'!$B$114,BY18+BX19-CG18)))</f>
        <v>21.577722813386732</v>
      </c>
      <c r="BZ19" s="13">
        <f>BY19*VLOOKUP('Données projet'!$B$12,Paramètres!$A$1:$I$89,3,0)*VLOOKUP('Données projet'!$B$12,Paramètres!$A$1:$I$89,5,0)</f>
        <v>12.903478242405267</v>
      </c>
      <c r="CA19" s="13">
        <f t="shared" si="39"/>
        <v>4.4154257690368244</v>
      </c>
      <c r="CB19" s="20">
        <f t="shared" si="10"/>
        <v>30.163757819928311</v>
      </c>
      <c r="CC19" s="59">
        <f t="shared" si="11"/>
        <v>306.38598004215055</v>
      </c>
      <c r="CD19" s="59">
        <f ca="1">AVERAGE(OFFSET($CC$3,0,0,'Données projet'!$E$12+1,1))-AVERAGE(OFFSET($H$3,0,0,'Données projet'!$E$12+1,1))</f>
        <v>215.89467197072673</v>
      </c>
      <c r="CE19" s="59">
        <f t="shared" si="40"/>
        <v>188.21397398859534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1.8914529914529912</v>
      </c>
      <c r="CT19" s="12">
        <f>IF('Données projet'!$A$140&gt;35,CT18+CS19-DB18,IF(A19&lt;'Données projet'!$A$140,$CQ$205^A19,IF(A19='Données projet'!$A$140,'Données projet'!$B$140,CT18+CS19-DB18)))</f>
        <v>8.618313679918872</v>
      </c>
      <c r="CU19" s="17">
        <f>CT19*VLOOKUP('Données projet'!$B$13,Paramètres!$A$1:$I$89,3,0)*VLOOKUP('Données projet'!$B$13,Paramètres!$A$1:$I$89,5,0)</f>
        <v>8.7389700714377376</v>
      </c>
      <c r="CV19" s="13">
        <f t="shared" si="41"/>
        <v>3.1291497219765851</v>
      </c>
      <c r="CW19" s="20">
        <f t="shared" si="13"/>
        <v>20.670308640196613</v>
      </c>
      <c r="CX19" s="59">
        <f t="shared" si="14"/>
        <v>296.89253086241882</v>
      </c>
      <c r="CY19" s="59">
        <f ca="1">AVERAGE(OFFSET($CX$3,0,0,'Données projet'!$E$13+1,1))-AVERAGE(OFFSET($H$3,0,0,'Données projet'!$E$13+1,1))</f>
        <v>342.82846711287749</v>
      </c>
      <c r="CZ19" s="59">
        <f t="shared" si="42"/>
        <v>152.87724741106297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18.600000000000001</v>
      </c>
      <c r="DP19" s="17">
        <f>DO19*VLOOKUP('Données projet'!$B$14,Paramètres!$A$1:$I$89,3,0)*VLOOKUP('Données projet'!$B$14,Paramètres!$A$1:$I$89,5,0)</f>
        <v>13.637520000000002</v>
      </c>
      <c r="DQ19" s="13">
        <f t="shared" si="43"/>
        <v>4.6366494723377283</v>
      </c>
      <c r="DR19" s="20">
        <f t="shared" si="16"/>
        <v>31.827511830988218</v>
      </c>
      <c r="DS19" s="59">
        <f t="shared" si="17"/>
        <v>308.04973405321044</v>
      </c>
      <c r="DT19" s="59">
        <f ca="1">AVERAGE(OFFSET($DS$3,0,0,'Données projet'!$E$14+1,1))-AVERAGE(OFFSET($H$3,0,0,'Données projet'!$E$14+1,1))</f>
        <v>208.48147873805715</v>
      </c>
      <c r="DU19" s="59">
        <f t="shared" si="44"/>
        <v>209.50570914630686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7.4312217194570129</v>
      </c>
      <c r="EJ19" s="12">
        <f>IF('Données projet'!$A$192&gt;35,EJ18+EI19-ER18,IF(A19&lt;'Données projet'!$A$192,$EG$205^A19,IF(A19='Données projet'!$A$192,'Données projet'!$B$192,EJ18+EI19-ER18)))</f>
        <v>95.036614247271999</v>
      </c>
      <c r="EK19" s="17">
        <f>EJ19*VLOOKUP('Données projet'!$B$15,Paramètres!$A$1:$I$89,3,0)*VLOOKUP('Données projet'!$B$15,Paramètres!$A$1:$I$89,5,0)</f>
        <v>56.831895319868664</v>
      </c>
      <c r="EL19" s="13">
        <f t="shared" si="45"/>
        <v>16.364761474967661</v>
      </c>
      <c r="EM19" s="20">
        <f t="shared" si="19"/>
        <v>127.4841772510066</v>
      </c>
      <c r="EN19" s="59">
        <f t="shared" si="20"/>
        <v>403.70639947322883</v>
      </c>
      <c r="EO19" s="59">
        <f ca="1">AVERAGE(OFFSET($EN$3,0,0,'Données projet'!$E$15+1,1))-AVERAGE(OFFSET($H$3,0,0,'Données projet'!$E$15+1,1))</f>
        <v>247.31680974612766</v>
      </c>
      <c r="EP19" s="59">
        <f t="shared" si="46"/>
        <v>257.13949761071882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3.0232799999999989</v>
      </c>
      <c r="D20" s="11">
        <f t="shared" si="32"/>
        <v>1.2249059762477132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6.5586029106982231</v>
      </c>
      <c r="H20" s="67">
        <f t="shared" si="1"/>
        <v>264.06559057529813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3.4425641025641025</v>
      </c>
      <c r="N20" s="13">
        <f>IF('Données projet'!$A$36&gt;35,N19+M20-V19,IF(A20&lt;'Données projet'!$A$36,$K$205^A20,IF(A20='Données projet'!$A$36,'Données projet'!$B$36,N19+M20-V19)))</f>
        <v>13.84422124990315</v>
      </c>
      <c r="O20" s="13">
        <f>N20*VLOOKUP('Données projet'!$B$9,Paramètres!$A$1:$I$89,3,0)*VLOOKUP('Données projet'!$B$9,Paramètres!$A$1:$I$89,5,0)</f>
        <v>6.4790955449546734</v>
      </c>
      <c r="P20" s="13">
        <f t="shared" si="33"/>
        <v>2.4021834741420709</v>
      </c>
      <c r="Q20" s="20">
        <f t="shared" si="2"/>
        <v>15.468227624926827</v>
      </c>
      <c r="R20" s="59">
        <f t="shared" si="0"/>
        <v>292.9126720693713</v>
      </c>
      <c r="S20" s="59">
        <f ca="1">AVERAGE(OFFSET($R$3,0,0,'Données projet'!$E$9+1,1))-AVERAGE(OFFSET($H$3,0,0,'Données projet'!$E$9+1,1))</f>
        <v>223.99456146593315</v>
      </c>
      <c r="T20" s="59">
        <f t="shared" si="34"/>
        <v>132.73290587325937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</v>
      </c>
      <c r="AI20" s="13">
        <f>IF('Données projet'!$A$62&gt;35,AI19+AH20-AQ19,IF(A20&lt;'Données projet'!$A$62,$AF$205^A20,IF(A20='Données projet'!$A$62,'Données projet'!$B$62,AI19+AH20-AQ19)))</f>
        <v>64</v>
      </c>
      <c r="AJ20" s="13">
        <f>AI20*VLOOKUP('Données projet'!$B$10,Paramètres!$A$1:$I$89,3,0)*VLOOKUP('Données projet'!$B$10,Paramètres!$A$1:$I$89,5,0)</f>
        <v>41.9328</v>
      </c>
      <c r="AK20" s="13">
        <f t="shared" si="35"/>
        <v>12.509520351031938</v>
      </c>
      <c r="AL20" s="20">
        <f t="shared" si="4"/>
        <v>94.820374611380615</v>
      </c>
      <c r="AM20" s="59">
        <f t="shared" si="5"/>
        <v>372.26481905582506</v>
      </c>
      <c r="AN20" s="59">
        <f ca="1">AVERAGE(OFFSET($AM$3,0,0,'Données projet'!$E$10+1,1))-AVERAGE(OFFSET($H$3,0,0,'Données projet'!$E$10+1,1))</f>
        <v>244.43587473734613</v>
      </c>
      <c r="AO20" s="59">
        <f t="shared" si="36"/>
        <v>256.80261402149375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0.1429459164141347</v>
      </c>
      <c r="AW20" s="21">
        <f>EXP(-LN(2)/2)*AW19+(1-EXP(-LN(2)/2))/(LN(2)/2)*AQ20*AT20*VLOOKUP('Données projet'!$B$10,Paramètres!$A$1:$I$89,3,0)*0.475*44/12</f>
        <v>0.38731177271820116</v>
      </c>
      <c r="AX20" s="21">
        <f t="shared" si="6"/>
        <v>0.53025768913233584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8.526315789473685</v>
      </c>
      <c r="BD20" s="12">
        <f>IF('Données projet'!$A$88&gt;35,BD19+BC20-BL19,IF(A20&lt;'Données projet'!$A$88,$BA$205^A20,IF(A20='Données projet'!$A$88,'Données projet'!$B$88,BD19+BC20-BL19)))</f>
        <v>94.827540520682575</v>
      </c>
      <c r="BE20" s="13">
        <f>BD20*VLOOKUP('Données projet'!$B$11,Paramètres!$A$1:$I$89,3,0)*VLOOKUP('Données projet'!$B$11,Paramètres!$A$1:$I$89,5,0)</f>
        <v>53.008595151061563</v>
      </c>
      <c r="BF20" s="13">
        <f t="shared" si="37"/>
        <v>15.388080542084102</v>
      </c>
      <c r="BG20" s="20">
        <f t="shared" si="7"/>
        <v>119.12421016556203</v>
      </c>
      <c r="BH20" s="59">
        <f t="shared" si="8"/>
        <v>396.56865461000649</v>
      </c>
      <c r="BI20" s="59">
        <f ca="1">AVERAGE(OFFSET($BH$3,0,0,'Données projet'!$E$11+1,1))-AVERAGE(OFFSET($H$3,0,0,'Données projet'!$E$11+1,1))</f>
        <v>430.60186171079067</v>
      </c>
      <c r="BJ20" s="59">
        <f t="shared" si="38"/>
        <v>533.76627289533985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4.857846153846153</v>
      </c>
      <c r="BY20" s="12">
        <f>IF('Données projet'!$A$114&gt;35,BY19+BX20-CG19,IF(A20&lt;'Données projet'!$A$114,$BV$205^A20,IF(A20='Données projet'!$A$114,'Données projet'!$B$114,BY19+BX20-CG19)))</f>
        <v>26.144537317659786</v>
      </c>
      <c r="BZ20" s="13">
        <f>BY20*VLOOKUP('Données projet'!$B$12,Paramètres!$A$1:$I$89,3,0)*VLOOKUP('Données projet'!$B$12,Paramètres!$A$1:$I$89,5,0)</f>
        <v>15.634433315960553</v>
      </c>
      <c r="CA20" s="13">
        <f t="shared" si="39"/>
        <v>5.2317025939479986</v>
      </c>
      <c r="CB20" s="20">
        <f t="shared" si="10"/>
        <v>36.341853376424055</v>
      </c>
      <c r="CC20" s="59">
        <f t="shared" si="11"/>
        <v>313.78629782086853</v>
      </c>
      <c r="CD20" s="59">
        <f ca="1">AVERAGE(OFFSET($CC$3,0,0,'Données projet'!$E$12+1,1))-AVERAGE(OFFSET($H$3,0,0,'Données projet'!$E$12+1,1))</f>
        <v>215.89467197072673</v>
      </c>
      <c r="CE20" s="59">
        <f t="shared" si="40"/>
        <v>188.21397398859534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1.8914529914529912</v>
      </c>
      <c r="CT20" s="12">
        <f>IF('Données projet'!$A$140&gt;35,CT19+CS20-DB19,IF(A20&lt;'Données projet'!$A$140,$CQ$205^A20,IF(A20='Données projet'!$A$140,'Données projet'!$B$140,CT19+CS20-DB19)))</f>
        <v>9.8602105915463536</v>
      </c>
      <c r="CU20" s="17">
        <f>CT20*VLOOKUP('Données projet'!$B$13,Paramètres!$A$1:$I$89,3,0)*VLOOKUP('Données projet'!$B$13,Paramètres!$A$1:$I$89,5,0)</f>
        <v>9.9982535398280028</v>
      </c>
      <c r="CV20" s="13">
        <f t="shared" si="41"/>
        <v>3.5243987610371894</v>
      </c>
      <c r="CW20" s="20">
        <f t="shared" si="13"/>
        <v>23.551952757340214</v>
      </c>
      <c r="CX20" s="59">
        <f t="shared" si="14"/>
        <v>300.99639720178465</v>
      </c>
      <c r="CY20" s="59">
        <f ca="1">AVERAGE(OFFSET($CX$3,0,0,'Données projet'!$E$13+1,1))-AVERAGE(OFFSET($H$3,0,0,'Données projet'!$E$13+1,1))</f>
        <v>342.82846711287749</v>
      </c>
      <c r="CZ20" s="59">
        <f t="shared" si="42"/>
        <v>152.87724741106297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28.200000000000003</v>
      </c>
      <c r="DP20" s="17">
        <f>DO20*VLOOKUP('Données projet'!$B$14,Paramètres!$A$1:$I$89,3,0)*VLOOKUP('Données projet'!$B$14,Paramètres!$A$1:$I$89,5,0)</f>
        <v>20.676240000000004</v>
      </c>
      <c r="DQ20" s="13">
        <f t="shared" si="43"/>
        <v>6.6973460495067982</v>
      </c>
      <c r="DR20" s="20">
        <f t="shared" si="16"/>
        <v>47.675662369557671</v>
      </c>
      <c r="DS20" s="59">
        <f t="shared" si="17"/>
        <v>325.12010681400216</v>
      </c>
      <c r="DT20" s="59">
        <f ca="1">AVERAGE(OFFSET($DS$3,0,0,'Données projet'!$E$14+1,1))-AVERAGE(OFFSET($H$3,0,0,'Données projet'!$E$14+1,1))</f>
        <v>208.48147873805715</v>
      </c>
      <c r="DU20" s="59">
        <f t="shared" si="44"/>
        <v>209.50570914630686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>
        <f>VLOOKUP(A20,'Données projet'!$A$191:$I$211,2,0)</f>
        <v>126.33076923076922</v>
      </c>
      <c r="EH20" s="12">
        <f>VLOOKUP(A20,'Données projet'!$A$191:$I$211,9,0)</f>
        <v>7.4312217194570129</v>
      </c>
      <c r="EI20" s="12">
        <f t="array" ref="EI20">INDEX(EH:EH,MIN(IF(ISNUMBER(EH20:EH216),ROW(EH20:EH216),"")))</f>
        <v>7.4312217194570129</v>
      </c>
      <c r="EJ20" s="12">
        <f>IF('Données projet'!$A$192&gt;35,EJ19+EI20-ER19,IF(A20&lt;'Données projet'!$A$192,$EG$205^A20,IF(A20='Données projet'!$A$192,'Données projet'!$B$192,EJ19+EI20-ER19)))</f>
        <v>126.33076923076922</v>
      </c>
      <c r="EK20" s="17">
        <f>EJ20*VLOOKUP('Données projet'!$B$15,Paramètres!$A$1:$I$89,3,0)*VLOOKUP('Données projet'!$B$15,Paramètres!$A$1:$I$89,5,0)</f>
        <v>75.5458</v>
      </c>
      <c r="EL20" s="13">
        <f t="shared" si="45"/>
        <v>21.044504648353485</v>
      </c>
      <c r="EM20" s="20">
        <f t="shared" si="19"/>
        <v>168.22811392921565</v>
      </c>
      <c r="EN20" s="59">
        <f t="shared" si="20"/>
        <v>445.67255837366008</v>
      </c>
      <c r="EO20" s="59">
        <f ca="1">AVERAGE(OFFSET($EN$3,0,0,'Données projet'!$E$15+1,1))-AVERAGE(OFFSET($H$3,0,0,'Données projet'!$E$15+1,1))</f>
        <v>247.31680974612766</v>
      </c>
      <c r="EP20" s="59">
        <f t="shared" si="46"/>
        <v>257.13949761071882</v>
      </c>
      <c r="EQ20" s="15">
        <f>IF(ISNA(VLOOKUP(A20,'Données projet'!$A$191:$I$211,3,0)),0,VLOOKUP(A20,'Données projet'!$A$191:$I$211,3,0))</f>
        <v>1</v>
      </c>
      <c r="ER20" s="15">
        <f>IF(ISNA(VLOOKUP(A20,'Données projet'!$A$191:$I$211,4,0)),0,VLOOKUP(A20,'Données projet'!$A$191:$I$211,4,0))</f>
        <v>42.084615384615383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0.25200000000000006</v>
      </c>
      <c r="EU20" s="16">
        <f>IF(ISNA(VLOOKUP(A20,'Données projet'!$A$191:$I$211,7,0)),0%,VLOOKUP(A20,'Données projet'!$A$191:$I$211,7,0))</f>
        <v>0.44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8.3799241086489591</v>
      </c>
      <c r="EX20" s="21">
        <f>EXP(-LN(2)/2)*EX19+(1-EXP(-LN(2)/2))/(LN(2)/2)*ER20*EU20*VLOOKUP('Données projet'!$B$15,Paramètres!$A$1:$I$89,3,0)*0.475*44/12</f>
        <v>12.537552429129006</v>
      </c>
      <c r="EY20" s="22">
        <f t="shared" si="21"/>
        <v>20.917476537777965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3.2011199999999986</v>
      </c>
      <c r="D21" s="11">
        <f t="shared" si="32"/>
        <v>1.2883589302782132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6.9311253660435561</v>
      </c>
      <c r="H21" s="67">
        <f t="shared" si="1"/>
        <v>264.48584247023456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3.4425641025641025</v>
      </c>
      <c r="N21" s="13">
        <f>IF('Données projet'!$A$36&gt;35,N20+M21-V20,IF(A21&lt;'Données projet'!$A$36,$K$205^A21,IF(A21='Données projet'!$A$36,'Données projet'!$B$36,N20+M21-V20)))</f>
        <v>16.158534666859676</v>
      </c>
      <c r="O21" s="13">
        <f>N21*VLOOKUP('Données projet'!$B$9,Paramètres!$A$1:$I$89,3,0)*VLOOKUP('Données projet'!$B$9,Paramètres!$A$1:$I$89,5,0)</f>
        <v>7.5621942240903284</v>
      </c>
      <c r="P21" s="13">
        <f t="shared" si="33"/>
        <v>2.7537549140858508</v>
      </c>
      <c r="Q21" s="20">
        <f t="shared" si="2"/>
        <v>17.96694474899018</v>
      </c>
      <c r="R21" s="59">
        <f t="shared" si="0"/>
        <v>296.63361141565684</v>
      </c>
      <c r="S21" s="59">
        <f ca="1">AVERAGE(OFFSET($R$3,0,0,'Données projet'!$E$9+1,1))-AVERAGE(OFFSET($H$3,0,0,'Données projet'!$E$9+1,1))</f>
        <v>223.99456146593315</v>
      </c>
      <c r="T21" s="59">
        <f t="shared" si="34"/>
        <v>132.73290587325937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</v>
      </c>
      <c r="AI21" s="13">
        <f>IF('Données projet'!$A$62&gt;35,AI20+AH21-AQ20,IF(A21&lt;'Données projet'!$A$62,$AF$205^A21,IF(A21='Données projet'!$A$62,'Données projet'!$B$62,AI20+AH21-AQ20)))</f>
        <v>76</v>
      </c>
      <c r="AJ21" s="13">
        <f>AI21*VLOOKUP('Données projet'!$B$10,Paramètres!$A$1:$I$89,3,0)*VLOOKUP('Données projet'!$B$10,Paramètres!$A$1:$I$89,5,0)</f>
        <v>49.795200000000001</v>
      </c>
      <c r="AK21" s="13">
        <f t="shared" si="35"/>
        <v>14.560856542690781</v>
      </c>
      <c r="AL21" s="20">
        <f t="shared" si="4"/>
        <v>112.08679847851977</v>
      </c>
      <c r="AM21" s="59">
        <f t="shared" si="5"/>
        <v>390.75346514518645</v>
      </c>
      <c r="AN21" s="59">
        <f ca="1">AVERAGE(OFFSET($AM$3,0,0,'Données projet'!$E$10+1,1))-AVERAGE(OFFSET($H$3,0,0,'Données projet'!$E$10+1,1))</f>
        <v>244.43587473734613</v>
      </c>
      <c r="AO21" s="59">
        <f t="shared" si="36"/>
        <v>256.80261402149375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0.13903705281259116</v>
      </c>
      <c r="AW21" s="21">
        <f>EXP(-LN(2)/2)*AW20+(1-EXP(-LN(2)/2))/(LN(2)/2)*AQ21*AT21*VLOOKUP('Données projet'!$B$10,Paramètres!$A$1:$I$89,3,0)*0.475*44/12</f>
        <v>0.2738707809224229</v>
      </c>
      <c r="AX21" s="21">
        <f t="shared" si="6"/>
        <v>0.41290783373501405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8.526315789473685</v>
      </c>
      <c r="BD21" s="12">
        <f>IF('Données projet'!$A$88&gt;35,BD20+BC21-BL20,IF(A21&lt;'Données projet'!$A$88,$BA$205^A21,IF(A21='Données projet'!$A$88,'Données projet'!$B$88,BD20+BC21-BL20)))</f>
        <v>123.94378388749713</v>
      </c>
      <c r="BE21" s="13">
        <f>BD21*VLOOKUP('Données projet'!$B$11,Paramètres!$A$1:$I$89,3,0)*VLOOKUP('Données projet'!$B$11,Paramètres!$A$1:$I$89,5,0)</f>
        <v>69.284575193110896</v>
      </c>
      <c r="BF21" s="13">
        <f t="shared" si="37"/>
        <v>19.495686293334202</v>
      </c>
      <c r="BG21" s="20">
        <f t="shared" si="7"/>
        <v>154.62562208889187</v>
      </c>
      <c r="BH21" s="59">
        <f t="shared" si="8"/>
        <v>433.29228875555856</v>
      </c>
      <c r="BI21" s="59">
        <f ca="1">AVERAGE(OFFSET($BH$3,0,0,'Données projet'!$E$11+1,1))-AVERAGE(OFFSET($H$3,0,0,'Données projet'!$E$11+1,1))</f>
        <v>430.60186171079067</v>
      </c>
      <c r="BJ21" s="59">
        <f t="shared" si="38"/>
        <v>533.76627289533985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4.857846153846153</v>
      </c>
      <c r="BY21" s="12">
        <f>IF('Données projet'!$A$114&gt;35,BY20+BX21-CG20,IF(A21&lt;'Données projet'!$A$114,$BV$205^A21,IF(A21='Données projet'!$A$114,'Données projet'!$B$114,BY20+BX21-CG20)))</f>
        <v>31.677894718827407</v>
      </c>
      <c r="BZ21" s="13">
        <f>BY21*VLOOKUP('Données projet'!$B$12,Paramètres!$A$1:$I$89,3,0)*VLOOKUP('Données projet'!$B$12,Paramètres!$A$1:$I$89,5,0)</f>
        <v>18.943381041858792</v>
      </c>
      <c r="CA21" s="13">
        <f t="shared" si="39"/>
        <v>6.1988839725172955</v>
      </c>
      <c r="CB21" s="20">
        <f t="shared" si="10"/>
        <v>43.789444900038347</v>
      </c>
      <c r="CC21" s="59">
        <f t="shared" si="11"/>
        <v>322.45611156670503</v>
      </c>
      <c r="CD21" s="59">
        <f ca="1">AVERAGE(OFFSET($CC$3,0,0,'Données projet'!$E$12+1,1))-AVERAGE(OFFSET($H$3,0,0,'Données projet'!$E$12+1,1))</f>
        <v>215.89467197072673</v>
      </c>
      <c r="CE21" s="59">
        <f t="shared" si="40"/>
        <v>188.21397398859534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1.8914529914529912</v>
      </c>
      <c r="CT21" s="12">
        <f>IF('Données projet'!$A$140&gt;35,CT20+CS21-DB20,IF(A21&lt;'Données projet'!$A$140,$CQ$205^A21,IF(A21='Données projet'!$A$140,'Données projet'!$B$140,CT20+CS21-DB20)))</f>
        <v>11.281064547021465</v>
      </c>
      <c r="CU21" s="17">
        <f>CT21*VLOOKUP('Données projet'!$B$13,Paramètres!$A$1:$I$89,3,0)*VLOOKUP('Données projet'!$B$13,Paramètres!$A$1:$I$89,5,0)</f>
        <v>11.438999450679766</v>
      </c>
      <c r="CV21" s="13">
        <f t="shared" si="41"/>
        <v>3.9695724814836573</v>
      </c>
      <c r="CW21" s="20">
        <f t="shared" si="13"/>
        <v>26.83659611518463</v>
      </c>
      <c r="CX21" s="59">
        <f t="shared" si="14"/>
        <v>305.50326278185133</v>
      </c>
      <c r="CY21" s="59">
        <f ca="1">AVERAGE(OFFSET($CX$3,0,0,'Données projet'!$E$13+1,1))-AVERAGE(OFFSET($H$3,0,0,'Données projet'!$E$13+1,1))</f>
        <v>342.82846711287749</v>
      </c>
      <c r="CZ21" s="59">
        <f t="shared" si="42"/>
        <v>152.87724741106297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37.800000000000004</v>
      </c>
      <c r="DP21" s="17">
        <f>DO21*VLOOKUP('Données projet'!$B$14,Paramètres!$A$1:$I$89,3,0)*VLOOKUP('Données projet'!$B$14,Paramètres!$A$1:$I$89,5,0)</f>
        <v>27.714960000000005</v>
      </c>
      <c r="DQ21" s="13">
        <f t="shared" si="43"/>
        <v>8.6762964320028821</v>
      </c>
      <c r="DR21" s="20">
        <f t="shared" si="16"/>
        <v>63.381438285738369</v>
      </c>
      <c r="DS21" s="59">
        <f t="shared" si="17"/>
        <v>342.04810495240508</v>
      </c>
      <c r="DT21" s="59">
        <f ca="1">AVERAGE(OFFSET($DS$3,0,0,'Données projet'!$E$14+1,1))-AVERAGE(OFFSET($H$3,0,0,'Données projet'!$E$14+1,1))</f>
        <v>208.48147873805715</v>
      </c>
      <c r="DU21" s="59">
        <f t="shared" si="44"/>
        <v>209.50570914630686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14.926923076923075</v>
      </c>
      <c r="EJ21" s="12">
        <f>IF('Données projet'!$A$192&gt;35,EJ20+EI21-ER20,IF(A21&lt;'Données projet'!$A$192,$EG$205^A21,IF(A21='Données projet'!$A$192,'Données projet'!$B$192,EJ20+EI21-ER20)))</f>
        <v>99.173076923076934</v>
      </c>
      <c r="EK21" s="17">
        <f>EJ21*VLOOKUP('Données projet'!$B$15,Paramètres!$A$1:$I$89,3,0)*VLOOKUP('Données projet'!$B$15,Paramètres!$A$1:$I$89,5,0)</f>
        <v>59.305500000000016</v>
      </c>
      <c r="EL21" s="13">
        <f t="shared" si="45"/>
        <v>16.992558820122873</v>
      </c>
      <c r="EM21" s="20">
        <f t="shared" si="19"/>
        <v>132.88578577838067</v>
      </c>
      <c r="EN21" s="59">
        <f t="shared" si="20"/>
        <v>411.55245244504738</v>
      </c>
      <c r="EO21" s="59">
        <f ca="1">AVERAGE(OFFSET($EN$3,0,0,'Données projet'!$E$15+1,1))-AVERAGE(OFFSET($H$3,0,0,'Données projet'!$E$15+1,1))</f>
        <v>247.31680974612766</v>
      </c>
      <c r="EP21" s="59">
        <f t="shared" si="46"/>
        <v>257.13949761071882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8.1507746432168968</v>
      </c>
      <c r="EX21" s="21">
        <f>EXP(-LN(2)/2)*EX20+(1-EXP(-LN(2)/2))/(LN(2)/2)*ER21*EU21*VLOOKUP('Données projet'!$B$15,Paramètres!$A$1:$I$89,3,0)*0.475*44/12</f>
        <v>8.8653883421189921</v>
      </c>
      <c r="EY21" s="22">
        <f t="shared" si="21"/>
        <v>17.016162985335889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3.3789599999999984</v>
      </c>
      <c r="D22" s="11">
        <f t="shared" si="32"/>
        <v>1.3514026568751512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7.3030160316668971</v>
      </c>
      <c r="H22" s="67">
        <f t="shared" si="1"/>
        <v>264.90538162739091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3.4425641025641025</v>
      </c>
      <c r="N22" s="13">
        <f>IF('Données projet'!$A$36&gt;35,N21+M22-V21,IF(A22&lt;'Données projet'!$A$36,$K$205^A22,IF(A22='Données projet'!$A$36,'Données projet'!$B$36,N21+M22-V21)))</f>
        <v>18.859727670267663</v>
      </c>
      <c r="O22" s="13">
        <f>N22*VLOOKUP('Données projet'!$B$9,Paramètres!$A$1:$I$89,3,0)*VLOOKUP('Données projet'!$B$9,Paramètres!$A$1:$I$89,5,0)</f>
        <v>8.8263525496852662</v>
      </c>
      <c r="P22" s="13">
        <f t="shared" si="33"/>
        <v>3.1567805742066648</v>
      </c>
      <c r="Q22" s="20">
        <f t="shared" si="2"/>
        <v>20.870623524111782</v>
      </c>
      <c r="R22" s="59">
        <f t="shared" si="0"/>
        <v>300.75951241300066</v>
      </c>
      <c r="S22" s="59">
        <f ca="1">AVERAGE(OFFSET($R$3,0,0,'Données projet'!$E$9+1,1))-AVERAGE(OFFSET($H$3,0,0,'Données projet'!$E$9+1,1))</f>
        <v>223.99456146593315</v>
      </c>
      <c r="T22" s="59">
        <f t="shared" si="34"/>
        <v>132.73290587325937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</v>
      </c>
      <c r="AI22" s="13">
        <f>IF('Données projet'!$A$62&gt;35,AI21+AH22-AQ21,IF(A22&lt;'Données projet'!$A$62,$AF$205^A22,IF(A22='Données projet'!$A$62,'Données projet'!$B$62,AI21+AH22-AQ21)))</f>
        <v>88</v>
      </c>
      <c r="AJ22" s="13">
        <f>AI22*VLOOKUP('Données projet'!$B$10,Paramètres!$A$1:$I$89,3,0)*VLOOKUP('Données projet'!$B$10,Paramètres!$A$1:$I$89,5,0)</f>
        <v>57.657600000000002</v>
      </c>
      <c r="AK22" s="13">
        <f t="shared" si="35"/>
        <v>16.574671209026025</v>
      </c>
      <c r="AL22" s="20">
        <f t="shared" si="4"/>
        <v>129.28787235572034</v>
      </c>
      <c r="AM22" s="59">
        <f t="shared" si="5"/>
        <v>409.17676124460922</v>
      </c>
      <c r="AN22" s="59">
        <f ca="1">AVERAGE(OFFSET($AM$3,0,0,'Données projet'!$E$10+1,1))-AVERAGE(OFFSET($H$3,0,0,'Données projet'!$E$10+1,1))</f>
        <v>244.43587473734613</v>
      </c>
      <c r="AO22" s="59">
        <f t="shared" si="36"/>
        <v>256.80261402149375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0.13523507729179002</v>
      </c>
      <c r="AW22" s="21">
        <f>EXP(-LN(2)/2)*AW21+(1-EXP(-LN(2)/2))/(LN(2)/2)*AQ22*AT22*VLOOKUP('Données projet'!$B$10,Paramètres!$A$1:$I$89,3,0)*0.475*44/12</f>
        <v>0.19365588635910058</v>
      </c>
      <c r="AX22" s="21">
        <f t="shared" si="6"/>
        <v>0.3288909636508906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162</v>
      </c>
      <c r="BB22" s="12">
        <f>VLOOKUP(A22,'Données projet'!$A$87:$I$107,9,0)</f>
        <v>8.526315789473685</v>
      </c>
      <c r="BC22" s="12">
        <f t="array" ref="BC22">INDEX(BB:BB,MIN(IF(ISNUMBER(BB22:BB218),ROW(BB22:BB218),"")))</f>
        <v>8.526315789473685</v>
      </c>
      <c r="BD22" s="12">
        <f>IF('Données projet'!$A$88&gt;35,BD21+BC22-BL21,IF(A22&lt;'Données projet'!$A$88,$BA$205^A22,IF(A22='Données projet'!$A$88,'Données projet'!$B$88,BD21+BC22-BL21)))</f>
        <v>162</v>
      </c>
      <c r="BE22" s="13">
        <f>BD22*VLOOKUP('Données projet'!$B$11,Paramètres!$A$1:$I$89,3,0)*VLOOKUP('Données projet'!$B$11,Paramètres!$A$1:$I$89,5,0)</f>
        <v>90.557999999999993</v>
      </c>
      <c r="BF22" s="13">
        <f t="shared" si="37"/>
        <v>24.699752708509138</v>
      </c>
      <c r="BG22" s="20">
        <f t="shared" si="7"/>
        <v>200.74058596732007</v>
      </c>
      <c r="BH22" s="59">
        <f t="shared" si="8"/>
        <v>480.62947485620896</v>
      </c>
      <c r="BI22" s="59">
        <f ca="1">AVERAGE(OFFSET($BH$3,0,0,'Données projet'!$E$11+1,1))-AVERAGE(OFFSET($H$3,0,0,'Données projet'!$E$11+1,1))</f>
        <v>430.60186171079067</v>
      </c>
      <c r="BJ22" s="59">
        <f t="shared" si="38"/>
        <v>533.76627289533985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0.30800000000000005</v>
      </c>
      <c r="BO22" s="16">
        <f>IF(ISNA(VLOOKUP(A22,'Données projet'!$A$87:$I$107,7,0)),0%,VLOOKUP(A22,'Données projet'!$A$87:$I$107,7,0))</f>
        <v>0.44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4.857846153846153</v>
      </c>
      <c r="BY22" s="12">
        <f>IF('Données projet'!$A$114&gt;35,BY21+BX22-CG21,IF(A22&lt;'Données projet'!$A$114,$BV$205^A22,IF(A22='Données projet'!$A$114,'Données projet'!$B$114,BY21+BX22-CG21)))</f>
        <v>38.3823588700225</v>
      </c>
      <c r="BZ22" s="13">
        <f>BY22*VLOOKUP('Données projet'!$B$12,Paramètres!$A$1:$I$89,3,0)*VLOOKUP('Données projet'!$B$12,Paramètres!$A$1:$I$89,5,0)</f>
        <v>22.952650604273455</v>
      </c>
      <c r="CA22" s="13">
        <f t="shared" si="39"/>
        <v>7.3448675292022392</v>
      </c>
      <c r="CB22" s="20">
        <f t="shared" si="10"/>
        <v>52.7681774158035</v>
      </c>
      <c r="CC22" s="59">
        <f t="shared" si="11"/>
        <v>332.65706630469236</v>
      </c>
      <c r="CD22" s="59">
        <f ca="1">AVERAGE(OFFSET($CC$3,0,0,'Données projet'!$E$12+1,1))-AVERAGE(OFFSET($H$3,0,0,'Données projet'!$E$12+1,1))</f>
        <v>215.89467197072673</v>
      </c>
      <c r="CE22" s="59">
        <f t="shared" si="40"/>
        <v>188.21397398859534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1.8914529914529912</v>
      </c>
      <c r="CT22" s="12">
        <f>IF('Données projet'!$A$140&gt;35,CT21+CS22-DB21,IF(A22&lt;'Données projet'!$A$140,$CQ$205^A22,IF(A22='Données projet'!$A$140,'Données projet'!$B$140,CT21+CS22-DB21)))</f>
        <v>12.906663212971637</v>
      </c>
      <c r="CU22" s="17">
        <f>CT22*VLOOKUP('Données projet'!$B$13,Paramètres!$A$1:$I$89,3,0)*VLOOKUP('Données projet'!$B$13,Paramètres!$A$1:$I$89,5,0)</f>
        <v>13.087356497953241</v>
      </c>
      <c r="CV22" s="13">
        <f t="shared" si="41"/>
        <v>4.4709769677467071</v>
      </c>
      <c r="CW22" s="20">
        <f t="shared" si="13"/>
        <v>30.580764119427414</v>
      </c>
      <c r="CX22" s="59">
        <f t="shared" si="14"/>
        <v>310.4696530083163</v>
      </c>
      <c r="CY22" s="59">
        <f ca="1">AVERAGE(OFFSET($CX$3,0,0,'Données projet'!$E$13+1,1))-AVERAGE(OFFSET($H$3,0,0,'Données projet'!$E$13+1,1))</f>
        <v>342.82846711287749</v>
      </c>
      <c r="CZ22" s="59">
        <f t="shared" si="42"/>
        <v>152.87724741106297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47.400000000000006</v>
      </c>
      <c r="DP22" s="17">
        <f>DO22*VLOOKUP('Données projet'!$B$14,Paramètres!$A$1:$I$89,3,0)*VLOOKUP('Données projet'!$B$14,Paramètres!$A$1:$I$89,5,0)</f>
        <v>34.753680000000003</v>
      </c>
      <c r="DQ22" s="13">
        <f t="shared" si="43"/>
        <v>10.596937427931278</v>
      </c>
      <c r="DR22" s="20">
        <f t="shared" si="16"/>
        <v>78.985658686980315</v>
      </c>
      <c r="DS22" s="59">
        <f t="shared" si="17"/>
        <v>358.8745475758692</v>
      </c>
      <c r="DT22" s="59">
        <f ca="1">AVERAGE(OFFSET($DS$3,0,0,'Données projet'!$E$14+1,1))-AVERAGE(OFFSET($H$3,0,0,'Données projet'!$E$14+1,1))</f>
        <v>208.48147873805715</v>
      </c>
      <c r="DU22" s="59">
        <f t="shared" si="44"/>
        <v>209.50570914630686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14.926923076923075</v>
      </c>
      <c r="EJ22" s="12">
        <f>IF('Données projet'!$A$192&gt;35,EJ21+EI22-ER21,IF(A22&lt;'Données projet'!$A$192,$EG$205^A22,IF(A22='Données projet'!$A$192,'Données projet'!$B$192,EJ21+EI22-ER21)))</f>
        <v>114.10000000000001</v>
      </c>
      <c r="EK22" s="17">
        <f>EJ22*VLOOKUP('Données projet'!$B$15,Paramètres!$A$1:$I$89,3,0)*VLOOKUP('Données projet'!$B$15,Paramètres!$A$1:$I$89,5,0)</f>
        <v>68.231800000000007</v>
      </c>
      <c r="EL22" s="13">
        <f t="shared" si="45"/>
        <v>19.233699497264624</v>
      </c>
      <c r="EM22" s="20">
        <f t="shared" si="19"/>
        <v>152.3357449577359</v>
      </c>
      <c r="EN22" s="59">
        <f t="shared" si="20"/>
        <v>432.22463384662478</v>
      </c>
      <c r="EO22" s="59">
        <f ca="1">AVERAGE(OFFSET($EN$3,0,0,'Données projet'!$E$15+1,1))-AVERAGE(OFFSET($H$3,0,0,'Données projet'!$E$15+1,1))</f>
        <v>247.31680974612766</v>
      </c>
      <c r="EP22" s="59">
        <f t="shared" si="46"/>
        <v>257.13949761071882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7.9278912819675211</v>
      </c>
      <c r="EX22" s="21">
        <f>EXP(-LN(2)/2)*EX21+(1-EXP(-LN(2)/2))/(LN(2)/2)*ER22*EU22*VLOOKUP('Données projet'!$B$15,Paramètres!$A$1:$I$89,3,0)*0.475*44/12</f>
        <v>6.2687762145645038</v>
      </c>
      <c r="EY22" s="22">
        <f t="shared" si="21"/>
        <v>14.196667496532026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3.5567999999999982</v>
      </c>
      <c r="D23" s="11">
        <f t="shared" si="32"/>
        <v>1.4140611505968173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7.6743119517985923</v>
      </c>
      <c r="H23" s="67">
        <f t="shared" si="1"/>
        <v>265.32424983728947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3.4425641025641025</v>
      </c>
      <c r="N23" s="13">
        <f>IF('Données projet'!$A$36&gt;35,N22+M23-V22,IF(A23&lt;'Données projet'!$A$36,$K$205^A23,IF(A23='Données projet'!$A$36,'Données projet'!$B$36,N22+M23-V22)))</f>
        <v>22.012474220583886</v>
      </c>
      <c r="O23" s="13">
        <f>N23*VLOOKUP('Données projet'!$B$9,Paramètres!$A$1:$I$89,3,0)*VLOOKUP('Données projet'!$B$9,Paramètres!$A$1:$I$89,5,0)</f>
        <v>10.301837935233259</v>
      </c>
      <c r="P23" s="13">
        <f t="shared" si="33"/>
        <v>3.6187910342764393</v>
      </c>
      <c r="Q23" s="20">
        <f t="shared" si="2"/>
        <v>24.245095455229389</v>
      </c>
      <c r="R23" s="59">
        <f t="shared" si="0"/>
        <v>305.35620656634052</v>
      </c>
      <c r="S23" s="59">
        <f ca="1">AVERAGE(OFFSET($R$3,0,0,'Données projet'!$E$9+1,1))-AVERAGE(OFFSET($H$3,0,0,'Données projet'!$E$9+1,1))</f>
        <v>223.99456146593315</v>
      </c>
      <c r="T23" s="59">
        <f t="shared" si="34"/>
        <v>132.73290587325937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100</v>
      </c>
      <c r="AG23" s="12">
        <f>VLOOKUP(A23,'Données projet'!$A$61:$I$81,9,0)</f>
        <v>12</v>
      </c>
      <c r="AH23" s="12">
        <f t="array" ref="AH23">INDEX(AG:AG,MIN(IF(ISNUMBER(AG23:AG219),ROW(AG23:AG219),"")))</f>
        <v>12</v>
      </c>
      <c r="AI23" s="13">
        <f>IF('Données projet'!$A$62&gt;35,AI22+AH23-AQ22,IF(A23&lt;'Données projet'!$A$62,$AF$205^A23,IF(A23='Données projet'!$A$62,'Données projet'!$B$62,AI22+AH23-AQ22)))</f>
        <v>100</v>
      </c>
      <c r="AJ23" s="13">
        <f>AI23*VLOOKUP('Données projet'!$B$10,Paramètres!$A$1:$I$89,3,0)*VLOOKUP('Données projet'!$B$10,Paramètres!$A$1:$I$89,5,0)</f>
        <v>65.52</v>
      </c>
      <c r="AK23" s="13">
        <f t="shared" si="35"/>
        <v>18.556669503136725</v>
      </c>
      <c r="AL23" s="20">
        <f t="shared" si="4"/>
        <v>146.43353271796309</v>
      </c>
      <c r="AM23" s="59">
        <f t="shared" si="5"/>
        <v>427.54464382907423</v>
      </c>
      <c r="AN23" s="59">
        <f ca="1">AVERAGE(OFFSET($AM$3,0,0,'Données projet'!$E$10+1,1))-AVERAGE(OFFSET($H$3,0,0,'Données projet'!$E$10+1,1))</f>
        <v>244.43587473734613</v>
      </c>
      <c r="AO23" s="59">
        <f t="shared" si="36"/>
        <v>256.80261402149375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10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4.3000000000000003E-2</v>
      </c>
      <c r="AT23" s="16">
        <f>IF(ISNA(VLOOKUP(A23,'Données projet'!$A$61:$I$81,7,0)),0%,VLOOKUP(A23,'Données projet'!$A$61:$I$81,7,0))</f>
        <v>0.3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0.44176156935676508</v>
      </c>
      <c r="AW23" s="21">
        <f>EXP(-LN(2)/2)*AW22+(1-EXP(-LN(2)/2))/(LN(2)/2)*AQ23*AT23*VLOOKUP('Données projet'!$B$10,Paramètres!$A$1:$I$89,3,0)*0.475*44/12</f>
        <v>1.9915318938095625</v>
      </c>
      <c r="AX23" s="21">
        <f t="shared" si="6"/>
        <v>2.4332934631663274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28.833333333333332</v>
      </c>
      <c r="BD23" s="12">
        <f>IF('Données projet'!$A$88&gt;35,BD22+BC23-BL22,IF(A23&lt;'Données projet'!$A$88,$BA$205^A23,IF(A23='Données projet'!$A$88,'Données projet'!$B$88,BD22+BC23-BL22)))</f>
        <v>190.83333333333334</v>
      </c>
      <c r="BE23" s="13">
        <f>BD23*VLOOKUP('Données projet'!$B$11,Paramètres!$A$1:$I$89,3,0)*VLOOKUP('Données projet'!$B$11,Paramètres!$A$1:$I$89,5,0)</f>
        <v>106.67583333333334</v>
      </c>
      <c r="BF23" s="13">
        <f t="shared" si="37"/>
        <v>28.546391754319739</v>
      </c>
      <c r="BG23" s="20">
        <f t="shared" si="7"/>
        <v>235.51204202766243</v>
      </c>
      <c r="BH23" s="59">
        <f t="shared" si="8"/>
        <v>516.62315313877355</v>
      </c>
      <c r="BI23" s="59">
        <f ca="1">AVERAGE(OFFSET($BH$3,0,0,'Données projet'!$E$11+1,1))-AVERAGE(OFFSET($H$3,0,0,'Données projet'!$E$11+1,1))</f>
        <v>430.60186171079067</v>
      </c>
      <c r="BJ23" s="59">
        <f t="shared" si="38"/>
        <v>533.76627289533985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4.857846153846153</v>
      </c>
      <c r="BY23" s="12">
        <f>IF('Données projet'!$A$114&gt;35,BY22+BX23-CG22,IF(A23&lt;'Données projet'!$A$114,$BV$205^A23,IF(A23='Données projet'!$A$114,'Données projet'!$B$114,BY22+BX23-CG22)))</f>
        <v>46.505788516040859</v>
      </c>
      <c r="BZ23" s="13">
        <f>BY23*VLOOKUP('Données projet'!$B$12,Paramètres!$A$1:$I$89,3,0)*VLOOKUP('Données projet'!$B$12,Paramètres!$A$1:$I$89,5,0)</f>
        <v>27.810461532592438</v>
      </c>
      <c r="CA23" s="13">
        <f t="shared" si="39"/>
        <v>8.702708303737154</v>
      </c>
      <c r="CB23" s="20">
        <f t="shared" si="10"/>
        <v>63.593770798274043</v>
      </c>
      <c r="CC23" s="59">
        <f t="shared" si="11"/>
        <v>344.70488190938516</v>
      </c>
      <c r="CD23" s="59">
        <f ca="1">AVERAGE(OFFSET($CC$3,0,0,'Données projet'!$E$12+1,1))-AVERAGE(OFFSET($H$3,0,0,'Données projet'!$E$12+1,1))</f>
        <v>215.89467197072673</v>
      </c>
      <c r="CE23" s="59">
        <f t="shared" si="40"/>
        <v>188.21397398859534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1.8914529914529912</v>
      </c>
      <c r="CT23" s="12">
        <f>IF('Données projet'!$A$140&gt;35,CT22+CS23-DB22,IF(A23&lt;'Données projet'!$A$140,$CQ$205^A23,IF(A23='Données projet'!$A$140,'Données projet'!$B$140,CT22+CS23-DB22)))</f>
        <v>14.766510252532674</v>
      </c>
      <c r="CU23" s="17">
        <f>CT23*VLOOKUP('Données projet'!$B$13,Paramètres!$A$1:$I$89,3,0)*VLOOKUP('Données projet'!$B$13,Paramètres!$A$1:$I$89,5,0)</f>
        <v>14.973241396068133</v>
      </c>
      <c r="CV23" s="13">
        <f t="shared" si="41"/>
        <v>5.0357148381505992</v>
      </c>
      <c r="CW23" s="20">
        <f t="shared" si="13"/>
        <v>34.848932107930956</v>
      </c>
      <c r="CX23" s="59">
        <f t="shared" si="14"/>
        <v>315.96004321904212</v>
      </c>
      <c r="CY23" s="59">
        <f ca="1">AVERAGE(OFFSET($CX$3,0,0,'Données projet'!$E$13+1,1))-AVERAGE(OFFSET($H$3,0,0,'Données projet'!$E$13+1,1))</f>
        <v>342.82846711287749</v>
      </c>
      <c r="CZ23" s="59">
        <f t="shared" si="42"/>
        <v>152.87724741106297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57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57.000000000000007</v>
      </c>
      <c r="DP23" s="17">
        <f>DO23*VLOOKUP('Données projet'!$B$14,Paramètres!$A$1:$I$89,3,0)*VLOOKUP('Données projet'!$B$14,Paramètres!$A$1:$I$89,5,0)</f>
        <v>41.792400000000008</v>
      </c>
      <c r="DQ23" s="13">
        <f t="shared" si="43"/>
        <v>12.472503937619972</v>
      </c>
      <c r="DR23" s="20">
        <f t="shared" si="16"/>
        <v>94.511374358021442</v>
      </c>
      <c r="DS23" s="59">
        <f t="shared" si="17"/>
        <v>375.62248546913258</v>
      </c>
      <c r="DT23" s="59">
        <f ca="1">AVERAGE(OFFSET($DS$3,0,0,'Données projet'!$E$14+1,1))-AVERAGE(OFFSET($H$3,0,0,'Données projet'!$E$14+1,1))</f>
        <v>208.48147873805715</v>
      </c>
      <c r="DU23" s="59">
        <f t="shared" si="44"/>
        <v>209.50570914630686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14.926923076923075</v>
      </c>
      <c r="EJ23" s="12">
        <f>IF('Données projet'!$A$192&gt;35,EJ22+EI23-ER22,IF(A23&lt;'Données projet'!$A$192,$EG$205^A23,IF(A23='Données projet'!$A$192,'Données projet'!$B$192,EJ22+EI23-ER22)))</f>
        <v>129.02692307692308</v>
      </c>
      <c r="EK23" s="17">
        <f>EJ23*VLOOKUP('Données projet'!$B$15,Paramètres!$A$1:$I$89,3,0)*VLOOKUP('Données projet'!$B$15,Paramètres!$A$1:$I$89,5,0)</f>
        <v>77.158100000000005</v>
      </c>
      <c r="EL23" s="13">
        <f t="shared" si="45"/>
        <v>21.440868838738705</v>
      </c>
      <c r="EM23" s="20">
        <f t="shared" si="19"/>
        <v>171.72653739413659</v>
      </c>
      <c r="EN23" s="59">
        <f t="shared" si="20"/>
        <v>452.83764850524773</v>
      </c>
      <c r="EO23" s="59">
        <f ca="1">AVERAGE(OFFSET($EN$3,0,0,'Données projet'!$E$15+1,1))-AVERAGE(OFFSET($H$3,0,0,'Données projet'!$E$15+1,1))</f>
        <v>247.31680974612766</v>
      </c>
      <c r="EP23" s="59">
        <f t="shared" si="46"/>
        <v>257.13949761071882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7.7111026779524359</v>
      </c>
      <c r="EX23" s="21">
        <f>EXP(-LN(2)/2)*EX22+(1-EXP(-LN(2)/2))/(LN(2)/2)*ER23*EU23*VLOOKUP('Données projet'!$B$15,Paramètres!$A$1:$I$89,3,0)*0.475*44/12</f>
        <v>4.4326941710594969</v>
      </c>
      <c r="EY23" s="22">
        <f t="shared" si="21"/>
        <v>12.143796849011933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3.734639999999998</v>
      </c>
      <c r="D24" s="11">
        <f t="shared" si="32"/>
        <v>1.4763558710016256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8.0450462569849623</v>
      </c>
      <c r="H24" s="67">
        <f t="shared" si="1"/>
        <v>265.74248447532784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3.4425641025641025</v>
      </c>
      <c r="N24" s="13">
        <f>IF('Données projet'!$A$36&gt;35,N23+M24-V23,IF(A24&lt;'Données projet'!$A$36,$K$205^A24,IF(A24='Données projet'!$A$36,'Données projet'!$B$36,N23+M24-V23)))</f>
        <v>25.692259707215236</v>
      </c>
      <c r="O24" s="13">
        <f>N24*VLOOKUP('Données projet'!$B$9,Paramètres!$A$1:$I$89,3,0)*VLOOKUP('Données projet'!$B$9,Paramètres!$A$1:$I$89,5,0)</f>
        <v>12.023977542976729</v>
      </c>
      <c r="P24" s="13">
        <f t="shared" si="33"/>
        <v>4.1484190116858626</v>
      </c>
      <c r="Q24" s="20">
        <f t="shared" si="2"/>
        <v>28.166923999370677</v>
      </c>
      <c r="R24" s="59">
        <f t="shared" si="0"/>
        <v>310.500257332704</v>
      </c>
      <c r="S24" s="59">
        <f ca="1">AVERAGE(OFFSET($R$3,0,0,'Données projet'!$E$9+1,1))-AVERAGE(OFFSET($H$3,0,0,'Données projet'!$E$9+1,1))</f>
        <v>223.99456146593315</v>
      </c>
      <c r="T24" s="59">
        <f t="shared" si="34"/>
        <v>132.73290587325937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9.6</v>
      </c>
      <c r="AI24" s="13">
        <f>IF('Données projet'!$A$62&gt;35,AI23+AH24-AQ23,IF(A24&lt;'Données projet'!$A$62,$AF$205^A24,IF(A24='Données projet'!$A$62,'Données projet'!$B$62,AI23+AH24-AQ23)))</f>
        <v>99.6</v>
      </c>
      <c r="AJ24" s="13">
        <f>AI24*VLOOKUP('Données projet'!$B$10,Paramètres!$A$1:$I$89,3,0)*VLOOKUP('Données projet'!$B$10,Paramètres!$A$1:$I$89,5,0)</f>
        <v>65.257919999999999</v>
      </c>
      <c r="AK24" s="13">
        <f t="shared" si="35"/>
        <v>18.491067519086762</v>
      </c>
      <c r="AL24" s="20">
        <f t="shared" si="4"/>
        <v>145.8628199290761</v>
      </c>
      <c r="AM24" s="59">
        <f t="shared" si="5"/>
        <v>428.19615326240944</v>
      </c>
      <c r="AN24" s="59">
        <f ca="1">AVERAGE(OFFSET($AM$3,0,0,'Données projet'!$E$10+1,1))-AVERAGE(OFFSET($H$3,0,0,'Données projet'!$E$10+1,1))</f>
        <v>244.43587473734613</v>
      </c>
      <c r="AO24" s="59">
        <f t="shared" si="36"/>
        <v>256.80261402149375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0.42968157601147305</v>
      </c>
      <c r="AW24" s="21">
        <f>EXP(-LN(2)/2)*AW23+(1-EXP(-LN(2)/2))/(LN(2)/2)*AQ24*AT24*VLOOKUP('Données projet'!$B$10,Paramètres!$A$1:$I$89,3,0)*0.475*44/12</f>
        <v>1.408225707062029</v>
      </c>
      <c r="AX24" s="21">
        <f t="shared" si="6"/>
        <v>1.8379072830735019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28.833333333333332</v>
      </c>
      <c r="BD24" s="12">
        <f>IF('Données projet'!$A$88&gt;35,BD23+BC24-BL23,IF(A24&lt;'Données projet'!$A$88,$BA$205^A24,IF(A24='Données projet'!$A$88,'Données projet'!$B$88,BD23+BC24-BL23)))</f>
        <v>219.66666666666669</v>
      </c>
      <c r="BE24" s="13">
        <f>BD24*VLOOKUP('Données projet'!$B$11,Paramètres!$A$1:$I$89,3,0)*VLOOKUP('Données projet'!$B$11,Paramètres!$A$1:$I$89,5,0)</f>
        <v>122.79366666666668</v>
      </c>
      <c r="BF24" s="13">
        <f t="shared" si="37"/>
        <v>32.32570088253398</v>
      </c>
      <c r="BG24" s="20">
        <f t="shared" si="7"/>
        <v>270.16623181485778</v>
      </c>
      <c r="BH24" s="59">
        <f t="shared" si="8"/>
        <v>552.4995651481911</v>
      </c>
      <c r="BI24" s="59">
        <f ca="1">AVERAGE(OFFSET($BH$3,0,0,'Données projet'!$E$11+1,1))-AVERAGE(OFFSET($H$3,0,0,'Données projet'!$E$11+1,1))</f>
        <v>430.60186171079067</v>
      </c>
      <c r="BJ24" s="59">
        <f t="shared" si="38"/>
        <v>533.76627289533985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4.857846153846153</v>
      </c>
      <c r="BY24" s="12">
        <f>IF('Données projet'!$A$114&gt;35,BY23+BX24-CG23,IF(A24&lt;'Données projet'!$A$114,$BV$205^A24,IF(A24='Données projet'!$A$114,'Données projet'!$B$114,BY23+BX24-CG23)))</f>
        <v>56.348500435388942</v>
      </c>
      <c r="BZ24" s="13">
        <f>BY24*VLOOKUP('Données projet'!$B$12,Paramètres!$A$1:$I$89,3,0)*VLOOKUP('Données projet'!$B$12,Paramètres!$A$1:$I$89,5,0)</f>
        <v>33.696403260362594</v>
      </c>
      <c r="CA24" s="13">
        <f t="shared" si="39"/>
        <v>10.311572199064805</v>
      </c>
      <c r="CB24" s="20">
        <f t="shared" si="10"/>
        <v>76.647223925169385</v>
      </c>
      <c r="CC24" s="59">
        <f t="shared" si="11"/>
        <v>358.9805572585027</v>
      </c>
      <c r="CD24" s="59">
        <f ca="1">AVERAGE(OFFSET($CC$3,0,0,'Données projet'!$E$12+1,1))-AVERAGE(OFFSET($H$3,0,0,'Données projet'!$E$12+1,1))</f>
        <v>215.89467197072673</v>
      </c>
      <c r="CE24" s="59">
        <f t="shared" si="40"/>
        <v>188.21397398859534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1.8914529914529912</v>
      </c>
      <c r="CT24" s="12">
        <f>IF('Données projet'!$A$140&gt;35,CT23+CS24-DB23,IF(A24&lt;'Données projet'!$A$140,$CQ$205^A24,IF(A24='Données projet'!$A$140,'Données projet'!$B$140,CT23+CS24-DB23)))</f>
        <v>16.894360799544618</v>
      </c>
      <c r="CU24" s="17">
        <f>CT24*VLOOKUP('Données projet'!$B$13,Paramètres!$A$1:$I$89,3,0)*VLOOKUP('Données projet'!$B$13,Paramètres!$A$1:$I$89,5,0)</f>
        <v>17.130881850738245</v>
      </c>
      <c r="CV24" s="13">
        <f t="shared" si="41"/>
        <v>5.6717858566715709</v>
      </c>
      <c r="CW24" s="20">
        <f t="shared" si="13"/>
        <v>39.714646257072097</v>
      </c>
      <c r="CX24" s="59">
        <f t="shared" si="14"/>
        <v>322.04797959040542</v>
      </c>
      <c r="CY24" s="59">
        <f ca="1">AVERAGE(OFFSET($CX$3,0,0,'Données projet'!$E$13+1,1))-AVERAGE(OFFSET($H$3,0,0,'Données projet'!$E$13+1,1))</f>
        <v>342.82846711287749</v>
      </c>
      <c r="CZ24" s="59">
        <f t="shared" si="42"/>
        <v>152.87724741106297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</v>
      </c>
      <c r="DO24" s="12">
        <f>IF('Données projet'!$A$166&gt;35,DO23+DN24-DW23,IF(A24&lt;'Données projet'!$A$166,$DL$205^A24,IF(A24='Données projet'!$A$166,'Données projet'!$B$166,DO23+DN24-DW23)))</f>
        <v>46</v>
      </c>
      <c r="DP24" s="17">
        <f>DO24*VLOOKUP('Données projet'!$B$14,Paramètres!$A$1:$I$89,3,0)*VLOOKUP('Données projet'!$B$14,Paramètres!$A$1:$I$89,5,0)</f>
        <v>33.727199999999996</v>
      </c>
      <c r="DQ24" s="13">
        <f t="shared" si="43"/>
        <v>10.319899009829582</v>
      </c>
      <c r="DR24" s="20">
        <f t="shared" si="16"/>
        <v>76.715364108786517</v>
      </c>
      <c r="DS24" s="59">
        <f t="shared" si="17"/>
        <v>359.04869744211982</v>
      </c>
      <c r="DT24" s="59">
        <f ca="1">AVERAGE(OFFSET($DS$3,0,0,'Données projet'!$E$14+1,1))-AVERAGE(OFFSET($H$3,0,0,'Données projet'!$E$14+1,1))</f>
        <v>208.48147873805715</v>
      </c>
      <c r="DU24" s="59">
        <f t="shared" si="44"/>
        <v>209.50570914630686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14.926923076923075</v>
      </c>
      <c r="EJ24" s="12">
        <f>IF('Données projet'!$A$192&gt;35,EJ23+EI24-ER23,IF(A24&lt;'Données projet'!$A$192,$EG$205^A24,IF(A24='Données projet'!$A$192,'Données projet'!$B$192,EJ23+EI24-ER23)))</f>
        <v>143.95384615384614</v>
      </c>
      <c r="EK24" s="17">
        <f>EJ24*VLOOKUP('Données projet'!$B$15,Paramètres!$A$1:$I$89,3,0)*VLOOKUP('Données projet'!$B$15,Paramètres!$A$1:$I$89,5,0)</f>
        <v>86.084400000000002</v>
      </c>
      <c r="EL24" s="13">
        <f t="shared" si="45"/>
        <v>23.618445758177199</v>
      </c>
      <c r="EM24" s="20">
        <f t="shared" si="19"/>
        <v>191.06578969549196</v>
      </c>
      <c r="EN24" s="59">
        <f t="shared" si="20"/>
        <v>473.39912302882527</v>
      </c>
      <c r="EO24" s="59">
        <f ca="1">AVERAGE(OFFSET($EN$3,0,0,'Données projet'!$E$15+1,1))-AVERAGE(OFFSET($H$3,0,0,'Données projet'!$E$15+1,1))</f>
        <v>247.31680974612766</v>
      </c>
      <c r="EP24" s="59">
        <f t="shared" si="46"/>
        <v>257.13949761071882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7.5002421697145607</v>
      </c>
      <c r="EX24" s="21">
        <f>EXP(-LN(2)/2)*EX23+(1-EXP(-LN(2)/2))/(LN(2)/2)*ER24*EU24*VLOOKUP('Données projet'!$B$15,Paramètres!$A$1:$I$89,3,0)*0.475*44/12</f>
        <v>3.1343881072822524</v>
      </c>
      <c r="EY24" s="22">
        <f t="shared" si="21"/>
        <v>10.634630276996813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3.9124799999999977</v>
      </c>
      <c r="D25" s="11">
        <f t="shared" si="32"/>
        <v>1.5383061183961504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8.4152487441905457</v>
      </c>
      <c r="H25" s="67">
        <f t="shared" si="1"/>
        <v>266.16011915620663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3.4425641025641025</v>
      </c>
      <c r="N25" s="13">
        <f>IF('Données projet'!$A$36&gt;35,N24+M25-V24,IF(A25&lt;'Données projet'!$A$36,$K$205^A25,IF(A25='Données projet'!$A$36,'Données projet'!$B$36,N24+M25-V24)))</f>
        <v>29.987188275534368</v>
      </c>
      <c r="O25" s="13">
        <f>N25*VLOOKUP('Données projet'!$B$9,Paramètres!$A$1:$I$89,3,0)*VLOOKUP('Données projet'!$B$9,Paramètres!$A$1:$I$89,5,0)</f>
        <v>14.034004112950084</v>
      </c>
      <c r="P25" s="13">
        <f t="shared" si="33"/>
        <v>4.7555606647394173</v>
      </c>
      <c r="Q25" s="20">
        <f t="shared" si="2"/>
        <v>32.725158654475884</v>
      </c>
      <c r="R25" s="59">
        <f t="shared" si="0"/>
        <v>316.28071421003142</v>
      </c>
      <c r="S25" s="59">
        <f ca="1">AVERAGE(OFFSET($R$3,0,0,'Données projet'!$E$9+1,1))-AVERAGE(OFFSET($H$3,0,0,'Données projet'!$E$9+1,1))</f>
        <v>223.99456146593315</v>
      </c>
      <c r="T25" s="59">
        <f t="shared" si="34"/>
        <v>132.73290587325937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9.6</v>
      </c>
      <c r="AI25" s="13">
        <f>IF('Données projet'!$A$62&gt;35,AI24+AH25-AQ24,IF(A25&lt;'Données projet'!$A$62,$AF$205^A25,IF(A25='Données projet'!$A$62,'Données projet'!$B$62,AI24+AH25-AQ24)))</f>
        <v>109.19999999999999</v>
      </c>
      <c r="AJ25" s="13">
        <f>AI25*VLOOKUP('Données projet'!$B$10,Paramètres!$A$1:$I$89,3,0)*VLOOKUP('Données projet'!$B$10,Paramètres!$A$1:$I$89,5,0)</f>
        <v>71.547839999999994</v>
      </c>
      <c r="AK25" s="13">
        <f t="shared" si="35"/>
        <v>20.05735014974319</v>
      </c>
      <c r="AL25" s="20">
        <f t="shared" si="4"/>
        <v>159.54570617746938</v>
      </c>
      <c r="AM25" s="59">
        <f t="shared" si="5"/>
        <v>443.1012617330249</v>
      </c>
      <c r="AN25" s="59">
        <f ca="1">AVERAGE(OFFSET($AM$3,0,0,'Données projet'!$E$10+1,1))-AVERAGE(OFFSET($H$3,0,0,'Données projet'!$E$10+1,1))</f>
        <v>244.43587473734613</v>
      </c>
      <c r="AO25" s="59">
        <f t="shared" si="36"/>
        <v>256.80261402149375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0.41793191071946728</v>
      </c>
      <c r="AW25" s="21">
        <f>EXP(-LN(2)/2)*AW24+(1-EXP(-LN(2)/2))/(LN(2)/2)*AQ25*AT25*VLOOKUP('Données projet'!$B$10,Paramètres!$A$1:$I$89,3,0)*0.475*44/12</f>
        <v>0.99576594690478137</v>
      </c>
      <c r="AX25" s="21">
        <f t="shared" si="6"/>
        <v>1.4136978576242487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28.833333333333332</v>
      </c>
      <c r="BD25" s="12">
        <f>IF('Données projet'!$A$88&gt;35,BD24+BC25-BL24,IF(A25&lt;'Données projet'!$A$88,$BA$205^A25,IF(A25='Données projet'!$A$88,'Données projet'!$B$88,BD24+BC25-BL24)))</f>
        <v>248.50000000000003</v>
      </c>
      <c r="BE25" s="13">
        <f>BD25*VLOOKUP('Données projet'!$B$11,Paramètres!$A$1:$I$89,3,0)*VLOOKUP('Données projet'!$B$11,Paramètres!$A$1:$I$89,5,0)</f>
        <v>138.91150000000002</v>
      </c>
      <c r="BF25" s="13">
        <f t="shared" si="37"/>
        <v>36.047532265727178</v>
      </c>
      <c r="BG25" s="20">
        <f t="shared" si="7"/>
        <v>304.72031452947482</v>
      </c>
      <c r="BH25" s="59">
        <f t="shared" si="8"/>
        <v>588.27587008503042</v>
      </c>
      <c r="BI25" s="59">
        <f ca="1">AVERAGE(OFFSET($BH$3,0,0,'Données projet'!$E$11+1,1))-AVERAGE(OFFSET($H$3,0,0,'Données projet'!$E$11+1,1))</f>
        <v>430.60186171079067</v>
      </c>
      <c r="BJ25" s="59">
        <f t="shared" si="38"/>
        <v>533.76627289533985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4.857846153846153</v>
      </c>
      <c r="BY25" s="12">
        <f>IF('Données projet'!$A$114&gt;35,BY24+BX25-CG24,IF(A25&lt;'Données projet'!$A$114,$BV$205^A25,IF(A25='Données projet'!$A$114,'Données projet'!$B$114,BY24+BX25-CG24)))</f>
        <v>68.274371914409073</v>
      </c>
      <c r="BZ25" s="13">
        <f>BY25*VLOOKUP('Données projet'!$B$12,Paramètres!$A$1:$I$89,3,0)*VLOOKUP('Données projet'!$B$12,Paramètres!$A$1:$I$89,5,0)</f>
        <v>40.828074404816626</v>
      </c>
      <c r="CA25" s="13">
        <f t="shared" si="39"/>
        <v>12.217865692552984</v>
      </c>
      <c r="CB25" s="20">
        <f t="shared" si="10"/>
        <v>92.388345669585405</v>
      </c>
      <c r="CC25" s="59">
        <f t="shared" si="11"/>
        <v>375.94390122514096</v>
      </c>
      <c r="CD25" s="59">
        <f ca="1">AVERAGE(OFFSET($CC$3,0,0,'Données projet'!$E$12+1,1))-AVERAGE(OFFSET($H$3,0,0,'Données projet'!$E$12+1,1))</f>
        <v>215.89467197072673</v>
      </c>
      <c r="CE25" s="59">
        <f t="shared" si="40"/>
        <v>188.21397398859534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1.8914529914529912</v>
      </c>
      <c r="CT25" s="12">
        <f>IF('Données projet'!$A$140&gt;35,CT24+CS25-DB24,IF(A25&lt;'Données projet'!$A$140,$CQ$205^A25,IF(A25='Données projet'!$A$140,'Données projet'!$B$140,CT24+CS25-DB24)))</f>
        <v>19.328834094449373</v>
      </c>
      <c r="CU25" s="17">
        <f>CT25*VLOOKUP('Données projet'!$B$13,Paramètres!$A$1:$I$89,3,0)*VLOOKUP('Données projet'!$B$13,Paramètres!$A$1:$I$89,5,0)</f>
        <v>19.599437771771669</v>
      </c>
      <c r="CV25" s="13">
        <f t="shared" si="41"/>
        <v>6.3882002531648547</v>
      </c>
      <c r="CW25" s="20">
        <f t="shared" si="13"/>
        <v>45.26180289343111</v>
      </c>
      <c r="CX25" s="59">
        <f t="shared" si="14"/>
        <v>328.81735844898662</v>
      </c>
      <c r="CY25" s="59">
        <f ca="1">AVERAGE(OFFSET($CX$3,0,0,'Données projet'!$E$13+1,1))-AVERAGE(OFFSET($H$3,0,0,'Données projet'!$E$13+1,1))</f>
        <v>342.82846711287749</v>
      </c>
      <c r="CZ25" s="59">
        <f t="shared" si="42"/>
        <v>152.87724741106297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</v>
      </c>
      <c r="DO25" s="12">
        <f>IF('Données projet'!$A$166&gt;35,DO24+DN25-DW24,IF(A25&lt;'Données projet'!$A$166,$DL$205^A25,IF(A25='Données projet'!$A$166,'Données projet'!$B$166,DO24+DN25-DW24)))</f>
        <v>56</v>
      </c>
      <c r="DP25" s="17">
        <f>DO25*VLOOKUP('Données projet'!$B$14,Paramètres!$A$1:$I$89,3,0)*VLOOKUP('Données projet'!$B$14,Paramètres!$A$1:$I$89,5,0)</f>
        <v>41.059200000000004</v>
      </c>
      <c r="DQ25" s="13">
        <f t="shared" si="43"/>
        <v>12.278959527914743</v>
      </c>
      <c r="DR25" s="20">
        <f t="shared" si="16"/>
        <v>92.897294511118176</v>
      </c>
      <c r="DS25" s="59">
        <f t="shared" si="17"/>
        <v>376.4528500666737</v>
      </c>
      <c r="DT25" s="59">
        <f ca="1">AVERAGE(OFFSET($DS$3,0,0,'Données projet'!$E$14+1,1))-AVERAGE(OFFSET($H$3,0,0,'Données projet'!$E$14+1,1))</f>
        <v>208.48147873805715</v>
      </c>
      <c r="DU25" s="59">
        <f t="shared" si="44"/>
        <v>209.50570914630686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14.926923076923075</v>
      </c>
      <c r="EJ25" s="12">
        <f>IF('Données projet'!$A$192&gt;35,EJ24+EI25-ER24,IF(A25&lt;'Données projet'!$A$192,$EG$205^A25,IF(A25='Données projet'!$A$192,'Données projet'!$B$192,EJ24+EI25-ER24)))</f>
        <v>158.8807692307692</v>
      </c>
      <c r="EK25" s="17">
        <f>EJ25*VLOOKUP('Données projet'!$B$15,Paramètres!$A$1:$I$89,3,0)*VLOOKUP('Données projet'!$B$15,Paramètres!$A$1:$I$89,5,0)</f>
        <v>95.0107</v>
      </c>
      <c r="EL25" s="13">
        <f t="shared" si="45"/>
        <v>25.769848277327686</v>
      </c>
      <c r="EM25" s="20">
        <f t="shared" si="19"/>
        <v>210.3594549163457</v>
      </c>
      <c r="EN25" s="59">
        <f t="shared" si="20"/>
        <v>493.91501047190127</v>
      </c>
      <c r="EO25" s="59">
        <f ca="1">AVERAGE(OFFSET($EN$3,0,0,'Données projet'!$E$15+1,1))-AVERAGE(OFFSET($H$3,0,0,'Données projet'!$E$15+1,1))</f>
        <v>247.31680974612766</v>
      </c>
      <c r="EP25" s="59">
        <f t="shared" si="46"/>
        <v>257.13949761071882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7.2951476531631227</v>
      </c>
      <c r="EX25" s="21">
        <f>EXP(-LN(2)/2)*EX24+(1-EXP(-LN(2)/2))/(LN(2)/2)*ER25*EU25*VLOOKUP('Données projet'!$B$15,Paramètres!$A$1:$I$89,3,0)*0.475*44/12</f>
        <v>2.2163470855297485</v>
      </c>
      <c r="EY25" s="22">
        <f t="shared" si="21"/>
        <v>9.5114947386928712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4.0903199999999975</v>
      </c>
      <c r="D26" s="11">
        <f t="shared" si="32"/>
        <v>1.5999293393341507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8.7849463484457022</v>
      </c>
      <c r="H26" s="67">
        <f t="shared" si="1"/>
        <v>266.57718426600701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3.4425641025641025</v>
      </c>
      <c r="N26" s="13">
        <f>IF('Données projet'!$A$36&gt;35,N25+M26-V25,IF(A26&lt;'Données projet'!$A$36,$K$205^A26,IF(A26='Données projet'!$A$36,'Données projet'!$B$36,N25+M26-V25)))</f>
        <v>35.000092281482424</v>
      </c>
      <c r="O26" s="13">
        <f>N26*VLOOKUP('Données projet'!$B$9,Paramètres!$A$1:$I$89,3,0)*VLOOKUP('Données projet'!$B$9,Paramètres!$A$1:$I$89,5,0)</f>
        <v>16.380043187733772</v>
      </c>
      <c r="P26" s="13">
        <f t="shared" si="33"/>
        <v>5.4515605034859353</v>
      </c>
      <c r="Q26" s="20">
        <f t="shared" si="2"/>
        <v>38.023376428874322</v>
      </c>
      <c r="R26" s="59">
        <f t="shared" si="0"/>
        <v>322.80115420665209</v>
      </c>
      <c r="S26" s="59">
        <f ca="1">AVERAGE(OFFSET($R$3,0,0,'Données projet'!$E$9+1,1))-AVERAGE(OFFSET($H$3,0,0,'Données projet'!$E$9+1,1))</f>
        <v>223.99456146593315</v>
      </c>
      <c r="T26" s="59">
        <f t="shared" si="34"/>
        <v>132.73290587325937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9.6</v>
      </c>
      <c r="AI26" s="13">
        <f>IF('Données projet'!$A$62&gt;35,AI25+AH26-AQ25,IF(A26&lt;'Données projet'!$A$62,$AF$205^A26,IF(A26='Données projet'!$A$62,'Données projet'!$B$62,AI25+AH26-AQ25)))</f>
        <v>118.79999999999998</v>
      </c>
      <c r="AJ26" s="13">
        <f>AI26*VLOOKUP('Données projet'!$B$10,Paramètres!$A$1:$I$89,3,0)*VLOOKUP('Données projet'!$B$10,Paramètres!$A$1:$I$89,5,0)</f>
        <v>77.837759999999989</v>
      </c>
      <c r="AK26" s="13">
        <f t="shared" si="35"/>
        <v>21.607665094033621</v>
      </c>
      <c r="AL26" s="20">
        <f t="shared" si="4"/>
        <v>173.2007820387752</v>
      </c>
      <c r="AM26" s="59">
        <f t="shared" si="5"/>
        <v>457.978559816553</v>
      </c>
      <c r="AN26" s="59">
        <f ca="1">AVERAGE(OFFSET($AM$3,0,0,'Données projet'!$E$10+1,1))-AVERAGE(OFFSET($H$3,0,0,'Données projet'!$E$10+1,1))</f>
        <v>244.43587473734613</v>
      </c>
      <c r="AO26" s="59">
        <f t="shared" si="36"/>
        <v>256.80261402149375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0.40650354064275945</v>
      </c>
      <c r="AW26" s="21">
        <f>EXP(-LN(2)/2)*AW25+(1-EXP(-LN(2)/2))/(LN(2)/2)*AQ26*AT26*VLOOKUP('Données projet'!$B$10,Paramètres!$A$1:$I$89,3,0)*0.475*44/12</f>
        <v>0.7041128535310146</v>
      </c>
      <c r="AX26" s="21">
        <f t="shared" si="6"/>
        <v>1.1106163941737741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28.833333333333332</v>
      </c>
      <c r="BD26" s="12">
        <f>IF('Données projet'!$A$88&gt;35,BD25+BC26-BL25,IF(A26&lt;'Données projet'!$A$88,$BA$205^A26,IF(A26='Données projet'!$A$88,'Données projet'!$B$88,BD25+BC26-BL25)))</f>
        <v>277.33333333333337</v>
      </c>
      <c r="BE26" s="13">
        <f>BD26*VLOOKUP('Données projet'!$B$11,Paramètres!$A$1:$I$89,3,0)*VLOOKUP('Données projet'!$B$11,Paramètres!$A$1:$I$89,5,0)</f>
        <v>155.02933333333334</v>
      </c>
      <c r="BF26" s="13">
        <f t="shared" si="37"/>
        <v>39.719316712120367</v>
      </c>
      <c r="BG26" s="20">
        <f t="shared" si="7"/>
        <v>339.1872321624985</v>
      </c>
      <c r="BH26" s="59">
        <f t="shared" si="8"/>
        <v>623.96500994027633</v>
      </c>
      <c r="BI26" s="59">
        <f ca="1">AVERAGE(OFFSET($BH$3,0,0,'Données projet'!$E$11+1,1))-AVERAGE(OFFSET($H$3,0,0,'Données projet'!$E$11+1,1))</f>
        <v>430.60186171079067</v>
      </c>
      <c r="BJ26" s="59">
        <f t="shared" si="38"/>
        <v>533.76627289533985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4.857846153846153</v>
      </c>
      <c r="BY26" s="12">
        <f>IF('Données projet'!$A$114&gt;35,BY25+BX26-CG25,IF(A26&lt;'Données projet'!$A$114,$BV$205^A26,IF(A26='Données projet'!$A$114,'Données projet'!$B$114,BY25+BX26-CG25)))</f>
        <v>82.724293003182126</v>
      </c>
      <c r="BZ26" s="13">
        <f>BY26*VLOOKUP('Données projet'!$B$12,Paramètres!$A$1:$I$89,3,0)*VLOOKUP('Données projet'!$B$12,Paramètres!$A$1:$I$89,5,0)</f>
        <v>49.469127215902915</v>
      </c>
      <c r="CA26" s="13">
        <f t="shared" si="39"/>
        <v>14.476574396172257</v>
      </c>
      <c r="CB26" s="20">
        <f t="shared" si="10"/>
        <v>111.37209697436424</v>
      </c>
      <c r="CC26" s="59">
        <f t="shared" si="11"/>
        <v>396.14987475214201</v>
      </c>
      <c r="CD26" s="59">
        <f ca="1">AVERAGE(OFFSET($CC$3,0,0,'Données projet'!$E$12+1,1))-AVERAGE(OFFSET($H$3,0,0,'Données projet'!$E$12+1,1))</f>
        <v>215.89467197072673</v>
      </c>
      <c r="CE26" s="59">
        <f t="shared" si="40"/>
        <v>188.21397398859534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1.8914529914529912</v>
      </c>
      <c r="CT26" s="12">
        <f>IF('Données projet'!$A$140&gt;35,CT25+CS26-DB25,IF(A26&lt;'Données projet'!$A$140,$CQ$205^A26,IF(A26='Données projet'!$A$140,'Données projet'!$B$140,CT25+CS26-DB25)))</f>
        <v>22.114114400872687</v>
      </c>
      <c r="CU26" s="17">
        <f>CT26*VLOOKUP('Données projet'!$B$13,Paramètres!$A$1:$I$89,3,0)*VLOOKUP('Données projet'!$B$13,Paramètres!$A$1:$I$89,5,0)</f>
        <v>22.423712002484905</v>
      </c>
      <c r="CV26" s="13">
        <f t="shared" si="41"/>
        <v>7.1951063572918255</v>
      </c>
      <c r="CW26" s="20">
        <f t="shared" si="13"/>
        <v>51.586108643277804</v>
      </c>
      <c r="CX26" s="59">
        <f t="shared" si="14"/>
        <v>336.36388642105555</v>
      </c>
      <c r="CY26" s="59">
        <f ca="1">AVERAGE(OFFSET($CX$3,0,0,'Données projet'!$E$13+1,1))-AVERAGE(OFFSET($H$3,0,0,'Données projet'!$E$13+1,1))</f>
        <v>342.82846711287749</v>
      </c>
      <c r="CZ26" s="59">
        <f t="shared" si="42"/>
        <v>152.87724741106297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</v>
      </c>
      <c r="DO26" s="12">
        <f>IF('Données projet'!$A$166&gt;35,DO25+DN26-DW25,IF(A26&lt;'Données projet'!$A$166,$DL$205^A26,IF(A26='Données projet'!$A$166,'Données projet'!$B$166,DO25+DN26-DW25)))</f>
        <v>66</v>
      </c>
      <c r="DP26" s="17">
        <f>DO26*VLOOKUP('Données projet'!$B$14,Paramètres!$A$1:$I$89,3,0)*VLOOKUP('Données projet'!$B$14,Paramètres!$A$1:$I$89,5,0)</f>
        <v>48.391199999999998</v>
      </c>
      <c r="DQ26" s="13">
        <f t="shared" si="43"/>
        <v>14.197492524785988</v>
      </c>
      <c r="DR26" s="20">
        <f t="shared" si="16"/>
        <v>109.00863948066892</v>
      </c>
      <c r="DS26" s="59">
        <f t="shared" si="17"/>
        <v>393.7864172584467</v>
      </c>
      <c r="DT26" s="59">
        <f ca="1">AVERAGE(OFFSET($DS$3,0,0,'Données projet'!$E$14+1,1))-AVERAGE(OFFSET($H$3,0,0,'Données projet'!$E$14+1,1))</f>
        <v>208.48147873805715</v>
      </c>
      <c r="DU26" s="59">
        <f t="shared" si="44"/>
        <v>209.50570914630686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>
        <f>VLOOKUP(A26,'Données projet'!$A$191:$I$211,2,0)</f>
        <v>173.80769230769229</v>
      </c>
      <c r="EH26" s="12">
        <f>VLOOKUP(A26,'Données projet'!$A$191:$I$211,9,0)</f>
        <v>14.926923076923075</v>
      </c>
      <c r="EI26" s="12">
        <f t="array" ref="EI26">INDEX(EH:EH,MIN(IF(ISNUMBER(EH26:EH222),ROW(EH26:EH222),"")))</f>
        <v>14.926923076923075</v>
      </c>
      <c r="EJ26" s="12">
        <f>IF('Données projet'!$A$192&gt;35,EJ25+EI26-ER25,IF(A26&lt;'Données projet'!$A$192,$EG$205^A26,IF(A26='Données projet'!$A$192,'Données projet'!$B$192,EJ25+EI26-ER25)))</f>
        <v>173.80769230769226</v>
      </c>
      <c r="EK26" s="17">
        <f>EJ26*VLOOKUP('Données projet'!$B$15,Paramètres!$A$1:$I$89,3,0)*VLOOKUP('Données projet'!$B$15,Paramètres!$A$1:$I$89,5,0)</f>
        <v>103.93699999999998</v>
      </c>
      <c r="EL26" s="13">
        <f t="shared" si="45"/>
        <v>27.897815230264825</v>
      </c>
      <c r="EM26" s="20">
        <f t="shared" si="19"/>
        <v>229.61230319271121</v>
      </c>
      <c r="EN26" s="59">
        <f t="shared" si="20"/>
        <v>514.39008097048895</v>
      </c>
      <c r="EO26" s="59">
        <f ca="1">AVERAGE(OFFSET($EN$3,0,0,'Données projet'!$E$15+1,1))-AVERAGE(OFFSET($H$3,0,0,'Données projet'!$E$15+1,1))</f>
        <v>247.31680974612766</v>
      </c>
      <c r="EP26" s="59">
        <f t="shared" si="46"/>
        <v>257.13949761071882</v>
      </c>
      <c r="EQ26" s="15">
        <f>IF(ISNA(VLOOKUP(A26,'Données projet'!$A$191:$I$211,3,0)),0,VLOOKUP(A26,'Données projet'!$A$191:$I$211,3,0))</f>
        <v>2</v>
      </c>
      <c r="ER26" s="15">
        <f>IF(ISNA(VLOOKUP(A26,'Données projet'!$A$191:$I$211,4,0)),0,VLOOKUP(A26,'Données projet'!$A$191:$I$211,4,0))</f>
        <v>54.099999999999994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0.25200000000000006</v>
      </c>
      <c r="EU26" s="16">
        <f>IF(ISNA(VLOOKUP(A26,'Données projet'!$A$191:$I$211,7,0)),0%,VLOOKUP(A26,'Données projet'!$A$191:$I$211,7,0))</f>
        <v>0.44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17.868099083734933</v>
      </c>
      <c r="EX26" s="21">
        <f>EXP(-LN(2)/2)*EX25+(1-EXP(-LN(2)/2))/(LN(2)/2)*ER26*EU26*VLOOKUP('Données projet'!$B$15,Paramètres!$A$1:$I$89,3,0)*0.475*44/12</f>
        <v>17.684285304612487</v>
      </c>
      <c r="EY26" s="22">
        <f t="shared" si="21"/>
        <v>35.55238438834742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4.2681599999999973</v>
      </c>
      <c r="D27" s="11">
        <f t="shared" si="32"/>
        <v>1.6612413774861583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9.1541635301540634</v>
      </c>
      <c r="H27" s="67">
        <f t="shared" si="1"/>
        <v>266.99370739912172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3.4425641025641025</v>
      </c>
      <c r="N27" s="13">
        <f>IF('Données projet'!$A$36&gt;35,N26+M27-V26,IF(A27&lt;'Données projet'!$A$36,$K$205^A27,IF(A27='Données projet'!$A$36,'Données projet'!$B$36,N26+M27-V26)))</f>
        <v>40.850994379880916</v>
      </c>
      <c r="O27" s="13">
        <f>N27*VLOOKUP('Données projet'!$B$9,Paramètres!$A$1:$I$89,3,0)*VLOOKUP('Données projet'!$B$9,Paramètres!$A$1:$I$89,5,0)</f>
        <v>19.118265369784268</v>
      </c>
      <c r="P27" s="13">
        <f t="shared" si="33"/>
        <v>6.2494233631643379</v>
      </c>
      <c r="Q27" s="20">
        <f t="shared" si="2"/>
        <v>44.182057876552157</v>
      </c>
      <c r="R27" s="59">
        <f t="shared" si="0"/>
        <v>330.18205787655216</v>
      </c>
      <c r="S27" s="59">
        <f ca="1">AVERAGE(OFFSET($R$3,0,0,'Données projet'!$E$9+1,1))-AVERAGE(OFFSET($H$3,0,0,'Données projet'!$E$9+1,1))</f>
        <v>223.99456146593315</v>
      </c>
      <c r="T27" s="59">
        <f t="shared" si="34"/>
        <v>132.73290587325937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9.6</v>
      </c>
      <c r="AI27" s="13">
        <f>IF('Données projet'!$A$62&gt;35,AI26+AH27-AQ26,IF(A27&lt;'Données projet'!$A$62,$AF$205^A27,IF(A27='Données projet'!$A$62,'Données projet'!$B$62,AI26+AH27-AQ26)))</f>
        <v>128.39999999999998</v>
      </c>
      <c r="AJ27" s="13">
        <f>AI27*VLOOKUP('Données projet'!$B$10,Paramètres!$A$1:$I$89,3,0)*VLOOKUP('Données projet'!$B$10,Paramètres!$A$1:$I$89,5,0)</f>
        <v>84.127679999999984</v>
      </c>
      <c r="AK27" s="13">
        <f t="shared" si="35"/>
        <v>23.143449366413215</v>
      </c>
      <c r="AL27" s="20">
        <f t="shared" si="4"/>
        <v>186.83055031316962</v>
      </c>
      <c r="AM27" s="59">
        <f t="shared" si="5"/>
        <v>472.83055031316962</v>
      </c>
      <c r="AN27" s="59">
        <f ca="1">AVERAGE(OFFSET($AM$3,0,0,'Données projet'!$E$10+1,1))-AVERAGE(OFFSET($H$3,0,0,'Données projet'!$E$10+1,1))</f>
        <v>244.43587473734613</v>
      </c>
      <c r="AO27" s="59">
        <f t="shared" si="36"/>
        <v>256.80261402149375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0.39538767994679108</v>
      </c>
      <c r="AW27" s="21">
        <f>EXP(-LN(2)/2)*AW26+(1-EXP(-LN(2)/2))/(LN(2)/2)*AQ27*AT27*VLOOKUP('Données projet'!$B$10,Paramètres!$A$1:$I$89,3,0)*0.475*44/12</f>
        <v>0.49788297345239074</v>
      </c>
      <c r="AX27" s="21">
        <f t="shared" si="6"/>
        <v>0.89327065339918188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28.833333333333332</v>
      </c>
      <c r="BD27" s="12">
        <f>IF('Données projet'!$A$88&gt;35,BD26+BC27-BL26,IF(A27&lt;'Données projet'!$A$88,$BA$205^A27,IF(A27='Données projet'!$A$88,'Données projet'!$B$88,BD26+BC27-BL26)))</f>
        <v>306.16666666666669</v>
      </c>
      <c r="BE27" s="13">
        <f>BD27*VLOOKUP('Données projet'!$B$11,Paramètres!$A$1:$I$89,3,0)*VLOOKUP('Données projet'!$B$11,Paramètres!$A$1:$I$89,5,0)</f>
        <v>171.14716666666669</v>
      </c>
      <c r="BF27" s="13">
        <f t="shared" si="37"/>
        <v>43.346850105371793</v>
      </c>
      <c r="BG27" s="20">
        <f t="shared" si="7"/>
        <v>373.57707921130037</v>
      </c>
      <c r="BH27" s="59">
        <f t="shared" si="8"/>
        <v>659.57707921130032</v>
      </c>
      <c r="BI27" s="59">
        <f ca="1">AVERAGE(OFFSET($BH$3,0,0,'Données projet'!$E$11+1,1))-AVERAGE(OFFSET($H$3,0,0,'Données projet'!$E$11+1,1))</f>
        <v>430.60186171079067</v>
      </c>
      <c r="BJ27" s="59">
        <f t="shared" si="38"/>
        <v>533.76627289533985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4.857846153846153</v>
      </c>
      <c r="BY27" s="12">
        <f>IF('Données projet'!$A$114&gt;35,BY26+BX27-CG26,IF(A27&lt;'Données projet'!$A$114,$BV$205^A27,IF(A27='Données projet'!$A$114,'Données projet'!$B$114,BY26+BX27-CG26)))</f>
        <v>100.23246587248458</v>
      </c>
      <c r="BZ27" s="13">
        <f>BY27*VLOOKUP('Données projet'!$B$12,Paramètres!$A$1:$I$89,3,0)*VLOOKUP('Données projet'!$B$12,Paramètres!$A$1:$I$89,5,0)</f>
        <v>59.939014591745789</v>
      </c>
      <c r="CA27" s="13">
        <f t="shared" si="39"/>
        <v>17.152849075403395</v>
      </c>
      <c r="CB27" s="20">
        <f t="shared" si="10"/>
        <v>134.26832922028481</v>
      </c>
      <c r="CC27" s="59">
        <f t="shared" si="11"/>
        <v>420.26832922028484</v>
      </c>
      <c r="CD27" s="59">
        <f ca="1">AVERAGE(OFFSET($CC$3,0,0,'Données projet'!$E$12+1,1))-AVERAGE(OFFSET($H$3,0,0,'Données projet'!$E$12+1,1))</f>
        <v>215.89467197072673</v>
      </c>
      <c r="CE27" s="59">
        <f t="shared" si="40"/>
        <v>188.21397398859534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1.8914529914529912</v>
      </c>
      <c r="CT27" s="12">
        <f>IF('Données projet'!$A$140&gt;35,CT26+CS27-DB26,IF(A27&lt;'Données projet'!$A$140,$CQ$205^A27,IF(A27='Données projet'!$A$140,'Données projet'!$B$140,CT26+CS27-DB26)))</f>
        <v>25.300752924115567</v>
      </c>
      <c r="CU27" s="17">
        <f>CT27*VLOOKUP('Données projet'!$B$13,Paramètres!$A$1:$I$89,3,0)*VLOOKUP('Données projet'!$B$13,Paramètres!$A$1:$I$89,5,0)</f>
        <v>25.654963465053186</v>
      </c>
      <c r="CV27" s="13">
        <f t="shared" si="41"/>
        <v>8.1039343541388646</v>
      </c>
      <c r="CW27" s="20">
        <f t="shared" si="13"/>
        <v>58.796747035092814</v>
      </c>
      <c r="CX27" s="59">
        <f t="shared" si="14"/>
        <v>344.79674703509284</v>
      </c>
      <c r="CY27" s="59">
        <f ca="1">AVERAGE(OFFSET($CX$3,0,0,'Données projet'!$E$13+1,1))-AVERAGE(OFFSET($H$3,0,0,'Données projet'!$E$13+1,1))</f>
        <v>342.82846711287749</v>
      </c>
      <c r="CZ27" s="59">
        <f t="shared" si="42"/>
        <v>152.87724741106297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</v>
      </c>
      <c r="DO27" s="12">
        <f>IF('Données projet'!$A$166&gt;35,DO26+DN27-DW26,IF(A27&lt;'Données projet'!$A$166,$DL$205^A27,IF(A27='Données projet'!$A$166,'Données projet'!$B$166,DO26+DN27-DW26)))</f>
        <v>76</v>
      </c>
      <c r="DP27" s="17">
        <f>DO27*VLOOKUP('Données projet'!$B$14,Paramètres!$A$1:$I$89,3,0)*VLOOKUP('Données projet'!$B$14,Paramètres!$A$1:$I$89,5,0)</f>
        <v>55.723199999999999</v>
      </c>
      <c r="DQ27" s="13">
        <f t="shared" si="43"/>
        <v>16.082350294695448</v>
      </c>
      <c r="DR27" s="20">
        <f t="shared" si="16"/>
        <v>125.0613334299279</v>
      </c>
      <c r="DS27" s="59">
        <f t="shared" si="17"/>
        <v>411.06133342992791</v>
      </c>
      <c r="DT27" s="59">
        <f ca="1">AVERAGE(OFFSET($DS$3,0,0,'Données projet'!$E$14+1,1))-AVERAGE(OFFSET($H$3,0,0,'Données projet'!$E$14+1,1))</f>
        <v>208.48147873805715</v>
      </c>
      <c r="DU27" s="59">
        <f t="shared" si="44"/>
        <v>209.50570914630686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15.073076923076925</v>
      </c>
      <c r="EJ27" s="12">
        <f>IF('Données projet'!$A$192&gt;35,EJ26+EI27-ER26,IF(A27&lt;'Données projet'!$A$192,$EG$205^A27,IF(A27='Données projet'!$A$192,'Données projet'!$B$192,EJ26+EI27-ER26)))</f>
        <v>134.78076923076921</v>
      </c>
      <c r="EK27" s="17">
        <f>EJ27*VLOOKUP('Données projet'!$B$15,Paramètres!$A$1:$I$89,3,0)*VLOOKUP('Données projet'!$B$15,Paramètres!$A$1:$I$89,5,0)</f>
        <v>80.598899999999986</v>
      </c>
      <c r="EL27" s="13">
        <f t="shared" si="45"/>
        <v>22.283554667877272</v>
      </c>
      <c r="EM27" s="20">
        <f t="shared" si="19"/>
        <v>179.18694187988618</v>
      </c>
      <c r="EN27" s="59">
        <f t="shared" si="20"/>
        <v>465.18694187988615</v>
      </c>
      <c r="EO27" s="59">
        <f ca="1">AVERAGE(OFFSET($EN$3,0,0,'Données projet'!$E$15+1,1))-AVERAGE(OFFSET($H$3,0,0,'Données projet'!$E$15+1,1))</f>
        <v>247.31680974612766</v>
      </c>
      <c r="EP27" s="59">
        <f t="shared" si="46"/>
        <v>257.13949761071882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17.379494974647709</v>
      </c>
      <c r="EX27" s="21">
        <f>EXP(-LN(2)/2)*EX26+(1-EXP(-LN(2)/2))/(LN(2)/2)*ER27*EU27*VLOOKUP('Données projet'!$B$15,Paramètres!$A$1:$I$89,3,0)*0.475*44/12</f>
        <v>12.5046780593291</v>
      </c>
      <c r="EY27" s="22">
        <f t="shared" si="21"/>
        <v>29.884173033976808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4.4459999999999971</v>
      </c>
      <c r="D28" s="11">
        <f t="shared" si="32"/>
        <v>1.722256681519289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9.5229225960297761</v>
      </c>
      <c r="H28" s="67">
        <f t="shared" si="1"/>
        <v>267.40971372031277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3.4425641025641025</v>
      </c>
      <c r="N28" s="13">
        <f>IF('Données projet'!$A$36&gt;35,N27+M28-V27,IF(A28&lt;'Données projet'!$A$36,$K$205^A28,IF(A28='Données projet'!$A$36,'Données projet'!$B$36,N27+M28-V27)))</f>
        <v>47.679981195591871</v>
      </c>
      <c r="O28" s="13">
        <f>N28*VLOOKUP('Données projet'!$B$9,Paramètres!$A$1:$I$89,3,0)*VLOOKUP('Données projet'!$B$9,Paramètres!$A$1:$I$89,5,0)</f>
        <v>22.314231199536998</v>
      </c>
      <c r="P28" s="13">
        <f t="shared" si="33"/>
        <v>7.1640574010122027</v>
      </c>
      <c r="Q28" s="20">
        <f t="shared" si="2"/>
        <v>51.341352645956526</v>
      </c>
      <c r="R28" s="59">
        <f t="shared" si="0"/>
        <v>338.56357486817876</v>
      </c>
      <c r="S28" s="59">
        <f ca="1">AVERAGE(OFFSET($R$3,0,0,'Données projet'!$E$9+1,1))-AVERAGE(OFFSET($H$3,0,0,'Données projet'!$E$9+1,1))</f>
        <v>223.99456146593315</v>
      </c>
      <c r="T28" s="59">
        <f t="shared" si="34"/>
        <v>132.73290587325937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138</v>
      </c>
      <c r="AG28" s="12">
        <f>VLOOKUP(A28,'Données projet'!$A$61:$I$81,9,0)</f>
        <v>9.6</v>
      </c>
      <c r="AH28" s="12">
        <f t="array" ref="AH28">INDEX(AG:AG,MIN(IF(ISNUMBER(AG28:AG224),ROW(AG28:AG224),"")))</f>
        <v>9.6</v>
      </c>
      <c r="AI28" s="13">
        <f>IF('Données projet'!$A$62&gt;35,AI27+AH28-AQ27,IF(A28&lt;'Données projet'!$A$62,$AF$205^A28,IF(A28='Données projet'!$A$62,'Données projet'!$B$62,AI27+AH28-AQ27)))</f>
        <v>137.99999999999997</v>
      </c>
      <c r="AJ28" s="13">
        <f>AI28*VLOOKUP('Données projet'!$B$10,Paramètres!$A$1:$I$89,3,0)*VLOOKUP('Données projet'!$B$10,Paramètres!$A$1:$I$89,5,0)</f>
        <v>90.417599999999979</v>
      </c>
      <c r="AK28" s="13">
        <f t="shared" si="35"/>
        <v>24.665912907068826</v>
      </c>
      <c r="AL28" s="20">
        <f t="shared" si="4"/>
        <v>200.43711831314485</v>
      </c>
      <c r="AM28" s="59">
        <f t="shared" si="5"/>
        <v>487.65934053536705</v>
      </c>
      <c r="AN28" s="59">
        <f ca="1">AVERAGE(OFFSET($AM$3,0,0,'Données projet'!$E$10+1,1))-AVERAGE(OFFSET($H$3,0,0,'Données projet'!$E$10+1,1))</f>
        <v>244.43587473734613</v>
      </c>
      <c r="AO28" s="59">
        <f t="shared" si="36"/>
        <v>256.80261402149375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21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4.3000000000000003E-2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1.0360472380130792</v>
      </c>
      <c r="AW28" s="21">
        <f>EXP(-LN(2)/2)*AW27+(1-EXP(-LN(2)/2))/(LN(2)/2)*AQ28*AT28*VLOOKUP('Données projet'!$B$10,Paramètres!$A$1:$I$89,3,0)*0.475*44/12</f>
        <v>4.246709083797044</v>
      </c>
      <c r="AX28" s="21">
        <f t="shared" si="6"/>
        <v>5.2827563218101234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335</v>
      </c>
      <c r="BB28" s="12">
        <f>VLOOKUP(A28,'Données projet'!$A$87:$I$107,9,0)</f>
        <v>28.833333333333332</v>
      </c>
      <c r="BC28" s="12">
        <f t="array" ref="BC28">INDEX(BB:BB,MIN(IF(ISNUMBER(BB28:BB224),ROW(BB28:BB224),"")))</f>
        <v>28.833333333333332</v>
      </c>
      <c r="BD28" s="12">
        <f>IF('Données projet'!$A$88&gt;35,BD27+BC28-BL27,IF(A28&lt;'Données projet'!$A$88,$BA$205^A28,IF(A28='Données projet'!$A$88,'Données projet'!$B$88,BD27+BC28-BL27)))</f>
        <v>335</v>
      </c>
      <c r="BE28" s="13">
        <f>BD28*VLOOKUP('Données projet'!$B$11,Paramètres!$A$1:$I$89,3,0)*VLOOKUP('Données projet'!$B$11,Paramètres!$A$1:$I$89,5,0)</f>
        <v>187.26500000000001</v>
      </c>
      <c r="BF28" s="13">
        <f t="shared" si="37"/>
        <v>46.934773872544483</v>
      </c>
      <c r="BG28" s="20">
        <f t="shared" si="7"/>
        <v>407.89793949468162</v>
      </c>
      <c r="BH28" s="59">
        <f t="shared" si="8"/>
        <v>695.12016171690379</v>
      </c>
      <c r="BI28" s="59">
        <f ca="1">AVERAGE(OFFSET($BH$3,0,0,'Données projet'!$E$11+1,1))-AVERAGE(OFFSET($H$3,0,0,'Données projet'!$E$11+1,1))</f>
        <v>430.60186171079067</v>
      </c>
      <c r="BJ28" s="59">
        <f t="shared" si="38"/>
        <v>533.76627289533985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54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0.30800000000000005</v>
      </c>
      <c r="BO28" s="16">
        <f>IF(ISNA(VLOOKUP(A28,'Données projet'!$A$87:$I$107,7,0)),0%,VLOOKUP(A28,'Données projet'!$A$87:$I$107,7,0))</f>
        <v>0.44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12.284890293662819</v>
      </c>
      <c r="BR28" s="21">
        <f>EXP(-LN(2)/2)*BR27+(1-EXP(-LN(2)/2))/(LN(2)/2)*BL28*BO28*VLOOKUP('Données projet'!$B$11,Paramètres!$A$1:$I$89,3,0)*0.475*44/12</f>
        <v>15.038128218578914</v>
      </c>
      <c r="BS28" s="22">
        <f t="shared" si="9"/>
        <v>27.323018512241731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121.44615384615383</v>
      </c>
      <c r="BW28" s="12">
        <f>VLOOKUP(A28,'Données projet'!$A$113:$I$133,9,0)</f>
        <v>4.857846153846153</v>
      </c>
      <c r="BX28" s="12">
        <f t="array" ref="BX28">INDEX(BW:BW,MIN(IF(ISNUMBER(BW28:BW224),ROW(BW28:BW224),"")))</f>
        <v>4.857846153846153</v>
      </c>
      <c r="BY28" s="12">
        <f>IF('Données projet'!$A$114&gt;35,BY27+BX28-CG27,IF(A28&lt;'Données projet'!$A$114,$BV$205^A28,IF(A28='Données projet'!$A$114,'Données projet'!$B$114,BY27+BX28-CG27)))</f>
        <v>121.44615384615383</v>
      </c>
      <c r="BZ28" s="13">
        <f>BY28*VLOOKUP('Données projet'!$B$12,Paramètres!$A$1:$I$89,3,0)*VLOOKUP('Données projet'!$B$12,Paramètres!$A$1:$I$89,5,0)</f>
        <v>72.624799999999993</v>
      </c>
      <c r="CA28" s="13">
        <f t="shared" si="39"/>
        <v>20.323884874405149</v>
      </c>
      <c r="CB28" s="20">
        <f t="shared" si="10"/>
        <v>161.88562615625563</v>
      </c>
      <c r="CC28" s="59">
        <f t="shared" si="11"/>
        <v>449.10784837847785</v>
      </c>
      <c r="CD28" s="59">
        <f ca="1">AVERAGE(OFFSET($CC$3,0,0,'Données projet'!$E$12+1,1))-AVERAGE(OFFSET($H$3,0,0,'Données projet'!$E$12+1,1))</f>
        <v>215.89467197072673</v>
      </c>
      <c r="CE28" s="59">
        <f t="shared" si="40"/>
        <v>188.21397398859534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51.446153846153841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0.25200000000000006</v>
      </c>
      <c r="CJ28" s="16">
        <f>IF(ISNA(VLOOKUP(A28,'Données projet'!$A$113:$I$133,7,0)),0%,VLOOKUP(A28,'Données projet'!$A$113:$I$133,7,0))</f>
        <v>0.44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10.244001542431775</v>
      </c>
      <c r="CM28" s="21">
        <f>EXP(-LN(2)/2)*CM27+(1-EXP(-LN(2)/2))/(LN(2)/2)*CG28*CJ28*VLOOKUP('Données projet'!$B$12,Paramètres!$A$1:$I$89,3,0)*0.475*44/12</f>
        <v>15.326476082254574</v>
      </c>
      <c r="CN28" s="22">
        <f t="shared" si="12"/>
        <v>25.570477624686347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1.8914529914529912</v>
      </c>
      <c r="CT28" s="12">
        <f>IF('Données projet'!$A$140&gt;35,CT27+CS28-DB27,IF(A28&lt;'Données projet'!$A$140,$CQ$205^A28,IF(A28='Données projet'!$A$140,'Données projet'!$B$140,CT27+CS28-DB27)))</f>
        <v>28.946585285905964</v>
      </c>
      <c r="CU28" s="17">
        <f>CT28*VLOOKUP('Données projet'!$B$13,Paramètres!$A$1:$I$89,3,0)*VLOOKUP('Données projet'!$B$13,Paramètres!$A$1:$I$89,5,0)</f>
        <v>29.351837479908653</v>
      </c>
      <c r="CV28" s="13">
        <f t="shared" si="41"/>
        <v>9.1275581978903713</v>
      </c>
      <c r="CW28" s="20">
        <f t="shared" si="13"/>
        <v>67.01828080549997</v>
      </c>
      <c r="CX28" s="59">
        <f t="shared" si="14"/>
        <v>354.24050302772218</v>
      </c>
      <c r="CY28" s="59">
        <f ca="1">AVERAGE(OFFSET($CX$3,0,0,'Données projet'!$E$13+1,1))-AVERAGE(OFFSET($H$3,0,0,'Données projet'!$E$13+1,1))</f>
        <v>342.82846711287749</v>
      </c>
      <c r="CZ28" s="59">
        <f t="shared" si="42"/>
        <v>152.87724741106297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86</v>
      </c>
      <c r="DM28" s="12">
        <f>VLOOKUP(A28,'Données projet'!$A$165:$I$185,9,0)</f>
        <v>10</v>
      </c>
      <c r="DN28" s="12">
        <f t="array" ref="DN28">INDEX(DM:DM,MIN(IF(ISNUMBER(DM28:DM224),ROW(DM28:DM224),"")))</f>
        <v>10</v>
      </c>
      <c r="DO28" s="12">
        <f>IF('Données projet'!$A$166&gt;35,DO27+DN28-DW27,IF(A28&lt;'Données projet'!$A$166,$DL$205^A28,IF(A28='Données projet'!$A$166,'Données projet'!$B$166,DO27+DN28-DW27)))</f>
        <v>86</v>
      </c>
      <c r="DP28" s="17">
        <f>DO28*VLOOKUP('Données projet'!$B$14,Paramètres!$A$1:$I$89,3,0)*VLOOKUP('Données projet'!$B$14,Paramètres!$A$1:$I$89,5,0)</f>
        <v>63.055199999999992</v>
      </c>
      <c r="DQ28" s="13">
        <f t="shared" si="43"/>
        <v>17.938472483677142</v>
      </c>
      <c r="DR28" s="20">
        <f t="shared" si="16"/>
        <v>141.06397957573768</v>
      </c>
      <c r="DS28" s="59">
        <f t="shared" si="17"/>
        <v>428.2862017979599</v>
      </c>
      <c r="DT28" s="59">
        <f ca="1">AVERAGE(OFFSET($DS$3,0,0,'Données projet'!$E$14+1,1))-AVERAGE(OFFSET($H$3,0,0,'Données projet'!$E$14+1,1))</f>
        <v>208.48147873805715</v>
      </c>
      <c r="DU28" s="59">
        <f t="shared" si="44"/>
        <v>209.50570914630686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15.073076923076925</v>
      </c>
      <c r="EJ28" s="12">
        <f>IF('Données projet'!$A$192&gt;35,EJ27+EI28-ER27,IF(A28&lt;'Données projet'!$A$192,$EG$205^A28,IF(A28='Données projet'!$A$192,'Données projet'!$B$192,EJ27+EI28-ER27)))</f>
        <v>149.85384615384612</v>
      </c>
      <c r="EK28" s="17">
        <f>EJ28*VLOOKUP('Données projet'!$B$15,Paramètres!$A$1:$I$89,3,0)*VLOOKUP('Données projet'!$B$15,Paramètres!$A$1:$I$89,5,0)</f>
        <v>89.6126</v>
      </c>
      <c r="EL28" s="13">
        <f t="shared" si="45"/>
        <v>24.471769998555317</v>
      </c>
      <c r="EM28" s="20">
        <f t="shared" si="19"/>
        <v>198.69694441415049</v>
      </c>
      <c r="EN28" s="59">
        <f t="shared" si="20"/>
        <v>485.91916663637272</v>
      </c>
      <c r="EO28" s="59">
        <f ca="1">AVERAGE(OFFSET($EN$3,0,0,'Données projet'!$E$15+1,1))-AVERAGE(OFFSET($H$3,0,0,'Données projet'!$E$15+1,1))</f>
        <v>247.31680974612766</v>
      </c>
      <c r="EP28" s="59">
        <f t="shared" si="46"/>
        <v>257.13949761071882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16.90425177061805</v>
      </c>
      <c r="EX28" s="21">
        <f>EXP(-LN(2)/2)*EX27+(1-EXP(-LN(2)/2))/(LN(2)/2)*ER28*EU28*VLOOKUP('Données projet'!$B$15,Paramètres!$A$1:$I$89,3,0)*0.475*44/12</f>
        <v>8.8421426523062436</v>
      </c>
      <c r="EY28" s="22">
        <f t="shared" si="21"/>
        <v>25.746394422924293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4.6238399999999968</v>
      </c>
      <c r="D29" s="11">
        <f t="shared" si="32"/>
        <v>1.7829884787800345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9.8912439672393475</v>
      </c>
      <c r="H29" s="67">
        <f t="shared" si="1"/>
        <v>267.82522626720856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3.4425641025641025</v>
      </c>
      <c r="N29" s="13">
        <f>IF('Données projet'!$A$36&gt;35,N28+M29-V28,IF(A29&lt;'Données projet'!$A$36,$K$205^A29,IF(A29='Données projet'!$A$36,'Données projet'!$B$36,N28+M29-V28)))</f>
        <v>55.650557381086244</v>
      </c>
      <c r="O29" s="13">
        <f>N29*VLOOKUP('Données projet'!$B$9,Paramètres!$A$1:$I$89,3,0)*VLOOKUP('Données projet'!$B$9,Paramètres!$A$1:$I$89,5,0)</f>
        <v>26.044460854348362</v>
      </c>
      <c r="P29" s="13">
        <f t="shared" si="33"/>
        <v>8.2125526568599181</v>
      </c>
      <c r="Q29" s="20">
        <f t="shared" si="2"/>
        <v>59.664298532021071</v>
      </c>
      <c r="R29" s="59">
        <f t="shared" si="0"/>
        <v>348.10874297646552</v>
      </c>
      <c r="S29" s="59">
        <f ca="1">AVERAGE(OFFSET($R$3,0,0,'Données projet'!$E$9+1,1))-AVERAGE(OFFSET($H$3,0,0,'Données projet'!$E$9+1,1))</f>
        <v>223.99456146593315</v>
      </c>
      <c r="T29" s="59">
        <f t="shared" si="34"/>
        <v>132.73290587325937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8.8000000000000007</v>
      </c>
      <c r="AI29" s="13">
        <f>IF('Données projet'!$A$62&gt;35,AI28+AH29-AQ28,IF(A29&lt;'Données projet'!$A$62,$AF$205^A29,IF(A29='Données projet'!$A$62,'Données projet'!$B$62,AI28+AH29-AQ28)))</f>
        <v>125.79999999999998</v>
      </c>
      <c r="AJ29" s="13">
        <f>AI29*VLOOKUP('Données projet'!$B$10,Paramètres!$A$1:$I$89,3,0)*VLOOKUP('Données projet'!$B$10,Paramètres!$A$1:$I$89,5,0)</f>
        <v>82.424159999999986</v>
      </c>
      <c r="AK29" s="13">
        <f t="shared" si="35"/>
        <v>22.728870146421784</v>
      </c>
      <c r="AL29" s="20">
        <f t="shared" si="4"/>
        <v>183.14152750501788</v>
      </c>
      <c r="AM29" s="59">
        <f t="shared" si="5"/>
        <v>471.58597194946231</v>
      </c>
      <c r="AN29" s="59">
        <f ca="1">AVERAGE(OFFSET($AM$3,0,0,'Données projet'!$E$10+1,1))-AVERAGE(OFFSET($H$3,0,0,'Données projet'!$E$10+1,1))</f>
        <v>244.43587473734613</v>
      </c>
      <c r="AO29" s="59">
        <f t="shared" si="36"/>
        <v>256.80261402149375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1.0077164718062552</v>
      </c>
      <c r="AW29" s="21">
        <f>EXP(-LN(2)/2)*AW28+(1-EXP(-LN(2)/2))/(LN(2)/2)*AQ29*AT29*VLOOKUP('Données projet'!$B$10,Paramètres!$A$1:$I$89,3,0)*0.475*44/12</f>
        <v>3.0028767908794003</v>
      </c>
      <c r="AX29" s="21">
        <f t="shared" si="6"/>
        <v>4.0105932626856555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28</v>
      </c>
      <c r="BD29" s="12">
        <f>IF('Données projet'!$A$88&gt;35,BD28+BC29-BL28,IF(A29&lt;'Données projet'!$A$88,$BA$205^A29,IF(A29='Données projet'!$A$88,'Données projet'!$B$88,BD28+BC29-BL28)))</f>
        <v>309</v>
      </c>
      <c r="BE29" s="13">
        <f>BD29*VLOOKUP('Données projet'!$B$11,Paramètres!$A$1:$I$89,3,0)*VLOOKUP('Données projet'!$B$11,Paramètres!$A$1:$I$89,5,0)</f>
        <v>172.73100000000002</v>
      </c>
      <c r="BF29" s="13">
        <f t="shared" si="37"/>
        <v>43.701108252019125</v>
      </c>
      <c r="BG29" s="20">
        <f t="shared" si="7"/>
        <v>376.9525885389333</v>
      </c>
      <c r="BH29" s="59">
        <f t="shared" si="8"/>
        <v>665.39703298337781</v>
      </c>
      <c r="BI29" s="59">
        <f ca="1">AVERAGE(OFFSET($BH$3,0,0,'Données projet'!$E$11+1,1))-AVERAGE(OFFSET($H$3,0,0,'Données projet'!$E$11+1,1))</f>
        <v>430.60186171079067</v>
      </c>
      <c r="BJ29" s="59">
        <f t="shared" si="38"/>
        <v>533.76627289533985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11.948959322548307</v>
      </c>
      <c r="BR29" s="21">
        <f>EXP(-LN(2)/2)*BR28+(1-EXP(-LN(2)/2))/(LN(2)/2)*BL29*BO29*VLOOKUP('Données projet'!$B$11,Paramètres!$A$1:$I$89,3,0)*0.475*44/12</f>
        <v>10.633562439709927</v>
      </c>
      <c r="BS29" s="22">
        <f t="shared" si="9"/>
        <v>22.582521762258231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10.670769230769233</v>
      </c>
      <c r="BY29" s="12">
        <f>IF('Données projet'!$A$114&gt;35,BY28+BX29-CG28,IF(A29&lt;'Données projet'!$A$114,$BV$205^A29,IF(A29='Données projet'!$A$114,'Données projet'!$B$114,BY28+BX29-CG28)))</f>
        <v>80.670769230769224</v>
      </c>
      <c r="BZ29" s="13">
        <f>BY29*VLOOKUP('Données projet'!$B$12,Paramètres!$A$1:$I$89,3,0)*VLOOKUP('Données projet'!$B$12,Paramètres!$A$1:$I$89,5,0)</f>
        <v>48.241120000000002</v>
      </c>
      <c r="CA29" s="13">
        <f t="shared" si="39"/>
        <v>14.158578848733127</v>
      </c>
      <c r="CB29" s="20">
        <f t="shared" si="10"/>
        <v>108.67947549487685</v>
      </c>
      <c r="CC29" s="59">
        <f t="shared" si="11"/>
        <v>397.1239199393213</v>
      </c>
      <c r="CD29" s="59">
        <f ca="1">AVERAGE(OFFSET($CC$3,0,0,'Données projet'!$E$12+1,1))-AVERAGE(OFFSET($H$3,0,0,'Données projet'!$E$12+1,1))</f>
        <v>215.89467197072673</v>
      </c>
      <c r="CE29" s="59">
        <f t="shared" si="40"/>
        <v>188.21397398859534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9.9638787815453504</v>
      </c>
      <c r="CM29" s="21">
        <f>EXP(-LN(2)/2)*CM28+(1-EXP(-LN(2)/2))/(LN(2)/2)*CG29*CJ29*VLOOKUP('Données projet'!$B$12,Paramètres!$A$1:$I$89,3,0)*0.475*44/12</f>
        <v>10.837455169455641</v>
      </c>
      <c r="CN29" s="22">
        <f t="shared" si="12"/>
        <v>20.801333951000991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1.8914529914529912</v>
      </c>
      <c r="CT29" s="12">
        <f>IF('Données projet'!$A$140&gt;35,CT28+CS29-DB28,IF(A29&lt;'Données projet'!$A$140,$CQ$205^A29,IF(A29='Données projet'!$A$140,'Données projet'!$B$140,CT28+CS29-DB28)))</f>
        <v>33.117781207039634</v>
      </c>
      <c r="CU29" s="17">
        <f>CT29*VLOOKUP('Données projet'!$B$13,Paramètres!$A$1:$I$89,3,0)*VLOOKUP('Données projet'!$B$13,Paramètres!$A$1:$I$89,5,0)</f>
        <v>33.581430143938192</v>
      </c>
      <c r="CV29" s="13">
        <f t="shared" si="41"/>
        <v>10.280477977135408</v>
      </c>
      <c r="CW29" s="20">
        <f t="shared" si="13"/>
        <v>76.392823310869844</v>
      </c>
      <c r="CX29" s="59">
        <f t="shared" si="14"/>
        <v>364.83726775531431</v>
      </c>
      <c r="CY29" s="59">
        <f ca="1">AVERAGE(OFFSET($CX$3,0,0,'Données projet'!$E$13+1,1))-AVERAGE(OFFSET($H$3,0,0,'Données projet'!$E$13+1,1))</f>
        <v>342.82846711287749</v>
      </c>
      <c r="CZ29" s="59">
        <f t="shared" si="42"/>
        <v>152.87724741106297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9.8000000000000007</v>
      </c>
      <c r="DO29" s="12">
        <f>IF('Données projet'!$A$166&gt;35,DO28+DN29-DW28,IF(A29&lt;'Données projet'!$A$166,$DL$205^A29,IF(A29='Données projet'!$A$166,'Données projet'!$B$166,DO28+DN29-DW28)))</f>
        <v>74.8</v>
      </c>
      <c r="DP29" s="17">
        <f>DO29*VLOOKUP('Données projet'!$B$14,Paramètres!$A$1:$I$89,3,0)*VLOOKUP('Données projet'!$B$14,Paramètres!$A$1:$I$89,5,0)</f>
        <v>54.843359999999997</v>
      </c>
      <c r="DQ29" s="13">
        <f t="shared" si="43"/>
        <v>15.857768705098096</v>
      </c>
      <c r="DR29" s="20">
        <f t="shared" si="16"/>
        <v>123.13779916137918</v>
      </c>
      <c r="DS29" s="59">
        <f t="shared" si="17"/>
        <v>411.58224360582363</v>
      </c>
      <c r="DT29" s="59">
        <f ca="1">AVERAGE(OFFSET($DS$3,0,0,'Données projet'!$E$14+1,1))-AVERAGE(OFFSET($H$3,0,0,'Données projet'!$E$14+1,1))</f>
        <v>208.48147873805715</v>
      </c>
      <c r="DU29" s="59">
        <f t="shared" si="44"/>
        <v>209.50570914630686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15.073076923076925</v>
      </c>
      <c r="EJ29" s="12">
        <f>IF('Données projet'!$A$192&gt;35,EJ28+EI29-ER28,IF(A29&lt;'Données projet'!$A$192,$EG$205^A29,IF(A29='Données projet'!$A$192,'Données projet'!$B$192,EJ28+EI29-ER28)))</f>
        <v>164.92692307692306</v>
      </c>
      <c r="EK29" s="17">
        <f>EJ29*VLOOKUP('Données projet'!$B$15,Paramètres!$A$1:$I$89,3,0)*VLOOKUP('Données projet'!$B$15,Paramètres!$A$1:$I$89,5,0)</f>
        <v>98.626300000000001</v>
      </c>
      <c r="EL29" s="13">
        <f t="shared" si="45"/>
        <v>26.634469472597342</v>
      </c>
      <c r="EM29" s="20">
        <f t="shared" si="19"/>
        <v>218.16250683144037</v>
      </c>
      <c r="EN29" s="59">
        <f t="shared" si="20"/>
        <v>506.60695127588485</v>
      </c>
      <c r="EO29" s="59">
        <f ca="1">AVERAGE(OFFSET($EN$3,0,0,'Données projet'!$E$15+1,1))-AVERAGE(OFFSET($H$3,0,0,'Données projet'!$E$15+1,1))</f>
        <v>247.31680974612766</v>
      </c>
      <c r="EP29" s="59">
        <f t="shared" si="46"/>
        <v>257.13949761071882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16.442004116994532</v>
      </c>
      <c r="EX29" s="21">
        <f>EXP(-LN(2)/2)*EX28+(1-EXP(-LN(2)/2))/(LN(2)/2)*ER29*EU29*VLOOKUP('Données projet'!$B$15,Paramètres!$A$1:$I$89,3,0)*0.475*44/12</f>
        <v>6.25233902966455</v>
      </c>
      <c r="EY29" s="22">
        <f t="shared" si="21"/>
        <v>22.694343146659083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4.8016799999999966</v>
      </c>
      <c r="D30" s="11">
        <f t="shared" si="32"/>
        <v>1.8434489215050522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10.259146405130602</v>
      </c>
      <c r="H30" s="67">
        <f t="shared" si="1"/>
        <v>268.24026620495465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3.4425641025641025</v>
      </c>
      <c r="N30" s="13">
        <f>IF('Données projet'!$A$36&gt;35,N29+M30-V29,IF(A30&lt;'Données projet'!$A$36,$K$205^A30,IF(A30='Données projet'!$A$36,'Données projet'!$B$36,N29+M30-V29)))</f>
        <v>64.953560365747308</v>
      </c>
      <c r="O30" s="13">
        <f>N30*VLOOKUP('Données projet'!$B$9,Paramètres!$A$1:$I$89,3,0)*VLOOKUP('Données projet'!$B$9,Paramètres!$A$1:$I$89,5,0)</f>
        <v>30.398266251169741</v>
      </c>
      <c r="P30" s="13">
        <f t="shared" si="33"/>
        <v>9.4145003824463398</v>
      </c>
      <c r="Q30" s="20">
        <f t="shared" si="2"/>
        <v>69.340568553547996</v>
      </c>
      <c r="R30" s="59">
        <f t="shared" si="0"/>
        <v>359.00723522021468</v>
      </c>
      <c r="S30" s="59">
        <f ca="1">AVERAGE(OFFSET($R$3,0,0,'Données projet'!$E$9+1,1))-AVERAGE(OFFSET($H$3,0,0,'Données projet'!$E$9+1,1))</f>
        <v>223.99456146593315</v>
      </c>
      <c r="T30" s="59">
        <f t="shared" si="34"/>
        <v>132.73290587325937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8.8000000000000007</v>
      </c>
      <c r="AI30" s="13">
        <f>IF('Données projet'!$A$62&gt;35,AI29+AH30-AQ29,IF(A30&lt;'Données projet'!$A$62,$AF$205^A30,IF(A30='Données projet'!$A$62,'Données projet'!$B$62,AI29+AH30-AQ29)))</f>
        <v>134.6</v>
      </c>
      <c r="AJ30" s="13">
        <f>AI30*VLOOKUP('Données projet'!$B$10,Paramètres!$A$1:$I$89,3,0)*VLOOKUP('Données projet'!$B$10,Paramètres!$A$1:$I$89,5,0)</f>
        <v>88.189920000000001</v>
      </c>
      <c r="AK30" s="13">
        <f t="shared" si="35"/>
        <v>24.128162431798632</v>
      </c>
      <c r="AL30" s="20">
        <f t="shared" si="4"/>
        <v>195.62066023538262</v>
      </c>
      <c r="AM30" s="59">
        <f t="shared" si="5"/>
        <v>485.2873269020493</v>
      </c>
      <c r="AN30" s="59">
        <f ca="1">AVERAGE(OFFSET($AM$3,0,0,'Données projet'!$E$10+1,1))-AVERAGE(OFFSET($H$3,0,0,'Données projet'!$E$10+1,1))</f>
        <v>244.43587473734613</v>
      </c>
      <c r="AO30" s="59">
        <f t="shared" si="36"/>
        <v>256.80261402149375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0.98016041189120706</v>
      </c>
      <c r="AW30" s="21">
        <f>EXP(-LN(2)/2)*AW29+(1-EXP(-LN(2)/2))/(LN(2)/2)*AQ30*AT30*VLOOKUP('Données projet'!$B$10,Paramètres!$A$1:$I$89,3,0)*0.475*44/12</f>
        <v>2.1233545418985225</v>
      </c>
      <c r="AX30" s="21">
        <f t="shared" si="6"/>
        <v>3.1035149537897295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28</v>
      </c>
      <c r="BD30" s="12">
        <f>IF('Données projet'!$A$88&gt;35,BD29+BC30-BL29,IF(A30&lt;'Données projet'!$A$88,$BA$205^A30,IF(A30='Données projet'!$A$88,'Données projet'!$B$88,BD29+BC30-BL29)))</f>
        <v>337</v>
      </c>
      <c r="BE30" s="13">
        <f>BD30*VLOOKUP('Données projet'!$B$11,Paramètres!$A$1:$I$89,3,0)*VLOOKUP('Données projet'!$B$11,Paramètres!$A$1:$I$89,5,0)</f>
        <v>188.38300000000001</v>
      </c>
      <c r="BF30" s="13">
        <f t="shared" si="37"/>
        <v>47.182279474248382</v>
      </c>
      <c r="BG30" s="20">
        <f t="shared" si="7"/>
        <v>410.27619508431599</v>
      </c>
      <c r="BH30" s="59">
        <f t="shared" si="8"/>
        <v>699.94286175098273</v>
      </c>
      <c r="BI30" s="59">
        <f ca="1">AVERAGE(OFFSET($BH$3,0,0,'Données projet'!$E$11+1,1))-AVERAGE(OFFSET($H$3,0,0,'Données projet'!$E$11+1,1))</f>
        <v>430.60186171079067</v>
      </c>
      <c r="BJ30" s="59">
        <f t="shared" si="38"/>
        <v>533.76627289533985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11.622214401504761</v>
      </c>
      <c r="BR30" s="21">
        <f>EXP(-LN(2)/2)*BR29+(1-EXP(-LN(2)/2))/(LN(2)/2)*BL30*BO30*VLOOKUP('Données projet'!$B$11,Paramètres!$A$1:$I$89,3,0)*0.475*44/12</f>
        <v>7.5190641092894577</v>
      </c>
      <c r="BS30" s="22">
        <f t="shared" si="9"/>
        <v>19.141278510794219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10.670769230769233</v>
      </c>
      <c r="BY30" s="12">
        <f>IF('Données projet'!$A$114&gt;35,BY29+BX30-CG29,IF(A30&lt;'Données projet'!$A$114,$BV$205^A30,IF(A30='Données projet'!$A$114,'Données projet'!$B$114,BY29+BX30-CG29)))</f>
        <v>91.341538461538462</v>
      </c>
      <c r="BZ30" s="13">
        <f>BY30*VLOOKUP('Données projet'!$B$12,Paramètres!$A$1:$I$89,3,0)*VLOOKUP('Données projet'!$B$12,Paramètres!$A$1:$I$89,5,0)</f>
        <v>54.622240000000005</v>
      </c>
      <c r="CA30" s="13">
        <f t="shared" si="39"/>
        <v>15.801261502523898</v>
      </c>
      <c r="CB30" s="20">
        <f t="shared" si="10"/>
        <v>122.65426511689581</v>
      </c>
      <c r="CC30" s="59">
        <f t="shared" si="11"/>
        <v>412.32093178356251</v>
      </c>
      <c r="CD30" s="59">
        <f ca="1">AVERAGE(OFFSET($CC$3,0,0,'Données projet'!$E$12+1,1))-AVERAGE(OFFSET($H$3,0,0,'Données projet'!$E$12+1,1))</f>
        <v>215.89467197072673</v>
      </c>
      <c r="CE30" s="59">
        <f t="shared" si="40"/>
        <v>188.21397398859534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9.6914159922863803</v>
      </c>
      <c r="CM30" s="21">
        <f>EXP(-LN(2)/2)*CM29+(1-EXP(-LN(2)/2))/(LN(2)/2)*CG30*CJ30*VLOOKUP('Données projet'!$B$12,Paramètres!$A$1:$I$89,3,0)*0.475*44/12</f>
        <v>7.6632380411272889</v>
      </c>
      <c r="CN30" s="22">
        <f t="shared" si="12"/>
        <v>17.35465403341367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1.8914529914529912</v>
      </c>
      <c r="CT30" s="12">
        <f>IF('Données projet'!$A$140&gt;35,CT29+CS30-DB29,IF(A30&lt;'Données projet'!$A$140,$CQ$205^A30,IF(A30='Données projet'!$A$140,'Données projet'!$B$140,CT29+CS30-DB29)))</f>
        <v>37.890045449035092</v>
      </c>
      <c r="CU30" s="17">
        <f>CT30*VLOOKUP('Données projet'!$B$13,Paramètres!$A$1:$I$89,3,0)*VLOOKUP('Données projet'!$B$13,Paramètres!$A$1:$I$89,5,0)</f>
        <v>38.420506085321591</v>
      </c>
      <c r="CV30" s="13">
        <f t="shared" si="41"/>
        <v>11.579025315093979</v>
      </c>
      <c r="CW30" s="20">
        <f t="shared" si="13"/>
        <v>87.082517189057114</v>
      </c>
      <c r="CX30" s="59">
        <f t="shared" si="14"/>
        <v>376.7491838557238</v>
      </c>
      <c r="CY30" s="59">
        <f ca="1">AVERAGE(OFFSET($CX$3,0,0,'Données projet'!$E$13+1,1))-AVERAGE(OFFSET($H$3,0,0,'Données projet'!$E$13+1,1))</f>
        <v>342.82846711287749</v>
      </c>
      <c r="CZ30" s="59">
        <f t="shared" si="42"/>
        <v>152.87724741106297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9.8000000000000007</v>
      </c>
      <c r="DO30" s="12">
        <f>IF('Données projet'!$A$166&gt;35,DO29+DN30-DW29,IF(A30&lt;'Données projet'!$A$166,$DL$205^A30,IF(A30='Données projet'!$A$166,'Données projet'!$B$166,DO29+DN30-DW29)))</f>
        <v>84.6</v>
      </c>
      <c r="DP30" s="17">
        <f>DO30*VLOOKUP('Données projet'!$B$14,Paramètres!$A$1:$I$89,3,0)*VLOOKUP('Données projet'!$B$14,Paramètres!$A$1:$I$89,5,0)</f>
        <v>62.028719999999993</v>
      </c>
      <c r="DQ30" s="13">
        <f t="shared" si="43"/>
        <v>17.680196195475162</v>
      </c>
      <c r="DR30" s="20">
        <f t="shared" si="16"/>
        <v>138.82636237378588</v>
      </c>
      <c r="DS30" s="59">
        <f t="shared" si="17"/>
        <v>428.4930290404526</v>
      </c>
      <c r="DT30" s="59">
        <f ca="1">AVERAGE(OFFSET($DS$3,0,0,'Données projet'!$E$14+1,1))-AVERAGE(OFFSET($H$3,0,0,'Données projet'!$E$14+1,1))</f>
        <v>208.48147873805715</v>
      </c>
      <c r="DU30" s="59">
        <f t="shared" si="44"/>
        <v>209.50570914630686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15.073076923076925</v>
      </c>
      <c r="EJ30" s="12">
        <f>IF('Données projet'!$A$192&gt;35,EJ29+EI30-ER29,IF(A30&lt;'Données projet'!$A$192,$EG$205^A30,IF(A30='Données projet'!$A$192,'Données projet'!$B$192,EJ29+EI30-ER29)))</f>
        <v>180</v>
      </c>
      <c r="EK30" s="17">
        <f>EJ30*VLOOKUP('Données projet'!$B$15,Paramètres!$A$1:$I$89,3,0)*VLOOKUP('Données projet'!$B$15,Paramètres!$A$1:$I$89,5,0)</f>
        <v>107.64</v>
      </c>
      <c r="EL30" s="13">
        <f t="shared" si="45"/>
        <v>28.774250263353583</v>
      </c>
      <c r="EM30" s="20">
        <f t="shared" si="19"/>
        <v>237.58815254200749</v>
      </c>
      <c r="EN30" s="59">
        <f t="shared" si="20"/>
        <v>527.25481920867423</v>
      </c>
      <c r="EO30" s="59">
        <f ca="1">AVERAGE(OFFSET($EN$3,0,0,'Données projet'!$E$15+1,1))-AVERAGE(OFFSET($H$3,0,0,'Données projet'!$E$15+1,1))</f>
        <v>247.31680974612766</v>
      </c>
      <c r="EP30" s="59">
        <f t="shared" si="46"/>
        <v>257.13949761071882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15.992396649767899</v>
      </c>
      <c r="EX30" s="21">
        <f>EXP(-LN(2)/2)*EX29+(1-EXP(-LN(2)/2))/(LN(2)/2)*ER30*EU30*VLOOKUP('Données projet'!$B$15,Paramètres!$A$1:$I$89,3,0)*0.475*44/12</f>
        <v>4.4210713261531218</v>
      </c>
      <c r="EY30" s="22">
        <f t="shared" si="21"/>
        <v>20.413467975921023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4.9795199999999964</v>
      </c>
      <c r="D31" s="11">
        <f t="shared" si="32"/>
        <v>1.9036492107621732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10.626647202580193</v>
      </c>
      <c r="H31" s="67">
        <f t="shared" si="1"/>
        <v>268.65485304207743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3.4425641025641025</v>
      </c>
      <c r="N31" s="13">
        <f>IF('Données projet'!$A$36&gt;35,N30+M31-V30,IF(A31&lt;'Données projet'!$A$36,$K$205^A31,IF(A31='Données projet'!$A$36,'Données projet'!$B$36,N30+M31-V30)))</f>
        <v>75.81172952673181</v>
      </c>
      <c r="O31" s="13">
        <f>N31*VLOOKUP('Données projet'!$B$9,Paramètres!$A$1:$I$89,3,0)*VLOOKUP('Données projet'!$B$9,Paramètres!$A$1:$I$89,5,0)</f>
        <v>35.479889418510488</v>
      </c>
      <c r="P31" s="13">
        <f t="shared" si="33"/>
        <v>10.7923591061602</v>
      </c>
      <c r="Q31" s="20">
        <f t="shared" si="2"/>
        <v>80.590832847134777</v>
      </c>
      <c r="R31" s="59">
        <f t="shared" si="0"/>
        <v>371.47972173602363</v>
      </c>
      <c r="S31" s="59">
        <f ca="1">AVERAGE(OFFSET($R$3,0,0,'Données projet'!$E$9+1,1))-AVERAGE(OFFSET($H$3,0,0,'Données projet'!$E$9+1,1))</f>
        <v>223.99456146593315</v>
      </c>
      <c r="T31" s="59">
        <f t="shared" si="34"/>
        <v>132.73290587325937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8.8000000000000007</v>
      </c>
      <c r="AI31" s="13">
        <f>IF('Données projet'!$A$62&gt;35,AI30+AH31-AQ30,IF(A31&lt;'Données projet'!$A$62,$AF$205^A31,IF(A31='Données projet'!$A$62,'Données projet'!$B$62,AI30+AH31-AQ30)))</f>
        <v>143.4</v>
      </c>
      <c r="AJ31" s="13">
        <f>AI31*VLOOKUP('Données projet'!$B$10,Paramètres!$A$1:$I$89,3,0)*VLOOKUP('Données projet'!$B$10,Paramètres!$A$1:$I$89,5,0)</f>
        <v>93.955680000000001</v>
      </c>
      <c r="AK31" s="13">
        <f t="shared" si="35"/>
        <v>25.516838392731955</v>
      </c>
      <c r="AL31" s="20">
        <f t="shared" si="4"/>
        <v>208.08130286734149</v>
      </c>
      <c r="AM31" s="59">
        <f t="shared" si="5"/>
        <v>498.97019175623035</v>
      </c>
      <c r="AN31" s="59">
        <f ca="1">AVERAGE(OFFSET($AM$3,0,0,'Données projet'!$E$10+1,1))-AVERAGE(OFFSET($H$3,0,0,'Données projet'!$E$10+1,1))</f>
        <v>244.43587473734613</v>
      </c>
      <c r="AO31" s="59">
        <f t="shared" si="36"/>
        <v>256.80261402149375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0.95335787388364612</v>
      </c>
      <c r="AW31" s="21">
        <f>EXP(-LN(2)/2)*AW30+(1-EXP(-LN(2)/2))/(LN(2)/2)*AQ31*AT31*VLOOKUP('Données projet'!$B$10,Paramètres!$A$1:$I$89,3,0)*0.475*44/12</f>
        <v>1.5014383954397006</v>
      </c>
      <c r="AX31" s="21">
        <f t="shared" si="6"/>
        <v>2.4547962693233467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28</v>
      </c>
      <c r="BD31" s="12">
        <f>IF('Données projet'!$A$88&gt;35,BD30+BC31-BL30,IF(A31&lt;'Données projet'!$A$88,$BA$205^A31,IF(A31='Données projet'!$A$88,'Données projet'!$B$88,BD30+BC31-BL30)))</f>
        <v>365</v>
      </c>
      <c r="BE31" s="13">
        <f>BD31*VLOOKUP('Données projet'!$B$11,Paramètres!$A$1:$I$89,3,0)*VLOOKUP('Données projet'!$B$11,Paramètres!$A$1:$I$89,5,0)</f>
        <v>204.035</v>
      </c>
      <c r="BF31" s="13">
        <f t="shared" si="37"/>
        <v>50.629905099971396</v>
      </c>
      <c r="BG31" s="20">
        <f t="shared" si="7"/>
        <v>443.54137638245015</v>
      </c>
      <c r="BH31" s="59">
        <f t="shared" si="8"/>
        <v>734.43026527133907</v>
      </c>
      <c r="BI31" s="59">
        <f ca="1">AVERAGE(OFFSET($BH$3,0,0,'Données projet'!$E$11+1,1))-AVERAGE(OFFSET($H$3,0,0,'Données projet'!$E$11+1,1))</f>
        <v>430.60186171079067</v>
      </c>
      <c r="BJ31" s="59">
        <f t="shared" si="38"/>
        <v>533.76627289533985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11.304404337509922</v>
      </c>
      <c r="BR31" s="21">
        <f>EXP(-LN(2)/2)*BR30+(1-EXP(-LN(2)/2))/(LN(2)/2)*BL31*BO31*VLOOKUP('Données projet'!$B$11,Paramètres!$A$1:$I$89,3,0)*0.475*44/12</f>
        <v>5.3167812198549642</v>
      </c>
      <c r="BS31" s="22">
        <f t="shared" si="9"/>
        <v>16.621185557364885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10.670769230769233</v>
      </c>
      <c r="BY31" s="12">
        <f>IF('Données projet'!$A$114&gt;35,BY30+BX31-CG30,IF(A31&lt;'Données projet'!$A$114,$BV$205^A31,IF(A31='Données projet'!$A$114,'Données projet'!$B$114,BY30+BX31-CG30)))</f>
        <v>102.0123076923077</v>
      </c>
      <c r="BZ31" s="13">
        <f>BY31*VLOOKUP('Données projet'!$B$12,Paramètres!$A$1:$I$89,3,0)*VLOOKUP('Données projet'!$B$12,Paramètres!$A$1:$I$89,5,0)</f>
        <v>61.003360000000015</v>
      </c>
      <c r="CA31" s="13">
        <f t="shared" si="39"/>
        <v>17.421704526651936</v>
      </c>
      <c r="CB31" s="20">
        <f t="shared" si="10"/>
        <v>136.59032071725215</v>
      </c>
      <c r="CC31" s="59">
        <f t="shared" si="11"/>
        <v>427.47920960614101</v>
      </c>
      <c r="CD31" s="59">
        <f ca="1">AVERAGE(OFFSET($CC$3,0,0,'Données projet'!$E$12+1,1))-AVERAGE(OFFSET($H$3,0,0,'Données projet'!$E$12+1,1))</f>
        <v>215.89467197072673</v>
      </c>
      <c r="CE31" s="59">
        <f t="shared" si="40"/>
        <v>188.21397398859534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9.4264037123278914</v>
      </c>
      <c r="CM31" s="21">
        <f>EXP(-LN(2)/2)*CM30+(1-EXP(-LN(2)/2))/(LN(2)/2)*CG31*CJ31*VLOOKUP('Données projet'!$B$12,Paramètres!$A$1:$I$89,3,0)*0.475*44/12</f>
        <v>5.4187275847278213</v>
      </c>
      <c r="CN31" s="22">
        <f t="shared" si="12"/>
        <v>14.845131297055712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1.8914529914529912</v>
      </c>
      <c r="CT31" s="12">
        <f>IF('Données projet'!$A$140&gt;35,CT30+CS31-DB30,IF(A31&lt;'Données projet'!$A$140,$CQ$205^A31,IF(A31='Données projet'!$A$140,'Données projet'!$B$140,CT30+CS31-DB30)))</f>
        <v>43.349991811189845</v>
      </c>
      <c r="CU31" s="17">
        <f>CT31*VLOOKUP('Données projet'!$B$13,Paramètres!$A$1:$I$89,3,0)*VLOOKUP('Données projet'!$B$13,Paramètres!$A$1:$I$89,5,0)</f>
        <v>43.956891696546506</v>
      </c>
      <c r="CV31" s="13">
        <f t="shared" si="41"/>
        <v>13.041594714348685</v>
      </c>
      <c r="CW31" s="20">
        <f t="shared" si="13"/>
        <v>99.272363832309111</v>
      </c>
      <c r="CX31" s="59">
        <f t="shared" si="14"/>
        <v>390.16125272119797</v>
      </c>
      <c r="CY31" s="59">
        <f ca="1">AVERAGE(OFFSET($CX$3,0,0,'Données projet'!$E$13+1,1))-AVERAGE(OFFSET($H$3,0,0,'Données projet'!$E$13+1,1))</f>
        <v>342.82846711287749</v>
      </c>
      <c r="CZ31" s="59">
        <f t="shared" si="42"/>
        <v>152.87724741106297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9.8000000000000007</v>
      </c>
      <c r="DO31" s="12">
        <f>IF('Données projet'!$A$166&gt;35,DO30+DN31-DW30,IF(A31&lt;'Données projet'!$A$166,$DL$205^A31,IF(A31='Données projet'!$A$166,'Données projet'!$B$166,DO30+DN31-DW30)))</f>
        <v>94.399999999999991</v>
      </c>
      <c r="DP31" s="17">
        <f>DO31*VLOOKUP('Données projet'!$B$14,Paramètres!$A$1:$I$89,3,0)*VLOOKUP('Données projet'!$B$14,Paramètres!$A$1:$I$89,5,0)</f>
        <v>69.214079999999996</v>
      </c>
      <c r="DQ31" s="13">
        <f t="shared" si="43"/>
        <v>19.478157867807194</v>
      </c>
      <c r="DR31" s="20">
        <f t="shared" si="16"/>
        <v>154.47231428643084</v>
      </c>
      <c r="DS31" s="59">
        <f t="shared" si="17"/>
        <v>445.3612031753197</v>
      </c>
      <c r="DT31" s="59">
        <f ca="1">AVERAGE(OFFSET($DS$3,0,0,'Données projet'!$E$14+1,1))-AVERAGE(OFFSET($H$3,0,0,'Données projet'!$E$14+1,1))</f>
        <v>208.48147873805715</v>
      </c>
      <c r="DU31" s="59">
        <f t="shared" si="44"/>
        <v>209.50570914630686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15.073076923076925</v>
      </c>
      <c r="EJ31" s="12">
        <f>IF('Données projet'!$A$192&gt;35,EJ30+EI31-ER30,IF(A31&lt;'Données projet'!$A$192,$EG$205^A31,IF(A31='Données projet'!$A$192,'Données projet'!$B$192,EJ30+EI31-ER30)))</f>
        <v>195.07307692307694</v>
      </c>
      <c r="EK31" s="17">
        <f>EJ31*VLOOKUP('Données projet'!$B$15,Paramètres!$A$1:$I$89,3,0)*VLOOKUP('Données projet'!$B$15,Paramètres!$A$1:$I$89,5,0)</f>
        <v>116.65370000000001</v>
      </c>
      <c r="EL31" s="13">
        <f t="shared" si="45"/>
        <v>30.893249762406356</v>
      </c>
      <c r="EM31" s="20">
        <f t="shared" si="19"/>
        <v>256.9776041695244</v>
      </c>
      <c r="EN31" s="59">
        <f t="shared" si="20"/>
        <v>547.8664930584132</v>
      </c>
      <c r="EO31" s="59">
        <f ca="1">AVERAGE(OFFSET($EN$3,0,0,'Données projet'!$E$15+1,1))-AVERAGE(OFFSET($H$3,0,0,'Données projet'!$E$15+1,1))</f>
        <v>247.31680974612766</v>
      </c>
      <c r="EP31" s="59">
        <f t="shared" si="46"/>
        <v>257.13949761071882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15.555083722376407</v>
      </c>
      <c r="EX31" s="21">
        <f>EXP(-LN(2)/2)*EX30+(1-EXP(-LN(2)/2))/(LN(2)/2)*ER31*EU31*VLOOKUP('Données projet'!$B$15,Paramètres!$A$1:$I$89,3,0)*0.475*44/12</f>
        <v>3.126169514832275</v>
      </c>
      <c r="EY31" s="22">
        <f t="shared" si="21"/>
        <v>18.681253237208683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5.1573599999999962</v>
      </c>
      <c r="D32" s="11">
        <f t="shared" si="32"/>
        <v>1.9635997021879992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10.993762347237611</v>
      </c>
      <c r="H32" s="67">
        <f t="shared" si="1"/>
        <v>269.06900481464413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3.4425641025641025</v>
      </c>
      <c r="N32" s="13">
        <f>IF('Données projet'!$A$36&gt;35,N31+M32-V31,IF(A32&lt;'Données projet'!$A$36,$K$205^A32,IF(A32='Données projet'!$A$36,'Données projet'!$B$36,N31+M32-V31)))</f>
        <v>88.485039179856727</v>
      </c>
      <c r="O32" s="13">
        <f>N32*VLOOKUP('Données projet'!$B$9,Paramètres!$A$1:$I$89,3,0)*VLOOKUP('Données projet'!$B$9,Paramètres!$A$1:$I$89,5,0)</f>
        <v>41.410998336172952</v>
      </c>
      <c r="P32" s="13">
        <f t="shared" si="33"/>
        <v>12.371874273168087</v>
      </c>
      <c r="Q32" s="20">
        <f t="shared" si="2"/>
        <v>93.671836461268967</v>
      </c>
      <c r="R32" s="59">
        <f t="shared" si="0"/>
        <v>385.78294757238012</v>
      </c>
      <c r="S32" s="59">
        <f ca="1">AVERAGE(OFFSET($R$3,0,0,'Données projet'!$E$9+1,1))-AVERAGE(OFFSET($H$3,0,0,'Données projet'!$E$9+1,1))</f>
        <v>223.99456146593315</v>
      </c>
      <c r="T32" s="59">
        <f t="shared" si="34"/>
        <v>132.73290587325937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8.8000000000000007</v>
      </c>
      <c r="AI32" s="13">
        <f>IF('Données projet'!$A$62&gt;35,AI31+AH32-AQ31,IF(A32&lt;'Données projet'!$A$62,$AF$205^A32,IF(A32='Données projet'!$A$62,'Données projet'!$B$62,AI31+AH32-AQ31)))</f>
        <v>152.20000000000002</v>
      </c>
      <c r="AJ32" s="13">
        <f>AI32*VLOOKUP('Données projet'!$B$10,Paramètres!$A$1:$I$89,3,0)*VLOOKUP('Données projet'!$B$10,Paramètres!$A$1:$I$89,5,0)</f>
        <v>99.721440000000015</v>
      </c>
      <c r="AK32" s="13">
        <f t="shared" si="35"/>
        <v>26.895623699520389</v>
      </c>
      <c r="AL32" s="20">
        <f t="shared" si="4"/>
        <v>220.52471927666468</v>
      </c>
      <c r="AM32" s="59">
        <f t="shared" si="5"/>
        <v>512.63583038777585</v>
      </c>
      <c r="AN32" s="59">
        <f ca="1">AVERAGE(OFFSET($AM$3,0,0,'Données projet'!$E$10+1,1))-AVERAGE(OFFSET($H$3,0,0,'Données projet'!$E$10+1,1))</f>
        <v>244.43587473734613</v>
      </c>
      <c r="AO32" s="59">
        <f t="shared" si="36"/>
        <v>256.80261402149375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0.92728825268738613</v>
      </c>
      <c r="AW32" s="21">
        <f>EXP(-LN(2)/2)*AW31+(1-EXP(-LN(2)/2))/(LN(2)/2)*AQ32*AT32*VLOOKUP('Données projet'!$B$10,Paramètres!$A$1:$I$89,3,0)*0.475*44/12</f>
        <v>1.0616772709492615</v>
      </c>
      <c r="AX32" s="21">
        <f t="shared" si="6"/>
        <v>1.9889655236366477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28</v>
      </c>
      <c r="BD32" s="12">
        <f>IF('Données projet'!$A$88&gt;35,BD31+BC32-BL31,IF(A32&lt;'Données projet'!$A$88,$BA$205^A32,IF(A32='Données projet'!$A$88,'Données projet'!$B$88,BD31+BC32-BL31)))</f>
        <v>393</v>
      </c>
      <c r="BE32" s="13">
        <f>BD32*VLOOKUP('Données projet'!$B$11,Paramètres!$A$1:$I$89,3,0)*VLOOKUP('Données projet'!$B$11,Paramètres!$A$1:$I$89,5,0)</f>
        <v>219.68700000000001</v>
      </c>
      <c r="BF32" s="13">
        <f t="shared" si="37"/>
        <v>54.046851081096591</v>
      </c>
      <c r="BG32" s="20">
        <f t="shared" si="7"/>
        <v>476.75312396624321</v>
      </c>
      <c r="BH32" s="59">
        <f t="shared" si="8"/>
        <v>768.86423507735435</v>
      </c>
      <c r="BI32" s="59">
        <f ca="1">AVERAGE(OFFSET($BH$3,0,0,'Données projet'!$E$11+1,1))-AVERAGE(OFFSET($H$3,0,0,'Données projet'!$E$11+1,1))</f>
        <v>430.60186171079067</v>
      </c>
      <c r="BJ32" s="59">
        <f t="shared" si="38"/>
        <v>533.76627289533985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10.995284806427925</v>
      </c>
      <c r="BR32" s="21">
        <f>EXP(-LN(2)/2)*BR31+(1-EXP(-LN(2)/2))/(LN(2)/2)*BL32*BO32*VLOOKUP('Données projet'!$B$11,Paramètres!$A$1:$I$89,3,0)*0.475*44/12</f>
        <v>3.7595320546447297</v>
      </c>
      <c r="BS32" s="22">
        <f t="shared" si="9"/>
        <v>14.754816861072655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10.670769230769233</v>
      </c>
      <c r="BY32" s="12">
        <f>IF('Données projet'!$A$114&gt;35,BY31+BX32-CG31,IF(A32&lt;'Données projet'!$A$114,$BV$205^A32,IF(A32='Données projet'!$A$114,'Données projet'!$B$114,BY31+BX32-CG31)))</f>
        <v>112.68307692307694</v>
      </c>
      <c r="BZ32" s="13">
        <f>BY32*VLOOKUP('Données projet'!$B$12,Paramètres!$A$1:$I$89,3,0)*VLOOKUP('Données projet'!$B$12,Paramètres!$A$1:$I$89,5,0)</f>
        <v>67.384480000000025</v>
      </c>
      <c r="CA32" s="13">
        <f t="shared" si="39"/>
        <v>19.022499264944969</v>
      </c>
      <c r="CB32" s="20">
        <f t="shared" si="10"/>
        <v>150.49215555311253</v>
      </c>
      <c r="CC32" s="59">
        <f t="shared" si="11"/>
        <v>442.60326666422367</v>
      </c>
      <c r="CD32" s="59">
        <f ca="1">AVERAGE(OFFSET($CC$3,0,0,'Données projet'!$E$12+1,1))-AVERAGE(OFFSET($H$3,0,0,'Données projet'!$E$12+1,1))</f>
        <v>215.89467197072673</v>
      </c>
      <c r="CE32" s="59">
        <f t="shared" si="40"/>
        <v>188.21397398859534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9.1686382071012584</v>
      </c>
      <c r="CM32" s="21">
        <f>EXP(-LN(2)/2)*CM31+(1-EXP(-LN(2)/2))/(LN(2)/2)*CG32*CJ32*VLOOKUP('Données projet'!$B$12,Paramètres!$A$1:$I$89,3,0)*0.475*44/12</f>
        <v>3.8316190205636449</v>
      </c>
      <c r="CN32" s="22">
        <f t="shared" si="12"/>
        <v>13.000257227664903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1.8914529914529912</v>
      </c>
      <c r="CT32" s="12">
        <f>IF('Données projet'!$A$140&gt;35,CT31+CS32-DB31,IF(A32&lt;'Données projet'!$A$140,$CQ$205^A32,IF(A32='Données projet'!$A$140,'Données projet'!$B$140,CT31+CS32-DB31)))</f>
        <v>49.596715120279256</v>
      </c>
      <c r="CU32" s="17">
        <f>CT32*VLOOKUP('Données projet'!$B$13,Paramètres!$A$1:$I$89,3,0)*VLOOKUP('Données projet'!$B$13,Paramètres!$A$1:$I$89,5,0)</f>
        <v>50.291069131963162</v>
      </c>
      <c r="CV32" s="13">
        <f t="shared" si="41"/>
        <v>14.688904123183285</v>
      </c>
      <c r="CW32" s="20">
        <f t="shared" si="13"/>
        <v>113.17345341938005</v>
      </c>
      <c r="CX32" s="59">
        <f t="shared" si="14"/>
        <v>405.2845645304912</v>
      </c>
      <c r="CY32" s="59">
        <f ca="1">AVERAGE(OFFSET($CX$3,0,0,'Données projet'!$E$13+1,1))-AVERAGE(OFFSET($H$3,0,0,'Données projet'!$E$13+1,1))</f>
        <v>342.82846711287749</v>
      </c>
      <c r="CZ32" s="59">
        <f t="shared" si="42"/>
        <v>152.87724741106297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9.8000000000000007</v>
      </c>
      <c r="DO32" s="12">
        <f>IF('Données projet'!$A$166&gt;35,DO31+DN32-DW31,IF(A32&lt;'Données projet'!$A$166,$DL$205^A32,IF(A32='Données projet'!$A$166,'Données projet'!$B$166,DO31+DN32-DW31)))</f>
        <v>104.19999999999999</v>
      </c>
      <c r="DP32" s="17">
        <f>DO32*VLOOKUP('Données projet'!$B$14,Paramètres!$A$1:$I$89,3,0)*VLOOKUP('Données projet'!$B$14,Paramètres!$A$1:$I$89,5,0)</f>
        <v>76.399439999999984</v>
      </c>
      <c r="DQ32" s="13">
        <f t="shared" si="43"/>
        <v>21.254482911552948</v>
      </c>
      <c r="DR32" s="20">
        <f t="shared" si="16"/>
        <v>170.08058240428804</v>
      </c>
      <c r="DS32" s="59">
        <f t="shared" si="17"/>
        <v>462.19169351539915</v>
      </c>
      <c r="DT32" s="59">
        <f ca="1">AVERAGE(OFFSET($DS$3,0,0,'Données projet'!$E$14+1,1))-AVERAGE(OFFSET($H$3,0,0,'Données projet'!$E$14+1,1))</f>
        <v>208.48147873805715</v>
      </c>
      <c r="DU32" s="59">
        <f t="shared" si="44"/>
        <v>209.50570914630686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>
        <f>VLOOKUP(A32,'Données projet'!$A$191:$I$211,2,0)</f>
        <v>210.14615384615385</v>
      </c>
      <c r="EH32" s="12">
        <f>VLOOKUP(A32,'Données projet'!$A$191:$I$211,9,0)</f>
        <v>15.073076923076925</v>
      </c>
      <c r="EI32" s="12">
        <f t="array" ref="EI32">INDEX(EH:EH,MIN(IF(ISNUMBER(EH32:EH228),ROW(EH32:EH228),"")))</f>
        <v>15.073076923076925</v>
      </c>
      <c r="EJ32" s="12">
        <f>IF('Données projet'!$A$192&gt;35,EJ31+EI32-ER31,IF(A32&lt;'Données projet'!$A$192,$EG$205^A32,IF(A32='Données projet'!$A$192,'Données projet'!$B$192,EJ31+EI32-ER31)))</f>
        <v>210.14615384615388</v>
      </c>
      <c r="EK32" s="17">
        <f>EJ32*VLOOKUP('Données projet'!$B$15,Paramètres!$A$1:$I$89,3,0)*VLOOKUP('Données projet'!$B$15,Paramètres!$A$1:$I$89,5,0)</f>
        <v>125.66740000000003</v>
      </c>
      <c r="EL32" s="13">
        <f t="shared" si="45"/>
        <v>32.993256286656127</v>
      </c>
      <c r="EM32" s="20">
        <f t="shared" si="19"/>
        <v>276.33397636592611</v>
      </c>
      <c r="EN32" s="59">
        <f t="shared" si="20"/>
        <v>568.4450874770373</v>
      </c>
      <c r="EO32" s="59">
        <f ca="1">AVERAGE(OFFSET($EN$3,0,0,'Données projet'!$E$15+1,1))-AVERAGE(OFFSET($H$3,0,0,'Données projet'!$E$15+1,1))</f>
        <v>247.31680974612766</v>
      </c>
      <c r="EP32" s="59">
        <f t="shared" si="46"/>
        <v>257.13949761071882</v>
      </c>
      <c r="EQ32" s="15">
        <f>IF(ISNA(VLOOKUP(A32,'Données projet'!$A$191:$I$211,3,0)),0,VLOOKUP(A32,'Données projet'!$A$191:$I$211,3,0))</f>
        <v>3</v>
      </c>
      <c r="ER32" s="15">
        <f>IF(ISNA(VLOOKUP(A32,'Données projet'!$A$191:$I$211,4,0)),0,VLOOKUP(A32,'Données projet'!$A$191:$I$211,4,0))</f>
        <v>47.661538461538463</v>
      </c>
      <c r="ES32" s="16">
        <f>IF(ISNA(VLOOKUP(A32,'Données projet'!$A$191:$I$211,5,0)),0%,VLOOKUP(A32,'Données projet'!$A$191:$I$211,5,0)*VLOOKUP('Données projet'!$B$15,Paramètres!$A$1:$I$89,7,0))</f>
        <v>0.315</v>
      </c>
      <c r="ET32" s="16">
        <f>IF(ISNA(VLOOKUP(A32,'Données projet'!$A$191:$I$211,6,0)),0%,VLOOKUP(A32,'Données projet'!$A$191:$I$211,6,0)*VLOOKUP('Données projet'!$B$15,Paramètres!$A$1:$I$89,7,0))</f>
        <v>7.5600000000000001E-2</v>
      </c>
      <c r="EU32" s="16">
        <f>IF(ISNA(VLOOKUP(A32,'Données projet'!$A$191:$I$211,7,0)),0%,VLOOKUP(A32,'Données projet'!$A$191:$I$211,7,0))</f>
        <v>0.13200000000000001</v>
      </c>
      <c r="EV32" s="21">
        <f>EXP(-LN(2)/35)*EV31+(1-EXP(-LN(2)/35))/(LN(2)/35)*ER32*ES32*VLOOKUP('Données projet'!$B$15,Paramètres!$A$1:$I$89,3,0)*0.475*44/12</f>
        <v>11.909900987194014</v>
      </c>
      <c r="EW32" s="21">
        <f>EXP(-LN(2)/25)*EW31+(1-EXP(-LN(2)/25))/(LN(2)/25)*Calculateur!ER32*Calculateur!ET32*VLOOKUP('Données projet'!$B$15,Paramètres!$A$1:$I$89,3,0)*0.475*44/12</f>
        <v>17.976850860536775</v>
      </c>
      <c r="EX32" s="21">
        <f>EXP(-LN(2)/2)*EX31+(1-EXP(-LN(2)/2))/(LN(2)/2)*ER32*EU32*VLOOKUP('Données projet'!$B$15,Paramètres!$A$1:$I$89,3,0)*0.475*44/12</f>
        <v>6.4702326938323633</v>
      </c>
      <c r="EY32" s="22">
        <f t="shared" si="21"/>
        <v>36.356984541563151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5.3351999999999959</v>
      </c>
      <c r="D33" s="11">
        <f t="shared" si="32"/>
        <v>2.0233099967312564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11.36050666162018</v>
      </c>
      <c r="H33" s="67">
        <f t="shared" si="1"/>
        <v>269.48273824430697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103.27692307692307</v>
      </c>
      <c r="L33" s="12">
        <f>VLOOKUP(A33,'Données projet'!$A$35:$I$55,9,0)</f>
        <v>3.4425641025641025</v>
      </c>
      <c r="M33" s="12">
        <f t="array" ref="M33">INDEX(L:L,MIN(IF(ISNUMBER(L33:L229),ROW(L33:L229),"")))</f>
        <v>3.4425641025641025</v>
      </c>
      <c r="N33" s="13">
        <f>IF('Données projet'!$A$36&gt;35,N32+M33-V32,IF(A33&lt;'Données projet'!$A$36,$K$205^A33,IF(A33='Données projet'!$A$36,'Données projet'!$B$36,N32+M33-V32)))</f>
        <v>103.27692307692307</v>
      </c>
      <c r="O33" s="13">
        <f>N33*VLOOKUP('Données projet'!$B$9,Paramètres!$A$1:$I$89,3,0)*VLOOKUP('Données projet'!$B$9,Paramètres!$A$1:$I$89,5,0)</f>
        <v>48.333599999999997</v>
      </c>
      <c r="P33" s="13">
        <f t="shared" si="33"/>
        <v>14.182559301951969</v>
      </c>
      <c r="Q33" s="20">
        <f t="shared" si="2"/>
        <v>108.88231078423301</v>
      </c>
      <c r="R33" s="59">
        <f t="shared" si="0"/>
        <v>402.21564411756634</v>
      </c>
      <c r="S33" s="59">
        <f ca="1">AVERAGE(OFFSET($R$3,0,0,'Données projet'!$E$9+1,1))-AVERAGE(OFFSET($H$3,0,0,'Données projet'!$E$9+1,1))</f>
        <v>223.99456146593315</v>
      </c>
      <c r="T33" s="59">
        <f t="shared" si="34"/>
        <v>132.73290587325937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161</v>
      </c>
      <c r="AG33" s="12">
        <f>VLOOKUP(A33,'Données projet'!$A$61:$I$81,9,0)</f>
        <v>8.8000000000000007</v>
      </c>
      <c r="AH33" s="12">
        <f t="array" ref="AH33">INDEX(AG:AG,MIN(IF(ISNUMBER(AG33:AG229),ROW(AG33:AG229),"")))</f>
        <v>8.8000000000000007</v>
      </c>
      <c r="AI33" s="13">
        <f>IF('Données projet'!$A$62&gt;35,AI32+AH33-AQ32,IF(A33&lt;'Données projet'!$A$62,$AF$205^A33,IF(A33='Données projet'!$A$62,'Données projet'!$B$62,AI32+AH33-AQ32)))</f>
        <v>161.00000000000003</v>
      </c>
      <c r="AJ33" s="13">
        <f>AI33*VLOOKUP('Données projet'!$B$10,Paramètres!$A$1:$I$89,3,0)*VLOOKUP('Données projet'!$B$10,Paramètres!$A$1:$I$89,5,0)</f>
        <v>105.48720000000002</v>
      </c>
      <c r="AK33" s="13">
        <f t="shared" si="35"/>
        <v>28.265155367923839</v>
      </c>
      <c r="AL33" s="20">
        <f t="shared" si="4"/>
        <v>232.95201893246738</v>
      </c>
      <c r="AM33" s="59">
        <f t="shared" si="5"/>
        <v>526.28535226580073</v>
      </c>
      <c r="AN33" s="59">
        <f ca="1">AVERAGE(OFFSET($AM$3,0,0,'Données projet'!$E$10+1,1))-AVERAGE(OFFSET($H$3,0,0,'Données projet'!$E$10+1,1))</f>
        <v>244.43587473734613</v>
      </c>
      <c r="AO33" s="59">
        <f t="shared" si="36"/>
        <v>256.80261402149375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23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4.3000000000000003E-2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1.6154478620936921</v>
      </c>
      <c r="AW33" s="21">
        <f>EXP(-LN(2)/2)*AW32+(1-EXP(-LN(2)/2))/(LN(2)/2)*AQ33*AT33*VLOOKUP('Données projet'!$B$10,Paramètres!$A$1:$I$89,3,0)*0.475*44/12</f>
        <v>5.0162911554210581</v>
      </c>
      <c r="AX33" s="21">
        <f t="shared" si="6"/>
        <v>6.6317390175147501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421</v>
      </c>
      <c r="BB33" s="12">
        <f>VLOOKUP(A33,'Données projet'!$A$87:$I$107,9,0)</f>
        <v>28</v>
      </c>
      <c r="BC33" s="12">
        <f t="array" ref="BC33">INDEX(BB:BB,MIN(IF(ISNUMBER(BB33:BB229),ROW(BB33:BB229),"")))</f>
        <v>28</v>
      </c>
      <c r="BD33" s="12">
        <f>IF('Données projet'!$A$88&gt;35,BD32+BC33-BL32,IF(A33&lt;'Données projet'!$A$88,$BA$205^A33,IF(A33='Données projet'!$A$88,'Données projet'!$B$88,BD32+BC33-BL32)))</f>
        <v>421</v>
      </c>
      <c r="BE33" s="13">
        <f>BD33*VLOOKUP('Données projet'!$B$11,Paramètres!$A$1:$I$89,3,0)*VLOOKUP('Données projet'!$B$11,Paramètres!$A$1:$I$89,5,0)</f>
        <v>235.339</v>
      </c>
      <c r="BF33" s="13">
        <f t="shared" si="37"/>
        <v>57.43555185051494</v>
      </c>
      <c r="BG33" s="20">
        <f t="shared" si="7"/>
        <v>509.91567780631357</v>
      </c>
      <c r="BH33" s="59">
        <f t="shared" si="8"/>
        <v>803.24901113964688</v>
      </c>
      <c r="BI33" s="59">
        <f ca="1">AVERAGE(OFFSET($BH$3,0,0,'Données projet'!$E$11+1,1))-AVERAGE(OFFSET($H$3,0,0,'Données projet'!$E$11+1,1))</f>
        <v>430.60186171079067</v>
      </c>
      <c r="BJ33" s="59">
        <f t="shared" si="38"/>
        <v>533.76627289533985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54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15.416814740980714</v>
      </c>
      <c r="BQ33" s="21">
        <f>EXP(-LN(2)/25)*BQ32+(1-EXP(-LN(2)/25))/(LN(2)/25)*Calculateur!BL33*Calculateur!BN33*VLOOKUP('Données projet'!$B$11,Paramètres!$A$1:$I$89,3,0)*0.475*44/12</f>
        <v>14.380085253278102</v>
      </c>
      <c r="BR33" s="21">
        <f>EXP(-LN(2)/2)*BR32+(1-EXP(-LN(2)/2))/(LN(2)/2)*BL33*BO33*VLOOKUP('Données projet'!$B$11,Paramètres!$A$1:$I$89,3,0)*0.475*44/12</f>
        <v>7.1698290755011582</v>
      </c>
      <c r="BS33" s="22">
        <f t="shared" si="9"/>
        <v>36.966729069759971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123.35384615384616</v>
      </c>
      <c r="BW33" s="12">
        <f>VLOOKUP(A33,'Données projet'!$A$113:$I$133,9,0)</f>
        <v>10.670769230769233</v>
      </c>
      <c r="BX33" s="12">
        <f t="array" ref="BX33">INDEX(BW:BW,MIN(IF(ISNUMBER(BW33:BW229),ROW(BW33:BW229),"")))</f>
        <v>10.670769230769233</v>
      </c>
      <c r="BY33" s="12">
        <f>IF('Données projet'!$A$114&gt;35,BY32+BX33-CG32,IF(A33&lt;'Données projet'!$A$114,$BV$205^A33,IF(A33='Données projet'!$A$114,'Données projet'!$B$114,BY32+BX33-CG32)))</f>
        <v>123.35384615384618</v>
      </c>
      <c r="BZ33" s="13">
        <f>BY33*VLOOKUP('Données projet'!$B$12,Paramètres!$A$1:$I$89,3,0)*VLOOKUP('Données projet'!$B$12,Paramètres!$A$1:$I$89,5,0)</f>
        <v>73.76560000000002</v>
      </c>
      <c r="CA33" s="13">
        <f t="shared" si="39"/>
        <v>20.605718028460643</v>
      </c>
      <c r="CB33" s="20">
        <f t="shared" si="10"/>
        <v>164.36337889956897</v>
      </c>
      <c r="CC33" s="59">
        <f t="shared" si="11"/>
        <v>457.69671223290231</v>
      </c>
      <c r="CD33" s="59">
        <f ca="1">AVERAGE(OFFSET($CC$3,0,0,'Données projet'!$E$12+1,1))-AVERAGE(OFFSET($H$3,0,0,'Données projet'!$E$12+1,1))</f>
        <v>215.89467197072673</v>
      </c>
      <c r="CE33" s="59">
        <f t="shared" si="40"/>
        <v>188.21397398859534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8.9179213131703463</v>
      </c>
      <c r="CM33" s="21">
        <f>EXP(-LN(2)/2)*CM32+(1-EXP(-LN(2)/2))/(LN(2)/2)*CG33*CJ33*VLOOKUP('Données projet'!$B$12,Paramètres!$A$1:$I$89,3,0)*0.475*44/12</f>
        <v>2.7093637923639111</v>
      </c>
      <c r="CN33" s="22">
        <f t="shared" si="12"/>
        <v>11.627285105534257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56.743589743589737</v>
      </c>
      <c r="CR33" s="12">
        <f>VLOOKUP(A33,'Données projet'!$A$139:$I$159,9,0)</f>
        <v>1.8914529914529912</v>
      </c>
      <c r="CS33" s="12">
        <f t="array" ref="CS33">INDEX(CR:CR,MIN(IF(ISNUMBER(CR33:CR229),ROW(CR33:CR229),"")))</f>
        <v>1.8914529914529912</v>
      </c>
      <c r="CT33" s="12">
        <f>IF('Données projet'!$A$140&gt;35,CT32+CS33-DB32,IF(A33&lt;'Données projet'!$A$140,$CQ$205^A33,IF(A33='Données projet'!$A$140,'Données projet'!$B$140,CT32+CS33-DB32)))</f>
        <v>56.743589743589737</v>
      </c>
      <c r="CU33" s="17">
        <f>CT33*VLOOKUP('Données projet'!$B$13,Paramètres!$A$1:$I$89,3,0)*VLOOKUP('Données projet'!$B$13,Paramètres!$A$1:$I$89,5,0)</f>
        <v>57.538000000000004</v>
      </c>
      <c r="CV33" s="13">
        <f t="shared" si="41"/>
        <v>16.544288414566488</v>
      </c>
      <c r="CW33" s="20">
        <f t="shared" si="13"/>
        <v>129.02665232203663</v>
      </c>
      <c r="CX33" s="59">
        <f t="shared" si="14"/>
        <v>422.35998565536994</v>
      </c>
      <c r="CY33" s="59">
        <f ca="1">AVERAGE(OFFSET($CX$3,0,0,'Données projet'!$E$13+1,1))-AVERAGE(OFFSET($H$3,0,0,'Données projet'!$E$13+1,1))</f>
        <v>342.82846711287749</v>
      </c>
      <c r="CZ33" s="59">
        <f t="shared" si="42"/>
        <v>152.87724741106297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114</v>
      </c>
      <c r="DM33" s="12">
        <f>VLOOKUP(A33,'Données projet'!$A$165:$I$185,9,0)</f>
        <v>9.8000000000000007</v>
      </c>
      <c r="DN33" s="12">
        <f t="array" ref="DN33">INDEX(DM:DM,MIN(IF(ISNUMBER(DM33:DM229),ROW(DM33:DM229),"")))</f>
        <v>9.8000000000000007</v>
      </c>
      <c r="DO33" s="12">
        <f>IF('Données projet'!$A$166&gt;35,DO32+DN33-DW32,IF(A33&lt;'Données projet'!$A$166,$DL$205^A33,IF(A33='Données projet'!$A$166,'Données projet'!$B$166,DO32+DN33-DW32)))</f>
        <v>113.99999999999999</v>
      </c>
      <c r="DP33" s="17">
        <f>DO33*VLOOKUP('Données projet'!$B$14,Paramètres!$A$1:$I$89,3,0)*VLOOKUP('Données projet'!$B$14,Paramètres!$A$1:$I$89,5,0)</f>
        <v>83.584799999999987</v>
      </c>
      <c r="DQ33" s="13">
        <f t="shared" si="43"/>
        <v>23.011437736237617</v>
      </c>
      <c r="DR33" s="20">
        <f t="shared" si="16"/>
        <v>185.65511405728049</v>
      </c>
      <c r="DS33" s="59">
        <f t="shared" si="17"/>
        <v>478.98844739061383</v>
      </c>
      <c r="DT33" s="59">
        <f ca="1">AVERAGE(OFFSET($DS$3,0,0,'Données projet'!$E$14+1,1))-AVERAGE(OFFSET($H$3,0,0,'Données projet'!$E$14+1,1))</f>
        <v>208.48147873805715</v>
      </c>
      <c r="DU33" s="59">
        <f t="shared" si="44"/>
        <v>209.50570914630686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2.1500000000000002E-2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0.36451379027913661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0.36451379027913661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176.66153846153844</v>
      </c>
      <c r="EH33" s="12">
        <f>VLOOKUP(A33,'Données projet'!$A$191:$I$211,9,0)</f>
        <v>14.17692307692306</v>
      </c>
      <c r="EI33" s="12">
        <f t="array" ref="EI33">INDEX(EH:EH,MIN(IF(ISNUMBER(EH33:EH229),ROW(EH33:EH229),"")))</f>
        <v>14.17692307692306</v>
      </c>
      <c r="EJ33" s="12">
        <f>IF('Données projet'!$A$192&gt;35,EJ32+EI33-ER32,IF(A33&lt;'Données projet'!$A$192,$EG$205^A33,IF(A33='Données projet'!$A$192,'Données projet'!$B$192,EJ32+EI33-ER32)))</f>
        <v>176.66153846153847</v>
      </c>
      <c r="EK33" s="17">
        <f>EJ33*VLOOKUP('Données projet'!$B$15,Paramètres!$A$1:$I$89,3,0)*VLOOKUP('Données projet'!$B$15,Paramètres!$A$1:$I$89,5,0)</f>
        <v>105.64360000000001</v>
      </c>
      <c r="EL33" s="13">
        <f t="shared" si="45"/>
        <v>28.302181352167882</v>
      </c>
      <c r="EM33" s="20">
        <f t="shared" si="19"/>
        <v>233.28890252169242</v>
      </c>
      <c r="EN33" s="59">
        <f t="shared" si="20"/>
        <v>526.62223585502579</v>
      </c>
      <c r="EO33" s="59">
        <f ca="1">AVERAGE(OFFSET($EN$3,0,0,'Données projet'!$E$15+1,1))-AVERAGE(OFFSET($H$3,0,0,'Données projet'!$E$15+1,1))</f>
        <v>247.31680974612766</v>
      </c>
      <c r="EP33" s="59">
        <f t="shared" si="46"/>
        <v>257.13949761071882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11.676355093157449</v>
      </c>
      <c r="EW33" s="21">
        <f>EXP(-LN(2)/25)*EW32+(1-EXP(-LN(2)/25))/(LN(2)/25)*Calculateur!ER33*Calculateur!ET33*VLOOKUP('Données projet'!$B$15,Paramètres!$A$1:$I$89,3,0)*0.475*44/12</f>
        <v>17.485272928393897</v>
      </c>
      <c r="EX33" s="21">
        <f>EXP(-LN(2)/2)*EX32+(1-EXP(-LN(2)/2))/(LN(2)/2)*ER33*EU33*VLOOKUP('Données projet'!$B$15,Paramètres!$A$1:$I$89,3,0)*0.475*44/12</f>
        <v>4.5751454136637673</v>
      </c>
      <c r="EY33" s="22">
        <f t="shared" si="21"/>
        <v>33.736773435215113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5.5130399999999957</v>
      </c>
      <c r="D34" s="11">
        <f t="shared" si="32"/>
        <v>2.0827890189571572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11.726893924004026</v>
      </c>
      <c r="H34" s="67">
        <f t="shared" si="1"/>
        <v>269.89606887468375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10.407692307692306</v>
      </c>
      <c r="N34" s="13">
        <f>IF('Données projet'!$A$36&gt;35,N33+M34-V33,IF(A34&lt;'Données projet'!$A$36,$K$205^A34,IF(A34='Données projet'!$A$36,'Données projet'!$B$36,N33+M34-V33)))</f>
        <v>113.68461538461537</v>
      </c>
      <c r="O34" s="13">
        <f>N34*VLOOKUP('Données projet'!$B$9,Paramètres!$A$1:$I$89,3,0)*VLOOKUP('Données projet'!$B$9,Paramètres!$A$1:$I$89,5,0)</f>
        <v>53.204399999999993</v>
      </c>
      <c r="P34" s="13">
        <f t="shared" si="33"/>
        <v>15.43829445428918</v>
      </c>
      <c r="Q34" s="20">
        <f t="shared" si="2"/>
        <v>119.55269284122029</v>
      </c>
      <c r="R34" s="59">
        <f t="shared" si="0"/>
        <v>412.88602617455359</v>
      </c>
      <c r="S34" s="59">
        <f ca="1">AVERAGE(OFFSET($R$3,0,0,'Données projet'!$E$9+1,1))-AVERAGE(OFFSET($H$3,0,0,'Données projet'!$E$9+1,1))</f>
        <v>223.99456146593315</v>
      </c>
      <c r="T34" s="59">
        <f t="shared" si="34"/>
        <v>132.73290587325937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</v>
      </c>
      <c r="AI34" s="13">
        <f>IF('Données projet'!$A$62&gt;35,AI33+AH34-AQ33,IF(A34&lt;'Données projet'!$A$62,$AF$205^A34,IF(A34='Données projet'!$A$62,'Données projet'!$B$62,AI33+AH34-AQ33)))</f>
        <v>146.60000000000002</v>
      </c>
      <c r="AJ34" s="13">
        <f>AI34*VLOOKUP('Données projet'!$B$10,Paramètres!$A$1:$I$89,3,0)*VLOOKUP('Données projet'!$B$10,Paramètres!$A$1:$I$89,5,0)</f>
        <v>96.052320000000023</v>
      </c>
      <c r="AK34" s="13">
        <f t="shared" si="35"/>
        <v>26.019324001860248</v>
      </c>
      <c r="AL34" s="20">
        <f t="shared" si="4"/>
        <v>212.60811330323997</v>
      </c>
      <c r="AM34" s="59">
        <f t="shared" si="5"/>
        <v>505.94144663657329</v>
      </c>
      <c r="AN34" s="59">
        <f ca="1">AVERAGE(OFFSET($AM$3,0,0,'Données projet'!$E$10+1,1))-AVERAGE(OFFSET($H$3,0,0,'Données projet'!$E$10+1,1))</f>
        <v>244.43587473734613</v>
      </c>
      <c r="AO34" s="59">
        <f t="shared" si="36"/>
        <v>256.80261402149375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1.5712733553520291</v>
      </c>
      <c r="AW34" s="21">
        <f>EXP(-LN(2)/2)*AW33+(1-EXP(-LN(2)/2))/(LN(2)/2)*AQ34*AT34*VLOOKUP('Données projet'!$B$10,Paramètres!$A$1:$I$89,3,0)*0.475*44/12</f>
        <v>3.547053492404332</v>
      </c>
      <c r="AX34" s="21">
        <f t="shared" si="6"/>
        <v>5.1183268477563608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27.6</v>
      </c>
      <c r="BD34" s="12">
        <f>IF('Données projet'!$A$88&gt;35,BD33+BC34-BL33,IF(A34&lt;'Données projet'!$A$88,$BA$205^A34,IF(A34='Données projet'!$A$88,'Données projet'!$B$88,BD33+BC34-BL33)))</f>
        <v>394.6</v>
      </c>
      <c r="BE34" s="13">
        <f>BD34*VLOOKUP('Données projet'!$B$11,Paramètres!$A$1:$I$89,3,0)*VLOOKUP('Données projet'!$B$11,Paramètres!$A$1:$I$89,5,0)</f>
        <v>220.5814</v>
      </c>
      <c r="BF34" s="13">
        <f t="shared" si="37"/>
        <v>54.241230721401301</v>
      </c>
      <c r="BG34" s="20">
        <f t="shared" si="7"/>
        <v>478.64941517310723</v>
      </c>
      <c r="BH34" s="59">
        <f t="shared" si="8"/>
        <v>771.98274850644054</v>
      </c>
      <c r="BI34" s="59">
        <f ca="1">AVERAGE(OFFSET($BH$3,0,0,'Données projet'!$E$11+1,1))-AVERAGE(OFFSET($H$3,0,0,'Données projet'!$E$11+1,1))</f>
        <v>430.60186171079067</v>
      </c>
      <c r="BJ34" s="59">
        <f t="shared" si="38"/>
        <v>533.76627289533985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15.114500407238573</v>
      </c>
      <c r="BQ34" s="21">
        <f>EXP(-LN(2)/25)*BQ33+(1-EXP(-LN(2)/25))/(LN(2)/25)*Calculateur!BL34*Calculateur!BN34*VLOOKUP('Données projet'!$B$11,Paramètres!$A$1:$I$89,3,0)*0.475*44/12</f>
        <v>13.986861065811395</v>
      </c>
      <c r="BR34" s="21">
        <f>EXP(-LN(2)/2)*BR33+(1-EXP(-LN(2)/2))/(LN(2)/2)*BL34*BO34*VLOOKUP('Données projet'!$B$11,Paramètres!$A$1:$I$89,3,0)*0.475*44/12</f>
        <v>5.0698347592353441</v>
      </c>
      <c r="BS34" s="22">
        <f t="shared" si="9"/>
        <v>34.171196232285311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10.669230769230758</v>
      </c>
      <c r="BY34" s="12">
        <f>IF('Données projet'!$A$114&gt;35,BY33+BX34-CG33,IF(A34&lt;'Données projet'!$A$114,$BV$205^A34,IF(A34='Données projet'!$A$114,'Données projet'!$B$114,BY33+BX34-CG33)))</f>
        <v>134.02307692307693</v>
      </c>
      <c r="BZ34" s="13">
        <f>BY34*VLOOKUP('Données projet'!$B$12,Paramètres!$A$1:$I$89,3,0)*VLOOKUP('Données projet'!$B$12,Paramètres!$A$1:$I$89,5,0)</f>
        <v>80.145800000000008</v>
      </c>
      <c r="CA34" s="13">
        <f t="shared" si="39"/>
        <v>22.17282920793744</v>
      </c>
      <c r="CB34" s="20">
        <f t="shared" si="10"/>
        <v>178.20494587049106</v>
      </c>
      <c r="CC34" s="59">
        <f t="shared" si="11"/>
        <v>471.53827920382435</v>
      </c>
      <c r="CD34" s="59">
        <f ca="1">AVERAGE(OFFSET($CC$3,0,0,'Données projet'!$E$12+1,1))-AVERAGE(OFFSET($H$3,0,0,'Données projet'!$E$12+1,1))</f>
        <v>215.89467197072673</v>
      </c>
      <c r="CE34" s="59">
        <f t="shared" si="40"/>
        <v>188.21397398859534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8.6740602858886042</v>
      </c>
      <c r="CM34" s="21">
        <f>EXP(-LN(2)/2)*CM33+(1-EXP(-LN(2)/2))/(LN(2)/2)*CG34*CJ34*VLOOKUP('Données projet'!$B$12,Paramètres!$A$1:$I$89,3,0)*0.475*44/12</f>
        <v>1.9158095102818229</v>
      </c>
      <c r="CN34" s="22">
        <f t="shared" si="12"/>
        <v>10.589869796170428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3.5192307692307692</v>
      </c>
      <c r="CT34" s="12">
        <f>IF('Données projet'!$A$140&gt;35,CT33+CS34-DB33,IF(A34&lt;'Données projet'!$A$140,$CQ$205^A34,IF(A34='Données projet'!$A$140,'Données projet'!$B$140,CT33+CS34-DB33)))</f>
        <v>60.262820512820504</v>
      </c>
      <c r="CU34" s="17">
        <f>CT34*VLOOKUP('Données projet'!$B$13,Paramètres!$A$1:$I$89,3,0)*VLOOKUP('Données projet'!$B$13,Paramètres!$A$1:$I$89,5,0)</f>
        <v>61.10649999999999</v>
      </c>
      <c r="CV34" s="13">
        <f t="shared" si="41"/>
        <v>17.447728704125719</v>
      </c>
      <c r="CW34" s="20">
        <f t="shared" si="13"/>
        <v>136.81528165968561</v>
      </c>
      <c r="CX34" s="59">
        <f t="shared" si="14"/>
        <v>430.1486149930189</v>
      </c>
      <c r="CY34" s="59">
        <f ca="1">AVERAGE(OFFSET($CX$3,0,0,'Données projet'!$E$13+1,1))-AVERAGE(OFFSET($H$3,0,0,'Données projet'!$E$13+1,1))</f>
        <v>342.82846711287749</v>
      </c>
      <c r="CZ34" s="59">
        <f t="shared" si="42"/>
        <v>152.87724741106297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8.6</v>
      </c>
      <c r="DO34" s="12">
        <f>IF('Données projet'!$A$166&gt;35,DO33+DN34-DW33,IF(A34&lt;'Données projet'!$A$166,$DL$205^A34,IF(A34='Données projet'!$A$166,'Données projet'!$B$166,DO33+DN34-DW33)))</f>
        <v>101.59999999999998</v>
      </c>
      <c r="DP34" s="17">
        <f>DO34*VLOOKUP('Données projet'!$B$14,Paramètres!$A$1:$I$89,3,0)*VLOOKUP('Données projet'!$B$14,Paramètres!$A$1:$I$89,5,0)</f>
        <v>74.49311999999999</v>
      </c>
      <c r="DQ34" s="13">
        <f t="shared" si="43"/>
        <v>20.785185634730134</v>
      </c>
      <c r="DR34" s="20">
        <f t="shared" si="16"/>
        <v>165.94304898048827</v>
      </c>
      <c r="DS34" s="59">
        <f t="shared" si="17"/>
        <v>459.27638231382161</v>
      </c>
      <c r="DT34" s="59">
        <f ca="1">AVERAGE(OFFSET($DS$3,0,0,'Données projet'!$E$14+1,1))-AVERAGE(OFFSET($H$3,0,0,'Données projet'!$E$14+1,1))</f>
        <v>208.48147873805715</v>
      </c>
      <c r="DU34" s="59">
        <f t="shared" si="44"/>
        <v>209.50570914630686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0.35454614151500652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0.35454614151500652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14.319230769230776</v>
      </c>
      <c r="EJ34" s="12">
        <f>IF('Données projet'!$A$192&gt;35,EJ33+EI34-ER33,IF(A34&lt;'Données projet'!$A$192,$EG$205^A34,IF(A34='Données projet'!$A$192,'Données projet'!$B$192,EJ33+EI34-ER33)))</f>
        <v>190.98076923076925</v>
      </c>
      <c r="EK34" s="17">
        <f>EJ34*VLOOKUP('Données projet'!$B$15,Paramètres!$A$1:$I$89,3,0)*VLOOKUP('Données projet'!$B$15,Paramètres!$A$1:$I$89,5,0)</f>
        <v>114.20650000000002</v>
      </c>
      <c r="EL34" s="13">
        <f t="shared" si="45"/>
        <v>30.319893773740137</v>
      </c>
      <c r="EM34" s="20">
        <f t="shared" si="19"/>
        <v>251.71680248926407</v>
      </c>
      <c r="EN34" s="59">
        <f t="shared" si="20"/>
        <v>545.05013582259744</v>
      </c>
      <c r="EO34" s="59">
        <f ca="1">AVERAGE(OFFSET($EN$3,0,0,'Données projet'!$E$15+1,1))-AVERAGE(OFFSET($H$3,0,0,'Données projet'!$E$15+1,1))</f>
        <v>247.31680974612766</v>
      </c>
      <c r="EP34" s="59">
        <f t="shared" si="46"/>
        <v>257.13949761071882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11.447388891654011</v>
      </c>
      <c r="EW34" s="21">
        <f>EXP(-LN(2)/25)*EW33+(1-EXP(-LN(2)/25))/(LN(2)/25)*Calculateur!ER34*Calculateur!ET34*VLOOKUP('Données projet'!$B$15,Paramètres!$A$1:$I$89,3,0)*0.475*44/12</f>
        <v>17.007137220656425</v>
      </c>
      <c r="EX34" s="21">
        <f>EXP(-LN(2)/2)*EX33+(1-EXP(-LN(2)/2))/(LN(2)/2)*ER34*EU34*VLOOKUP('Données projet'!$B$15,Paramètres!$A$1:$I$89,3,0)*0.475*44/12</f>
        <v>3.2351163469161821</v>
      </c>
      <c r="EY34" s="22">
        <f t="shared" si="21"/>
        <v>31.689642459226619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5.6908799999999955</v>
      </c>
      <c r="D35" s="11">
        <f t="shared" si="32"/>
        <v>2.1420450849641437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12.09293697327797</v>
      </c>
      <c r="H35" s="67">
        <f t="shared" si="1"/>
        <v>270.3090111896459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10.407692307692306</v>
      </c>
      <c r="N35" s="13">
        <f>IF('Données projet'!$A$36&gt;35,N34+M35-V34,IF(A35&lt;'Données projet'!$A$36,$K$205^A35,IF(A35='Données projet'!$A$36,'Données projet'!$B$36,N34+M35-V34)))</f>
        <v>124.09230769230767</v>
      </c>
      <c r="O35" s="13">
        <f>N35*VLOOKUP('Données projet'!$B$9,Paramètres!$A$1:$I$89,3,0)*VLOOKUP('Données projet'!$B$9,Paramètres!$A$1:$I$89,5,0)</f>
        <v>58.075199999999995</v>
      </c>
      <c r="P35" s="13">
        <f t="shared" si="33"/>
        <v>16.680699544623803</v>
      </c>
      <c r="Q35" s="20">
        <f t="shared" ref="Q35:Q66" si="53">(O35+P35)*0.475*44/12</f>
        <v>130.19985837355313</v>
      </c>
      <c r="R35" s="59">
        <f t="shared" si="0"/>
        <v>423.53319170688644</v>
      </c>
      <c r="S35" s="59">
        <f ca="1">AVERAGE(OFFSET($R$3,0,0,'Données projet'!$E$9+1,1))-AVERAGE(OFFSET($H$3,0,0,'Données projet'!$E$9+1,1))</f>
        <v>223.99456146593315</v>
      </c>
      <c r="T35" s="59">
        <f t="shared" si="34"/>
        <v>132.73290587325937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</v>
      </c>
      <c r="AI35" s="13">
        <f>IF('Données projet'!$A$62&gt;35,AI34+AH35-AQ34,IF(A35&lt;'Données projet'!$A$62,$AF$205^A35,IF(A35='Données projet'!$A$62,'Données projet'!$B$62,AI34+AH35-AQ34)))</f>
        <v>155.20000000000002</v>
      </c>
      <c r="AJ35" s="13">
        <f>AI35*VLOOKUP('Données projet'!$B$10,Paramètres!$A$1:$I$89,3,0)*VLOOKUP('Données projet'!$B$10,Paramètres!$A$1:$I$89,5,0)</f>
        <v>101.68704000000002</v>
      </c>
      <c r="AK35" s="13">
        <f t="shared" si="35"/>
        <v>27.363519398004541</v>
      </c>
      <c r="AL35" s="20">
        <f t="shared" si="4"/>
        <v>224.76305761819128</v>
      </c>
      <c r="AM35" s="59">
        <f t="shared" si="5"/>
        <v>518.09639095152465</v>
      </c>
      <c r="AN35" s="59">
        <f ca="1">AVERAGE(OFFSET($AM$3,0,0,'Données projet'!$E$10+1,1))-AVERAGE(OFFSET($H$3,0,0,'Données projet'!$E$10+1,1))</f>
        <v>244.43587473734613</v>
      </c>
      <c r="AO35" s="59">
        <f t="shared" si="36"/>
        <v>256.80261402149375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1.5283068028202533</v>
      </c>
      <c r="AW35" s="21">
        <f>EXP(-LN(2)/2)*AW34+(1-EXP(-LN(2)/2))/(LN(2)/2)*AQ35*AT35*VLOOKUP('Données projet'!$B$10,Paramètres!$A$1:$I$89,3,0)*0.475*44/12</f>
        <v>2.5081455777105295</v>
      </c>
      <c r="AX35" s="21">
        <f t="shared" si="6"/>
        <v>4.0364523805307826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27.6</v>
      </c>
      <c r="BD35" s="12">
        <f>IF('Données projet'!$A$88&gt;35,BD34+BC35-BL34,IF(A35&lt;'Données projet'!$A$88,$BA$205^A35,IF(A35='Données projet'!$A$88,'Données projet'!$B$88,BD34+BC35-BL34)))</f>
        <v>422.20000000000005</v>
      </c>
      <c r="BE35" s="13">
        <f>BD35*VLOOKUP('Données projet'!$B$11,Paramètres!$A$1:$I$89,3,0)*VLOOKUP('Données projet'!$B$11,Paramètres!$A$1:$I$89,5,0)</f>
        <v>236.00980000000004</v>
      </c>
      <c r="BF35" s="13">
        <f t="shared" si="37"/>
        <v>57.580183613654185</v>
      </c>
      <c r="BG35" s="20">
        <f t="shared" si="7"/>
        <v>511.3358881271144</v>
      </c>
      <c r="BH35" s="59">
        <f t="shared" si="8"/>
        <v>804.66922146044772</v>
      </c>
      <c r="BI35" s="59">
        <f ca="1">AVERAGE(OFFSET($BH$3,0,0,'Données projet'!$E$11+1,1))-AVERAGE(OFFSET($H$3,0,0,'Données projet'!$E$11+1,1))</f>
        <v>430.60186171079067</v>
      </c>
      <c r="BJ35" s="59">
        <f t="shared" si="38"/>
        <v>533.76627289533985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14.818114273187579</v>
      </c>
      <c r="BQ35" s="21">
        <f>EXP(-LN(2)/25)*BQ34+(1-EXP(-LN(2)/25))/(LN(2)/25)*Calculateur!BL35*Calculateur!BN35*VLOOKUP('Données projet'!$B$11,Paramètres!$A$1:$I$89,3,0)*0.475*44/12</f>
        <v>13.604389614429726</v>
      </c>
      <c r="BR35" s="21">
        <f>EXP(-LN(2)/2)*BR34+(1-EXP(-LN(2)/2))/(LN(2)/2)*BL35*BO35*VLOOKUP('Données projet'!$B$11,Paramètres!$A$1:$I$89,3,0)*0.475*44/12</f>
        <v>3.5849145377505796</v>
      </c>
      <c r="BS35" s="22">
        <f t="shared" si="9"/>
        <v>32.007418425367881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>
        <f>VLOOKUP(A35,'Données projet'!$A$113:$I$133,2,0)</f>
        <v>144.69230769230768</v>
      </c>
      <c r="BW35" s="12">
        <f>VLOOKUP(A35,'Données projet'!$A$113:$I$133,9,0)</f>
        <v>10.669230769230758</v>
      </c>
      <c r="BX35" s="12">
        <f t="array" ref="BX35">INDEX(BW:BW,MIN(IF(ISNUMBER(BW35:BW231),ROW(BW35:BW231),"")))</f>
        <v>10.669230769230758</v>
      </c>
      <c r="BY35" s="12">
        <f>IF('Données projet'!$A$114&gt;35,BY34+BX35-CG34,IF(A35&lt;'Données projet'!$A$114,$BV$205^A35,IF(A35='Données projet'!$A$114,'Données projet'!$B$114,BY34+BX35-CG34)))</f>
        <v>144.69230769230768</v>
      </c>
      <c r="BZ35" s="13">
        <f>BY35*VLOOKUP('Données projet'!$B$12,Paramètres!$A$1:$I$89,3,0)*VLOOKUP('Données projet'!$B$12,Paramètres!$A$1:$I$89,5,0)</f>
        <v>86.525999999999996</v>
      </c>
      <c r="CA35" s="13">
        <f t="shared" si="39"/>
        <v>23.725470008852188</v>
      </c>
      <c r="CB35" s="20">
        <f t="shared" si="10"/>
        <v>192.02131026541755</v>
      </c>
      <c r="CC35" s="59">
        <f t="shared" si="11"/>
        <v>485.35464359875084</v>
      </c>
      <c r="CD35" s="59">
        <f ca="1">AVERAGE(OFFSET($CC$3,0,0,'Données projet'!$E$12+1,1))-AVERAGE(OFFSET($H$3,0,0,'Données projet'!$E$12+1,1))</f>
        <v>215.89467197072673</v>
      </c>
      <c r="CE35" s="59">
        <f t="shared" si="40"/>
        <v>188.21397398859534</v>
      </c>
      <c r="CF35" s="15">
        <f>IF(ISNA(VLOOKUP(A35,'Données projet'!$A$113:$I$133,3,0)),0,VLOOKUP(A35,'Données projet'!$A$113:$I$133,3,0))</f>
        <v>2</v>
      </c>
      <c r="CG35" s="15">
        <f>IF(ISNA(VLOOKUP(A35,'Données projet'!$A$113:$I$133,4,0)),0,VLOOKUP(A35,'Données projet'!$A$113:$I$133,4,0))</f>
        <v>41.469230769230762</v>
      </c>
      <c r="CH35" s="16">
        <f>IF(ISNA(VLOOKUP(A35,'Données projet'!$A$113:$I$133,5,0)),0%,VLOOKUP(A35,'Données projet'!$A$113:$I$133,5,0)*VLOOKUP('Données projet'!$B$12,Paramètres!$A$1:$I$89,7,0))</f>
        <v>0.315</v>
      </c>
      <c r="CI35" s="16">
        <f>IF(ISNA(VLOOKUP(A35,'Données projet'!$A$113:$I$133,6,0)),0%,VLOOKUP(A35,'Données projet'!$A$113:$I$133,6,0)*VLOOKUP('Données projet'!$B$12,Paramètres!$A$1:$I$89,7,0))</f>
        <v>7.5600000000000001E-2</v>
      </c>
      <c r="CJ35" s="16">
        <f>IF(ISNA(VLOOKUP(A35,'Données projet'!$A$113:$I$133,7,0)),0%,VLOOKUP(A35,'Données projet'!$A$113:$I$133,7,0))</f>
        <v>0.13200000000000001</v>
      </c>
      <c r="CK35" s="21">
        <f>EXP(-LN(2)/35)*CK34+(1-EXP(-LN(2)/35))/(LN(2)/35)*CG35*CH35*VLOOKUP('Données projet'!$B$12,Paramètres!$A$1:$I$89,3,0)*0.475*44/12</f>
        <v>10.362536510968836</v>
      </c>
      <c r="CL35" s="21">
        <f>EXP(-LN(2)/25)*CL34+(1-EXP(-LN(2)/25))/(LN(2)/25)*Calculateur!CG35*Calculateur!CI35*VLOOKUP('Données projet'!$B$12,Paramètres!$A$1:$I$89,3,0)*0.475*44/12</f>
        <v>10.914084112731381</v>
      </c>
      <c r="CM35" s="21">
        <f>EXP(-LN(2)/2)*CM34+(1-EXP(-LN(2)/2))/(LN(2)/2)*CG35*CJ35*VLOOKUP('Données projet'!$B$12,Paramètres!$A$1:$I$89,3,0)*0.475*44/12</f>
        <v>5.0609483088360117</v>
      </c>
      <c r="CN35" s="22">
        <f t="shared" si="12"/>
        <v>26.337568932536229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3.5192307692307692</v>
      </c>
      <c r="CT35" s="12">
        <f>IF('Données projet'!$A$140&gt;35,CT34+CS35-DB34,IF(A35&lt;'Données projet'!$A$140,$CQ$205^A35,IF(A35='Données projet'!$A$140,'Données projet'!$B$140,CT34+CS35-DB34)))</f>
        <v>63.78205128205127</v>
      </c>
      <c r="CU35" s="17">
        <f>CT35*VLOOKUP('Données projet'!$B$13,Paramètres!$A$1:$I$89,3,0)*VLOOKUP('Données projet'!$B$13,Paramètres!$A$1:$I$89,5,0)</f>
        <v>64.674999999999997</v>
      </c>
      <c r="CV35" s="13">
        <f t="shared" si="41"/>
        <v>18.345044980477201</v>
      </c>
      <c r="CW35" s="20">
        <f t="shared" si="13"/>
        <v>144.59324500766445</v>
      </c>
      <c r="CX35" s="59">
        <f t="shared" si="14"/>
        <v>437.92657834099776</v>
      </c>
      <c r="CY35" s="59">
        <f ca="1">AVERAGE(OFFSET($CX$3,0,0,'Données projet'!$E$13+1,1))-AVERAGE(OFFSET($H$3,0,0,'Données projet'!$E$13+1,1))</f>
        <v>342.82846711287749</v>
      </c>
      <c r="CZ35" s="59">
        <f t="shared" si="42"/>
        <v>152.87724741106297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8.6</v>
      </c>
      <c r="DO35" s="12">
        <f>IF('Données projet'!$A$166&gt;35,DO34+DN35-DW34,IF(A35&lt;'Données projet'!$A$166,$DL$205^A35,IF(A35='Données projet'!$A$166,'Données projet'!$B$166,DO34+DN35-DW34)))</f>
        <v>110.19999999999997</v>
      </c>
      <c r="DP35" s="17">
        <f>DO35*VLOOKUP('Données projet'!$B$14,Paramètres!$A$1:$I$89,3,0)*VLOOKUP('Données projet'!$B$14,Paramètres!$A$1:$I$89,5,0)</f>
        <v>80.798639999999978</v>
      </c>
      <c r="DQ35" s="13">
        <f t="shared" si="43"/>
        <v>22.332342724937131</v>
      </c>
      <c r="DR35" s="20">
        <f t="shared" si="16"/>
        <v>179.61979491259879</v>
      </c>
      <c r="DS35" s="59">
        <f t="shared" si="17"/>
        <v>472.95312824593213</v>
      </c>
      <c r="DT35" s="59">
        <f ca="1">AVERAGE(OFFSET($DS$3,0,0,'Données projet'!$E$14+1,1))-AVERAGE(OFFSET($H$3,0,0,'Données projet'!$E$14+1,1))</f>
        <v>208.48147873805715</v>
      </c>
      <c r="DU35" s="59">
        <f t="shared" si="44"/>
        <v>209.50570914630686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0.34485105863050741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0.34485105863050741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14.319230769230776</v>
      </c>
      <c r="EJ35" s="12">
        <f>IF('Données projet'!$A$192&gt;35,EJ34+EI35-ER34,IF(A35&lt;'Données projet'!$A$192,$EG$205^A35,IF(A35='Données projet'!$A$192,'Données projet'!$B$192,EJ34+EI35-ER34)))</f>
        <v>205.30000000000004</v>
      </c>
      <c r="EK35" s="17">
        <f>EJ35*VLOOKUP('Données projet'!$B$15,Paramètres!$A$1:$I$89,3,0)*VLOOKUP('Données projet'!$B$15,Paramètres!$A$1:$I$89,5,0)</f>
        <v>122.76940000000002</v>
      </c>
      <c r="EL35" s="13">
        <f t="shared" si="45"/>
        <v>32.320056157265896</v>
      </c>
      <c r="EM35" s="20">
        <f t="shared" si="19"/>
        <v>270.11413614057147</v>
      </c>
      <c r="EN35" s="59">
        <f t="shared" si="20"/>
        <v>563.44746947390479</v>
      </c>
      <c r="EO35" s="59">
        <f ca="1">AVERAGE(OFFSET($EN$3,0,0,'Données projet'!$E$15+1,1))-AVERAGE(OFFSET($H$3,0,0,'Données projet'!$E$15+1,1))</f>
        <v>247.31680974612766</v>
      </c>
      <c r="EP35" s="59">
        <f t="shared" si="46"/>
        <v>257.13949761071882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11.222912577706463</v>
      </c>
      <c r="EW35" s="21">
        <f>EXP(-LN(2)/25)*EW34+(1-EXP(-LN(2)/25))/(LN(2)/25)*Calculateur!ER35*Calculateur!ET35*VLOOKUP('Données projet'!$B$15,Paramètres!$A$1:$I$89,3,0)*0.475*44/12</f>
        <v>16.542076158991097</v>
      </c>
      <c r="EX35" s="21">
        <f>EXP(-LN(2)/2)*EX34+(1-EXP(-LN(2)/2))/(LN(2)/2)*ER35*EU35*VLOOKUP('Données projet'!$B$15,Paramètres!$A$1:$I$89,3,0)*0.475*44/12</f>
        <v>2.2875727068318841</v>
      </c>
      <c r="EY35" s="22">
        <f t="shared" si="21"/>
        <v>30.052561443529445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5.8687199999999953</v>
      </c>
      <c r="D36" s="11">
        <f t="shared" si="32"/>
        <v>2.2010859615725531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12.458647800322533</v>
      </c>
      <c r="H36" s="67">
        <f t="shared" si="1"/>
        <v>270.72157871640553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10.407692307692306</v>
      </c>
      <c r="N36" s="13">
        <f>IF('Données projet'!$A$36&gt;35,N35+M36-V35,IF(A36&lt;'Données projet'!$A$36,$K$205^A36,IF(A36='Données projet'!$A$36,'Données projet'!$B$36,N35+M36-V35)))</f>
        <v>134.49999999999997</v>
      </c>
      <c r="O36" s="13">
        <f>N36*VLOOKUP('Données projet'!$B$9,Paramètres!$A$1:$I$89,3,0)*VLOOKUP('Données projet'!$B$9,Paramètres!$A$1:$I$89,5,0)</f>
        <v>62.945999999999984</v>
      </c>
      <c r="P36" s="13">
        <f t="shared" si="33"/>
        <v>17.911019680519317</v>
      </c>
      <c r="Q36" s="20">
        <f t="shared" si="53"/>
        <v>140.82597594357108</v>
      </c>
      <c r="R36" s="59">
        <f t="shared" si="0"/>
        <v>434.15930927690442</v>
      </c>
      <c r="S36" s="59">
        <f ca="1">AVERAGE(OFFSET($R$3,0,0,'Données projet'!$E$9+1,1))-AVERAGE(OFFSET($H$3,0,0,'Données projet'!$E$9+1,1))</f>
        <v>223.99456146593315</v>
      </c>
      <c r="T36" s="59">
        <f t="shared" si="34"/>
        <v>132.73290587325937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</v>
      </c>
      <c r="AI36" s="13">
        <f>IF('Données projet'!$A$62&gt;35,AI35+AH36-AQ35,IF(A36&lt;'Données projet'!$A$62,$AF$205^A36,IF(A36='Données projet'!$A$62,'Données projet'!$B$62,AI35+AH36-AQ35)))</f>
        <v>163.80000000000001</v>
      </c>
      <c r="AJ36" s="13">
        <f>AI36*VLOOKUP('Données projet'!$B$10,Paramètres!$A$1:$I$89,3,0)*VLOOKUP('Données projet'!$B$10,Paramètres!$A$1:$I$89,5,0)</f>
        <v>107.32176000000001</v>
      </c>
      <c r="AK36" s="13">
        <f t="shared" si="35"/>
        <v>28.699067963776873</v>
      </c>
      <c r="AL36" s="20">
        <f t="shared" si="4"/>
        <v>236.90294203691141</v>
      </c>
      <c r="AM36" s="59">
        <f t="shared" si="5"/>
        <v>530.2362753702447</v>
      </c>
      <c r="AN36" s="59">
        <f ca="1">AVERAGE(OFFSET($AM$3,0,0,'Données projet'!$E$10+1,1))-AVERAGE(OFFSET($H$3,0,0,'Données projet'!$E$10+1,1))</f>
        <v>244.43587473734613</v>
      </c>
      <c r="AO36" s="59">
        <f t="shared" si="36"/>
        <v>256.80261402149375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1.4865151729269717</v>
      </c>
      <c r="AW36" s="21">
        <f>EXP(-LN(2)/2)*AW35+(1-EXP(-LN(2)/2))/(LN(2)/2)*AQ36*AT36*VLOOKUP('Données projet'!$B$10,Paramètres!$A$1:$I$89,3,0)*0.475*44/12</f>
        <v>1.7735267462021662</v>
      </c>
      <c r="AX36" s="21">
        <f t="shared" si="6"/>
        <v>3.2600419191291379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27.6</v>
      </c>
      <c r="BD36" s="12">
        <f>IF('Données projet'!$A$88&gt;35,BD35+BC36-BL35,IF(A36&lt;'Données projet'!$A$88,$BA$205^A36,IF(A36='Données projet'!$A$88,'Données projet'!$B$88,BD35+BC36-BL35)))</f>
        <v>449.80000000000007</v>
      </c>
      <c r="BE36" s="13">
        <f>BD36*VLOOKUP('Données projet'!$B$11,Paramètres!$A$1:$I$89,3,0)*VLOOKUP('Données projet'!$B$11,Paramètres!$A$1:$I$89,5,0)</f>
        <v>251.43820000000002</v>
      </c>
      <c r="BF36" s="13">
        <f t="shared" si="37"/>
        <v>60.893806844597648</v>
      </c>
      <c r="BG36" s="20">
        <f t="shared" si="7"/>
        <v>543.978245254341</v>
      </c>
      <c r="BH36" s="59">
        <f t="shared" si="8"/>
        <v>837.31157858767438</v>
      </c>
      <c r="BI36" s="59">
        <f ca="1">AVERAGE(OFFSET($BH$3,0,0,'Données projet'!$E$11+1,1))-AVERAGE(OFFSET($H$3,0,0,'Données projet'!$E$11+1,1))</f>
        <v>430.60186171079067</v>
      </c>
      <c r="BJ36" s="59">
        <f t="shared" si="38"/>
        <v>533.76627289533985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14.527540090447634</v>
      </c>
      <c r="BQ36" s="21">
        <f>EXP(-LN(2)/25)*BQ35+(1-EXP(-LN(2)/25))/(LN(2)/25)*Calculateur!BL36*Calculateur!BN36*VLOOKUP('Données projet'!$B$11,Paramètres!$A$1:$I$89,3,0)*0.475*44/12</f>
        <v>13.232376864999388</v>
      </c>
      <c r="BR36" s="21">
        <f>EXP(-LN(2)/2)*BR35+(1-EXP(-LN(2)/2))/(LN(2)/2)*BL36*BO36*VLOOKUP('Données projet'!$B$11,Paramètres!$A$1:$I$89,3,0)*0.475*44/12</f>
        <v>2.5349173796176725</v>
      </c>
      <c r="BS36" s="22">
        <f t="shared" si="9"/>
        <v>30.294834335064692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10.711538461538463</v>
      </c>
      <c r="BY36" s="12">
        <f>IF('Données projet'!$A$114&gt;35,BY35+BX36-CG35,IF(A36&lt;'Données projet'!$A$114,$BV$205^A36,IF(A36='Données projet'!$A$114,'Données projet'!$B$114,BY35+BX36-CG35)))</f>
        <v>113.93461538461537</v>
      </c>
      <c r="BZ36" s="13">
        <f>BY36*VLOOKUP('Données projet'!$B$12,Paramètres!$A$1:$I$89,3,0)*VLOOKUP('Données projet'!$B$12,Paramètres!$A$1:$I$89,5,0)</f>
        <v>68.132899999999992</v>
      </c>
      <c r="CA36" s="13">
        <f t="shared" si="39"/>
        <v>19.20906381173236</v>
      </c>
      <c r="CB36" s="20">
        <f t="shared" si="10"/>
        <v>152.12058697210054</v>
      </c>
      <c r="CC36" s="59">
        <f t="shared" si="11"/>
        <v>445.45392030543383</v>
      </c>
      <c r="CD36" s="59">
        <f ca="1">AVERAGE(OFFSET($CC$3,0,0,'Données projet'!$E$12+1,1))-AVERAGE(OFFSET($H$3,0,0,'Données projet'!$E$12+1,1))</f>
        <v>215.89467197072673</v>
      </c>
      <c r="CE36" s="59">
        <f t="shared" si="40"/>
        <v>188.21397398859534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10.159333490511909</v>
      </c>
      <c r="CL36" s="21">
        <f>EXP(-LN(2)/25)*CL35+(1-EXP(-LN(2)/25))/(LN(2)/25)*Calculateur!CG36*Calculateur!CI36*VLOOKUP('Données projet'!$B$12,Paramètres!$A$1:$I$89,3,0)*0.475*44/12</f>
        <v>10.615637908722002</v>
      </c>
      <c r="CM36" s="21">
        <f>EXP(-LN(2)/2)*CM35+(1-EXP(-LN(2)/2))/(LN(2)/2)*CG36*CJ36*VLOOKUP('Données projet'!$B$12,Paramètres!$A$1:$I$89,3,0)*0.475*44/12</f>
        <v>3.5786308684125339</v>
      </c>
      <c r="CN36" s="22">
        <f t="shared" si="12"/>
        <v>24.353602267646448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3.5192307692307692</v>
      </c>
      <c r="CT36" s="12">
        <f>IF('Données projet'!$A$140&gt;35,CT35+CS36-DB35,IF(A36&lt;'Données projet'!$A$140,$CQ$205^A36,IF(A36='Données projet'!$A$140,'Données projet'!$B$140,CT35+CS36-DB35)))</f>
        <v>67.301282051282044</v>
      </c>
      <c r="CU36" s="17">
        <f>CT36*VLOOKUP('Données projet'!$B$13,Paramètres!$A$1:$I$89,3,0)*VLOOKUP('Données projet'!$B$13,Paramètres!$A$1:$I$89,5,0)</f>
        <v>68.243499999999997</v>
      </c>
      <c r="CV36" s="13">
        <f t="shared" si="41"/>
        <v>19.236613656193242</v>
      </c>
      <c r="CW36" s="20">
        <f t="shared" si="13"/>
        <v>152.36119795120322</v>
      </c>
      <c r="CX36" s="59">
        <f t="shared" si="14"/>
        <v>445.69453128453654</v>
      </c>
      <c r="CY36" s="59">
        <f ca="1">AVERAGE(OFFSET($CX$3,0,0,'Données projet'!$E$13+1,1))-AVERAGE(OFFSET($H$3,0,0,'Données projet'!$E$13+1,1))</f>
        <v>342.82846711287749</v>
      </c>
      <c r="CZ36" s="59">
        <f t="shared" si="42"/>
        <v>152.87724741106297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8.6</v>
      </c>
      <c r="DO36" s="12">
        <f>IF('Données projet'!$A$166&gt;35,DO35+DN36-DW35,IF(A36&lt;'Données projet'!$A$166,$DL$205^A36,IF(A36='Données projet'!$A$166,'Données projet'!$B$166,DO35+DN36-DW35)))</f>
        <v>118.79999999999997</v>
      </c>
      <c r="DP36" s="17">
        <f>DO36*VLOOKUP('Données projet'!$B$14,Paramètres!$A$1:$I$89,3,0)*VLOOKUP('Données projet'!$B$14,Paramètres!$A$1:$I$89,5,0)</f>
        <v>87.104159999999979</v>
      </c>
      <c r="DQ36" s="13">
        <f t="shared" si="43"/>
        <v>23.865494318543401</v>
      </c>
      <c r="DR36" s="20">
        <f t="shared" si="16"/>
        <v>193.27214793812971</v>
      </c>
      <c r="DS36" s="59">
        <f t="shared" si="17"/>
        <v>486.60548127146302</v>
      </c>
      <c r="DT36" s="59">
        <f ca="1">AVERAGE(OFFSET($DS$3,0,0,'Données projet'!$E$14+1,1))-AVERAGE(OFFSET($H$3,0,0,'Données projet'!$E$14+1,1))</f>
        <v>208.48147873805715</v>
      </c>
      <c r="DU36" s="59">
        <f t="shared" si="44"/>
        <v>209.50570914630686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0.3354210882973272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0.3354210882973272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14.319230769230776</v>
      </c>
      <c r="EJ36" s="12">
        <f>IF('Données projet'!$A$192&gt;35,EJ35+EI36-ER35,IF(A36&lt;'Données projet'!$A$192,$EG$205^A36,IF(A36='Données projet'!$A$192,'Données projet'!$B$192,EJ35+EI36-ER35)))</f>
        <v>219.61923076923082</v>
      </c>
      <c r="EK36" s="17">
        <f>EJ36*VLOOKUP('Données projet'!$B$15,Paramètres!$A$1:$I$89,3,0)*VLOOKUP('Données projet'!$B$15,Paramètres!$A$1:$I$89,5,0)</f>
        <v>131.33230000000003</v>
      </c>
      <c r="EL36" s="13">
        <f t="shared" si="45"/>
        <v>34.304031818006806</v>
      </c>
      <c r="EM36" s="20">
        <f t="shared" si="19"/>
        <v>288.48327791636194</v>
      </c>
      <c r="EN36" s="59">
        <f t="shared" si="20"/>
        <v>581.81661124969526</v>
      </c>
      <c r="EO36" s="59">
        <f ca="1">AVERAGE(OFFSET($EN$3,0,0,'Données projet'!$E$15+1,1))-AVERAGE(OFFSET($H$3,0,0,'Données projet'!$E$15+1,1))</f>
        <v>247.31680974612766</v>
      </c>
      <c r="EP36" s="59">
        <f t="shared" si="46"/>
        <v>257.13949761071882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11.002838107358395</v>
      </c>
      <c r="EW36" s="21">
        <f>EXP(-LN(2)/25)*EW35+(1-EXP(-LN(2)/25))/(LN(2)/25)*Calculateur!ER36*Calculateur!ET36*VLOOKUP('Données projet'!$B$15,Paramètres!$A$1:$I$89,3,0)*0.475*44/12</f>
        <v>16.089732216513507</v>
      </c>
      <c r="EX36" s="21">
        <f>EXP(-LN(2)/2)*EX35+(1-EXP(-LN(2)/2))/(LN(2)/2)*ER36*EU36*VLOOKUP('Données projet'!$B$15,Paramètres!$A$1:$I$89,3,0)*0.475*44/12</f>
        <v>1.6175581734580915</v>
      </c>
      <c r="EY36" s="22">
        <f t="shared" si="21"/>
        <v>28.710128497329997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6.046559999999995</v>
      </c>
      <c r="D37" s="11">
        <f t="shared" si="32"/>
        <v>2.2599189181373207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12.824037628001472</v>
      </c>
      <c r="H37" s="67">
        <f t="shared" si="1"/>
        <v>271.13378411575582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10.407692307692306</v>
      </c>
      <c r="N37" s="13">
        <f>IF('Données projet'!$A$36&gt;35,N36+M37-V36,IF(A37&lt;'Données projet'!$A$36,$K$205^A37,IF(A37='Données projet'!$A$36,'Données projet'!$B$36,N36+M37-V36)))</f>
        <v>144.90769230769229</v>
      </c>
      <c r="O37" s="13">
        <f>N37*VLOOKUP('Données projet'!$B$9,Paramètres!$A$1:$I$89,3,0)*VLOOKUP('Données projet'!$B$9,Paramètres!$A$1:$I$89,5,0)</f>
        <v>67.816799999999986</v>
      </c>
      <c r="P37" s="13">
        <f t="shared" si="33"/>
        <v>19.130296326257337</v>
      </c>
      <c r="Q37" s="20">
        <f t="shared" si="53"/>
        <v>151.43285943489818</v>
      </c>
      <c r="R37" s="59">
        <f t="shared" si="0"/>
        <v>444.76619276823146</v>
      </c>
      <c r="S37" s="59">
        <f ca="1">AVERAGE(OFFSET($R$3,0,0,'Données projet'!$E$9+1,1))-AVERAGE(OFFSET($H$3,0,0,'Données projet'!$E$9+1,1))</f>
        <v>223.99456146593315</v>
      </c>
      <c r="T37" s="59">
        <f t="shared" si="34"/>
        <v>132.73290587325937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</v>
      </c>
      <c r="AI37" s="13">
        <f>IF('Données projet'!$A$62&gt;35,AI36+AH37-AQ36,IF(A37&lt;'Données projet'!$A$62,$AF$205^A37,IF(A37='Données projet'!$A$62,'Données projet'!$B$62,AI36+AH37-AQ36)))</f>
        <v>172.4</v>
      </c>
      <c r="AJ37" s="13">
        <f>AI37*VLOOKUP('Données projet'!$B$10,Paramètres!$A$1:$I$89,3,0)*VLOOKUP('Données projet'!$B$10,Paramètres!$A$1:$I$89,5,0)</f>
        <v>112.95648</v>
      </c>
      <c r="AK37" s="13">
        <f t="shared" si="35"/>
        <v>30.026475458997034</v>
      </c>
      <c r="AL37" s="20">
        <f t="shared" si="4"/>
        <v>249.0286474244198</v>
      </c>
      <c r="AM37" s="59">
        <f t="shared" si="5"/>
        <v>542.36198075775314</v>
      </c>
      <c r="AN37" s="59">
        <f ca="1">AVERAGE(OFFSET($AM$3,0,0,'Données projet'!$E$10+1,1))-AVERAGE(OFFSET($H$3,0,0,'Données projet'!$E$10+1,1))</f>
        <v>244.43587473734613</v>
      </c>
      <c r="AO37" s="59">
        <f t="shared" si="36"/>
        <v>256.80261402149375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1.4458663373508482</v>
      </c>
      <c r="AW37" s="21">
        <f>EXP(-LN(2)/2)*AW36+(1-EXP(-LN(2)/2))/(LN(2)/2)*AQ37*AT37*VLOOKUP('Données projet'!$B$10,Paramètres!$A$1:$I$89,3,0)*0.475*44/12</f>
        <v>1.2540727888552647</v>
      </c>
      <c r="AX37" s="21">
        <f t="shared" si="6"/>
        <v>2.6999391262061128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27.6</v>
      </c>
      <c r="BD37" s="12">
        <f>IF('Données projet'!$A$88&gt;35,BD36+BC37-BL36,IF(A37&lt;'Données projet'!$A$88,$BA$205^A37,IF(A37='Données projet'!$A$88,'Données projet'!$B$88,BD36+BC37-BL36)))</f>
        <v>477.40000000000009</v>
      </c>
      <c r="BE37" s="13">
        <f>BD37*VLOOKUP('Données projet'!$B$11,Paramètres!$A$1:$I$89,3,0)*VLOOKUP('Données projet'!$B$11,Paramètres!$A$1:$I$89,5,0)</f>
        <v>266.86660000000006</v>
      </c>
      <c r="BF37" s="13">
        <f t="shared" si="37"/>
        <v>64.183831628008477</v>
      </c>
      <c r="BG37" s="20">
        <f t="shared" si="7"/>
        <v>576.57950175211477</v>
      </c>
      <c r="BH37" s="59">
        <f t="shared" si="8"/>
        <v>869.91283508544802</v>
      </c>
      <c r="BI37" s="59">
        <f ca="1">AVERAGE(OFFSET($BH$3,0,0,'Données projet'!$E$11+1,1))-AVERAGE(OFFSET($H$3,0,0,'Données projet'!$E$11+1,1))</f>
        <v>430.60186171079067</v>
      </c>
      <c r="BJ37" s="59">
        <f t="shared" si="38"/>
        <v>533.76627289533985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14.242663890198466</v>
      </c>
      <c r="BQ37" s="21">
        <f>EXP(-LN(2)/25)*BQ36+(1-EXP(-LN(2)/25))/(LN(2)/25)*Calculateur!BL37*Calculateur!BN37*VLOOKUP('Données projet'!$B$11,Paramètres!$A$1:$I$89,3,0)*0.475*44/12</f>
        <v>12.870536823765523</v>
      </c>
      <c r="BR37" s="21">
        <f>EXP(-LN(2)/2)*BR36+(1-EXP(-LN(2)/2))/(LN(2)/2)*BL37*BO37*VLOOKUP('Données projet'!$B$11,Paramètres!$A$1:$I$89,3,0)*0.475*44/12</f>
        <v>1.79245726887529</v>
      </c>
      <c r="BS37" s="22">
        <f t="shared" si="9"/>
        <v>28.90565798283928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10.711538461538463</v>
      </c>
      <c r="BY37" s="12">
        <f>IF('Données projet'!$A$114&gt;35,BY36+BX37-CG36,IF(A37&lt;'Données projet'!$A$114,$BV$205^A37,IF(A37='Données projet'!$A$114,'Données projet'!$B$114,BY36+BX37-CG36)))</f>
        <v>124.64615384615384</v>
      </c>
      <c r="BZ37" s="13">
        <f>BY37*VLOOKUP('Données projet'!$B$12,Paramètres!$A$1:$I$89,3,0)*VLOOKUP('Données projet'!$B$12,Paramètres!$A$1:$I$89,5,0)</f>
        <v>74.538399999999996</v>
      </c>
      <c r="CA37" s="13">
        <f t="shared" si="39"/>
        <v>20.796348726838183</v>
      </c>
      <c r="CB37" s="20">
        <f t="shared" si="10"/>
        <v>166.04135403257646</v>
      </c>
      <c r="CC37" s="59">
        <f t="shared" si="11"/>
        <v>459.37468736590978</v>
      </c>
      <c r="CD37" s="59">
        <f ca="1">AVERAGE(OFFSET($CC$3,0,0,'Données projet'!$E$12+1,1))-AVERAGE(OFFSET($H$3,0,0,'Données projet'!$E$12+1,1))</f>
        <v>215.89467197072673</v>
      </c>
      <c r="CE37" s="59">
        <f t="shared" si="40"/>
        <v>188.21397398859534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9.9601151573445375</v>
      </c>
      <c r="CL37" s="21">
        <f>EXP(-LN(2)/25)*CL36+(1-EXP(-LN(2)/25))/(LN(2)/25)*Calculateur!CG37*Calculateur!CI37*VLOOKUP('Données projet'!$B$12,Paramètres!$A$1:$I$89,3,0)*0.475*44/12</f>
        <v>10.325352731855864</v>
      </c>
      <c r="CM37" s="21">
        <f>EXP(-LN(2)/2)*CM36+(1-EXP(-LN(2)/2))/(LN(2)/2)*CG37*CJ37*VLOOKUP('Données projet'!$B$12,Paramètres!$A$1:$I$89,3,0)*0.475*44/12</f>
        <v>2.5304741544180063</v>
      </c>
      <c r="CN37" s="22">
        <f t="shared" si="12"/>
        <v>22.815942043618406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3.5192307692307692</v>
      </c>
      <c r="CT37" s="12">
        <f>IF('Données projet'!$A$140&gt;35,CT36+CS37-DB36,IF(A37&lt;'Données projet'!$A$140,$CQ$205^A37,IF(A37='Données projet'!$A$140,'Données projet'!$B$140,CT36+CS37-DB36)))</f>
        <v>70.820512820512818</v>
      </c>
      <c r="CU37" s="17">
        <f>CT37*VLOOKUP('Données projet'!$B$13,Paramètres!$A$1:$I$89,3,0)*VLOOKUP('Données projet'!$B$13,Paramètres!$A$1:$I$89,5,0)</f>
        <v>71.811999999999998</v>
      </c>
      <c r="CV37" s="13">
        <f t="shared" si="41"/>
        <v>20.122769554698642</v>
      </c>
      <c r="CW37" s="20">
        <f t="shared" si="13"/>
        <v>160.11972364110014</v>
      </c>
      <c r="CX37" s="59">
        <f t="shared" si="14"/>
        <v>453.45305697443348</v>
      </c>
      <c r="CY37" s="59">
        <f ca="1">AVERAGE(OFFSET($CX$3,0,0,'Données projet'!$E$13+1,1))-AVERAGE(OFFSET($H$3,0,0,'Données projet'!$E$13+1,1))</f>
        <v>342.82846711287749</v>
      </c>
      <c r="CZ37" s="59">
        <f t="shared" si="42"/>
        <v>152.87724741106297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8.6</v>
      </c>
      <c r="DO37" s="12">
        <f>IF('Données projet'!$A$166&gt;35,DO36+DN37-DW36,IF(A37&lt;'Données projet'!$A$166,$DL$205^A37,IF(A37='Données projet'!$A$166,'Données projet'!$B$166,DO36+DN37-DW36)))</f>
        <v>127.39999999999996</v>
      </c>
      <c r="DP37" s="17">
        <f>DO37*VLOOKUP('Données projet'!$B$14,Paramètres!$A$1:$I$89,3,0)*VLOOKUP('Données projet'!$B$14,Paramètres!$A$1:$I$89,5,0)</f>
        <v>93.409679999999966</v>
      </c>
      <c r="DQ37" s="13">
        <f t="shared" si="43"/>
        <v>25.385769584238624</v>
      </c>
      <c r="DR37" s="20">
        <f t="shared" si="16"/>
        <v>206.90207469254884</v>
      </c>
      <c r="DS37" s="59">
        <f t="shared" si="17"/>
        <v>500.23540802588218</v>
      </c>
      <c r="DT37" s="59">
        <f ca="1">AVERAGE(OFFSET($DS$3,0,0,'Données projet'!$E$14+1,1))-AVERAGE(OFFSET($H$3,0,0,'Données projet'!$E$14+1,1))</f>
        <v>208.48147873805715</v>
      </c>
      <c r="DU37" s="59">
        <f t="shared" si="44"/>
        <v>209.50570914630686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0.32624898099880839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0.32624898099880839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14.319230769230776</v>
      </c>
      <c r="EJ37" s="12">
        <f>IF('Données projet'!$A$192&gt;35,EJ36+EI37-ER36,IF(A37&lt;'Données projet'!$A$192,$EG$205^A37,IF(A37='Données projet'!$A$192,'Données projet'!$B$192,EJ36+EI37-ER36)))</f>
        <v>233.93846153846161</v>
      </c>
      <c r="EK37" s="17">
        <f>EJ37*VLOOKUP('Données projet'!$B$15,Paramètres!$A$1:$I$89,3,0)*VLOOKUP('Données projet'!$B$15,Paramètres!$A$1:$I$89,5,0)</f>
        <v>139.89520000000007</v>
      </c>
      <c r="EL37" s="13">
        <f t="shared" si="45"/>
        <v>36.272996240404318</v>
      </c>
      <c r="EM37" s="20">
        <f t="shared" si="19"/>
        <v>306.82627511870436</v>
      </c>
      <c r="EN37" s="59">
        <f t="shared" si="20"/>
        <v>600.15960845203767</v>
      </c>
      <c r="EO37" s="59">
        <f ca="1">AVERAGE(OFFSET($EN$3,0,0,'Données projet'!$E$15+1,1))-AVERAGE(OFFSET($H$3,0,0,'Données projet'!$E$15+1,1))</f>
        <v>247.31680974612766</v>
      </c>
      <c r="EP37" s="59">
        <f t="shared" si="46"/>
        <v>257.13949761071882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10.787079163141678</v>
      </c>
      <c r="EW37" s="21">
        <f>EXP(-LN(2)/25)*EW36+(1-EXP(-LN(2)/25))/(LN(2)/25)*Calculateur!ER37*Calculateur!ET37*VLOOKUP('Données projet'!$B$15,Paramètres!$A$1:$I$89,3,0)*0.475*44/12</f>
        <v>15.649757642930702</v>
      </c>
      <c r="EX37" s="21">
        <f>EXP(-LN(2)/2)*EX36+(1-EXP(-LN(2)/2))/(LN(2)/2)*ER37*EU37*VLOOKUP('Données projet'!$B$15,Paramètres!$A$1:$I$89,3,0)*0.475*44/12</f>
        <v>1.1437863534159423</v>
      </c>
      <c r="EY37" s="22">
        <f t="shared" si="21"/>
        <v>27.580623159488319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6.2243999999999948</v>
      </c>
      <c r="D38" s="11">
        <f t="shared" si="32"/>
        <v>2.3185507720937828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13.189116981478117</v>
      </c>
      <c r="H38" s="67">
        <f t="shared" si="1"/>
        <v>271.54563926139667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10.407692307692306</v>
      </c>
      <c r="N38" s="13">
        <f>IF('Données projet'!$A$36&gt;35,N37+M38-V37,IF(A38&lt;'Données projet'!$A$36,$K$205^A38,IF(A38='Données projet'!$A$36,'Données projet'!$B$36,N37+M38-V37)))</f>
        <v>155.3153846153846</v>
      </c>
      <c r="O38" s="13">
        <f>N38*VLOOKUP('Données projet'!$B$9,Paramètres!$A$1:$I$89,3,0)*VLOOKUP('Données projet'!$B$9,Paramètres!$A$1:$I$89,5,0)</f>
        <v>72.687600000000003</v>
      </c>
      <c r="P38" s="13">
        <f t="shared" si="33"/>
        <v>20.339412865653394</v>
      </c>
      <c r="Q38" s="20">
        <f t="shared" si="53"/>
        <v>162.02204740767968</v>
      </c>
      <c r="R38" s="59">
        <f t="shared" si="0"/>
        <v>455.35538074101299</v>
      </c>
      <c r="S38" s="59">
        <f ca="1">AVERAGE(OFFSET($R$3,0,0,'Données projet'!$E$9+1,1))-AVERAGE(OFFSET($H$3,0,0,'Données projet'!$E$9+1,1))</f>
        <v>223.99456146593315</v>
      </c>
      <c r="T38" s="59">
        <f t="shared" si="34"/>
        <v>132.73290587325937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181</v>
      </c>
      <c r="AG38" s="12">
        <f>VLOOKUP(A38,'Données projet'!$A$61:$I$81,9,0)</f>
        <v>8.6</v>
      </c>
      <c r="AH38" s="12">
        <f t="array" ref="AH38">INDEX(AG:AG,MIN(IF(ISNUMBER(AG38:AG234),ROW(AG38:AG234),"")))</f>
        <v>8.6</v>
      </c>
      <c r="AI38" s="13">
        <f>IF('Données projet'!$A$62&gt;35,AI37+AH38-AQ37,IF(A38&lt;'Données projet'!$A$62,$AF$205^A38,IF(A38='Données projet'!$A$62,'Données projet'!$B$62,AI37+AH38-AQ37)))</f>
        <v>181</v>
      </c>
      <c r="AJ38" s="13">
        <f>AI38*VLOOKUP('Données projet'!$B$10,Paramètres!$A$1:$I$89,3,0)*VLOOKUP('Données projet'!$B$10,Paramètres!$A$1:$I$89,5,0)</f>
        <v>118.5912</v>
      </c>
      <c r="AK38" s="13">
        <f t="shared" si="35"/>
        <v>31.346194334434067</v>
      </c>
      <c r="AL38" s="20">
        <f t="shared" si="4"/>
        <v>261.14096179913935</v>
      </c>
      <c r="AM38" s="59">
        <f t="shared" si="5"/>
        <v>554.47429513247266</v>
      </c>
      <c r="AN38" s="59">
        <f ca="1">AVERAGE(OFFSET($AM$3,0,0,'Données projet'!$E$10+1,1))-AVERAGE(OFFSET($H$3,0,0,'Données projet'!$E$10+1,1))</f>
        <v>244.43587473734613</v>
      </c>
      <c r="AO38" s="59">
        <f t="shared" si="36"/>
        <v>256.80261402149375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25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4.3000000000000003E-2</v>
      </c>
      <c r="AT38" s="16">
        <f>IF(ISNA(VLOOKUP(A38,'Données projet'!$A$61:$I$81,7,0)),0%,VLOOKUP(A38,'Données projet'!$A$61:$I$81,7,0))</f>
        <v>0.3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2.18189030223424</v>
      </c>
      <c r="AW38" s="21">
        <f>EXP(-LN(2)/2)*AW37+(1-EXP(-LN(2)/2))/(LN(2)/2)*AQ38*AT38*VLOOKUP('Données projet'!$B$10,Paramètres!$A$1:$I$89,3,0)*0.475*44/12</f>
        <v>5.5232546314719606</v>
      </c>
      <c r="AX38" s="21">
        <f t="shared" si="6"/>
        <v>7.705144933706201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505</v>
      </c>
      <c r="BB38" s="12">
        <f>VLOOKUP(A38,'Données projet'!$A$87:$I$107,9,0)</f>
        <v>27.6</v>
      </c>
      <c r="BC38" s="12">
        <f t="array" ref="BC38">INDEX(BB:BB,MIN(IF(ISNUMBER(BB38:BB234),ROW(BB38:BB234),"")))</f>
        <v>27.6</v>
      </c>
      <c r="BD38" s="12">
        <f>IF('Données projet'!$A$88&gt;35,BD37+BC38-BL37,IF(A38&lt;'Données projet'!$A$88,$BA$205^A38,IF(A38='Données projet'!$A$88,'Données projet'!$B$88,BD37+BC38-BL37)))</f>
        <v>505.00000000000011</v>
      </c>
      <c r="BE38" s="13">
        <f>BD38*VLOOKUP('Données projet'!$B$11,Paramètres!$A$1:$I$89,3,0)*VLOOKUP('Données projet'!$B$11,Paramètres!$A$1:$I$89,5,0)</f>
        <v>282.29500000000007</v>
      </c>
      <c r="BF38" s="13">
        <f t="shared" si="37"/>
        <v>67.451777696853824</v>
      </c>
      <c r="BG38" s="20">
        <f t="shared" si="7"/>
        <v>609.14230448868716</v>
      </c>
      <c r="BH38" s="59">
        <f t="shared" si="8"/>
        <v>902.47563782202042</v>
      </c>
      <c r="BI38" s="59">
        <f ca="1">AVERAGE(OFFSET($BH$3,0,0,'Données projet'!$E$11+1,1))-AVERAGE(OFFSET($H$3,0,0,'Données projet'!$E$11+1,1))</f>
        <v>430.60186171079067</v>
      </c>
      <c r="BJ38" s="59">
        <f t="shared" si="38"/>
        <v>533.76627289533985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69</v>
      </c>
      <c r="BM38" s="16">
        <f>IF(ISNA(VLOOKUP(A38,'Données projet'!$A$87:$I$107,5,0)),0%,VLOOKUP(A38,'Données projet'!$A$87:$I$107,5,0)*VLOOKUP('Données projet'!$B$11,Paramètres!$A$1:$I$89,7,0))</f>
        <v>0.38500000000000001</v>
      </c>
      <c r="BN38" s="16">
        <f>IF(ISNA(VLOOKUP(A38,'Données projet'!$A$87:$I$107,6,0)),0%,VLOOKUP(A38,'Données projet'!$A$87:$I$107,6,0)*VLOOKUP('Données projet'!$B$11,Paramètres!$A$1:$I$89,7,0))</f>
        <v>9.240000000000001E-2</v>
      </c>
      <c r="BO38" s="16">
        <f>IF(ISNA(VLOOKUP(A38,'Données projet'!$A$87:$I$107,7,0)),0%,VLOOKUP(A38,'Données projet'!$A$87:$I$107,7,0))</f>
        <v>0.13200000000000001</v>
      </c>
      <c r="BP38" s="21">
        <f>EXP(-LN(2)/35)*BP37+(1-EXP(-LN(2)/35))/(LN(2)/35)*BL38*BM38*VLOOKUP('Données projet'!$B$11,Paramètres!$A$1:$I$89,3,0)*0.475*44/12</f>
        <v>33.662637218620887</v>
      </c>
      <c r="BQ38" s="21">
        <f>EXP(-LN(2)/25)*BQ37+(1-EXP(-LN(2)/25))/(LN(2)/25)*Calculateur!BL38*Calculateur!BN38*VLOOKUP('Données projet'!$B$11,Paramètres!$A$1:$I$89,3,0)*0.475*44/12</f>
        <v>17.227799263391621</v>
      </c>
      <c r="BR38" s="21">
        <f>EXP(-LN(2)/2)*BR37+(1-EXP(-LN(2)/2))/(LN(2)/2)*BL38*BO38*VLOOKUP('Données projet'!$B$11,Paramètres!$A$1:$I$89,3,0)*0.475*44/12</f>
        <v>7.0320745069307531</v>
      </c>
      <c r="BS38" s="22">
        <f t="shared" si="9"/>
        <v>57.922510988943259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10.711538461538463</v>
      </c>
      <c r="BY38" s="12">
        <f>IF('Données projet'!$A$114&gt;35,BY37+BX38-CG37,IF(A38&lt;'Données projet'!$A$114,$BV$205^A38,IF(A38='Données projet'!$A$114,'Données projet'!$B$114,BY37+BX38-CG37)))</f>
        <v>135.3576923076923</v>
      </c>
      <c r="BZ38" s="13">
        <f>BY38*VLOOKUP('Données projet'!$B$12,Paramètres!$A$1:$I$89,3,0)*VLOOKUP('Données projet'!$B$12,Paramètres!$A$1:$I$89,5,0)</f>
        <v>80.943899999999999</v>
      </c>
      <c r="CA38" s="13">
        <f t="shared" si="39"/>
        <v>22.367814797749343</v>
      </c>
      <c r="CB38" s="20">
        <f t="shared" si="10"/>
        <v>179.93456993941342</v>
      </c>
      <c r="CC38" s="59">
        <f t="shared" si="11"/>
        <v>473.26790327274671</v>
      </c>
      <c r="CD38" s="59">
        <f ca="1">AVERAGE(OFFSET($CC$3,0,0,'Données projet'!$E$12+1,1))-AVERAGE(OFFSET($H$3,0,0,'Données projet'!$E$12+1,1))</f>
        <v>215.89467197072673</v>
      </c>
      <c r="CE38" s="59">
        <f t="shared" si="40"/>
        <v>188.21397398859534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9.7648033741793938</v>
      </c>
      <c r="CL38" s="21">
        <f>EXP(-LN(2)/25)*CL37+(1-EXP(-LN(2)/25))/(LN(2)/25)*Calculateur!CG38*Calculateur!CI38*VLOOKUP('Données projet'!$B$12,Paramètres!$A$1:$I$89,3,0)*0.475*44/12</f>
        <v>10.043005418416564</v>
      </c>
      <c r="CM38" s="21">
        <f>EXP(-LN(2)/2)*CM37+(1-EXP(-LN(2)/2))/(LN(2)/2)*CG38*CJ38*VLOOKUP('Données projet'!$B$12,Paramètres!$A$1:$I$89,3,0)*0.475*44/12</f>
        <v>1.7893154342062672</v>
      </c>
      <c r="CN38" s="22">
        <f t="shared" si="12"/>
        <v>21.597124226802222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3.5192307692307692</v>
      </c>
      <c r="CT38" s="12">
        <f>IF('Données projet'!$A$140&gt;35,CT37+CS38-DB37,IF(A38&lt;'Données projet'!$A$140,$CQ$205^A38,IF(A38='Données projet'!$A$140,'Données projet'!$B$140,CT37+CS38-DB37)))</f>
        <v>74.339743589743591</v>
      </c>
      <c r="CU38" s="17">
        <f>CT38*VLOOKUP('Données projet'!$B$13,Paramètres!$A$1:$I$89,3,0)*VLOOKUP('Données projet'!$B$13,Paramètres!$A$1:$I$89,5,0)</f>
        <v>75.380499999999998</v>
      </c>
      <c r="CV38" s="13">
        <f t="shared" si="41"/>
        <v>21.003812343342585</v>
      </c>
      <c r="CW38" s="20">
        <f t="shared" si="13"/>
        <v>167.86934399798835</v>
      </c>
      <c r="CX38" s="59">
        <f t="shared" si="14"/>
        <v>461.20267733132164</v>
      </c>
      <c r="CY38" s="59">
        <f ca="1">AVERAGE(OFFSET($CX$3,0,0,'Données projet'!$E$13+1,1))-AVERAGE(OFFSET($H$3,0,0,'Données projet'!$E$13+1,1))</f>
        <v>342.82846711287749</v>
      </c>
      <c r="CZ38" s="59">
        <f t="shared" si="42"/>
        <v>152.87724741106297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136</v>
      </c>
      <c r="DM38" s="12">
        <f>VLOOKUP(A38,'Données projet'!$A$165:$I$185,9,0)</f>
        <v>8.6</v>
      </c>
      <c r="DN38" s="12">
        <f t="array" ref="DN38">INDEX(DM:DM,MIN(IF(ISNUMBER(DM38:DM234),ROW(DM38:DM234),"")))</f>
        <v>8.6</v>
      </c>
      <c r="DO38" s="12">
        <f>IF('Données projet'!$A$166&gt;35,DO37+DN38-DW37,IF(A38&lt;'Données projet'!$A$166,$DL$205^A38,IF(A38='Données projet'!$A$166,'Données projet'!$B$166,DO37+DN38-DW37)))</f>
        <v>135.99999999999997</v>
      </c>
      <c r="DP38" s="17">
        <f>DO38*VLOOKUP('Données projet'!$B$14,Paramètres!$A$1:$I$89,3,0)*VLOOKUP('Données projet'!$B$14,Paramètres!$A$1:$I$89,5,0)</f>
        <v>99.715199999999967</v>
      </c>
      <c r="DQ38" s="13">
        <f t="shared" si="43"/>
        <v>26.894136617382159</v>
      </c>
      <c r="DR38" s="20">
        <f t="shared" si="16"/>
        <v>220.51126127527388</v>
      </c>
      <c r="DS38" s="59">
        <f t="shared" si="17"/>
        <v>513.84459460860717</v>
      </c>
      <c r="DT38" s="59">
        <f ca="1">AVERAGE(OFFSET($DS$3,0,0,'Données projet'!$E$14+1,1))-AVERAGE(OFFSET($H$3,0,0,'Données projet'!$E$14+1,1))</f>
        <v>208.48147873805715</v>
      </c>
      <c r="DU38" s="59">
        <f t="shared" si="44"/>
        <v>209.50570914630686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21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8.1699999999999995E-2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1.7024800885174267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1.7024800885174267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14.319230769230776</v>
      </c>
      <c r="EJ38" s="12">
        <f>IF('Données projet'!$A$192&gt;35,EJ37+EI38-ER37,IF(A38&lt;'Données projet'!$A$192,$EG$205^A38,IF(A38='Données projet'!$A$192,'Données projet'!$B$192,EJ37+EI38-ER37)))</f>
        <v>248.25769230769239</v>
      </c>
      <c r="EK38" s="17">
        <f>EJ38*VLOOKUP('Données projet'!$B$15,Paramètres!$A$1:$I$89,3,0)*VLOOKUP('Données projet'!$B$15,Paramètres!$A$1:$I$89,5,0)</f>
        <v>148.45810000000006</v>
      </c>
      <c r="EL38" s="13">
        <f t="shared" si="45"/>
        <v>38.227972875965627</v>
      </c>
      <c r="EM38" s="20">
        <f t="shared" si="19"/>
        <v>325.1449102589736</v>
      </c>
      <c r="EN38" s="59">
        <f t="shared" si="20"/>
        <v>618.47824359230685</v>
      </c>
      <c r="EO38" s="59">
        <f ca="1">AVERAGE(OFFSET($EN$3,0,0,'Données projet'!$E$15+1,1))-AVERAGE(OFFSET($H$3,0,0,'Données projet'!$E$15+1,1))</f>
        <v>247.31680974612766</v>
      </c>
      <c r="EP38" s="59">
        <f t="shared" si="46"/>
        <v>257.13949761071882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10.575551120221091</v>
      </c>
      <c r="EW38" s="21">
        <f>EXP(-LN(2)/25)*EW37+(1-EXP(-LN(2)/25))/(LN(2)/25)*Calculateur!ER38*Calculateur!ET38*VLOOKUP('Données projet'!$B$15,Paramètres!$A$1:$I$89,3,0)*0.475*44/12</f>
        <v>15.221814197199775</v>
      </c>
      <c r="EX38" s="21">
        <f>EXP(-LN(2)/2)*EX37+(1-EXP(-LN(2)/2))/(LN(2)/2)*ER38*EU38*VLOOKUP('Données projet'!$B$15,Paramètres!$A$1:$I$89,3,0)*0.475*44/12</f>
        <v>0.80877908672904586</v>
      </c>
      <c r="EY38" s="22">
        <f t="shared" si="21"/>
        <v>26.606144404149912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6.4022399999999946</v>
      </c>
      <c r="D39" s="11">
        <f t="shared" si="32"/>
        <v>2.3769879291519458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13.553895750269662</v>
      </c>
      <c r="H39" s="67">
        <f t="shared" si="1"/>
        <v>271.95715530993965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10.407692307692306</v>
      </c>
      <c r="N39" s="13">
        <f>IF('Données projet'!$A$36&gt;35,N38+M39-V38,IF(A39&lt;'Données projet'!$A$36,$K$205^A39,IF(A39='Données projet'!$A$36,'Données projet'!$B$36,N38+M39-V38)))</f>
        <v>165.72307692307692</v>
      </c>
      <c r="O39" s="13">
        <f>N39*VLOOKUP('Données projet'!$B$9,Paramètres!$A$1:$I$89,3,0)*VLOOKUP('Données projet'!$B$9,Paramètres!$A$1:$I$89,5,0)</f>
        <v>77.558400000000006</v>
      </c>
      <c r="P39" s="13">
        <f t="shared" si="33"/>
        <v>21.539127592741618</v>
      </c>
      <c r="Q39" s="20">
        <f t="shared" si="53"/>
        <v>172.59486055735832</v>
      </c>
      <c r="R39" s="59">
        <f t="shared" si="0"/>
        <v>465.92819389069166</v>
      </c>
      <c r="S39" s="59">
        <f ca="1">AVERAGE(OFFSET($R$3,0,0,'Données projet'!$E$9+1,1))-AVERAGE(OFFSET($H$3,0,0,'Données projet'!$E$9+1,1))</f>
        <v>223.99456146593315</v>
      </c>
      <c r="T39" s="59">
        <f t="shared" si="34"/>
        <v>132.73290587325937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7.8</v>
      </c>
      <c r="AI39" s="13">
        <f>IF('Données projet'!$A$62&gt;35,AI38+AH39-AQ38,IF(A39&lt;'Données projet'!$A$62,$AF$205^A39,IF(A39='Données projet'!$A$62,'Données projet'!$B$62,AI38+AH39-AQ38)))</f>
        <v>163.80000000000001</v>
      </c>
      <c r="AJ39" s="13">
        <f>AI39*VLOOKUP('Données projet'!$B$10,Paramètres!$A$1:$I$89,3,0)*VLOOKUP('Données projet'!$B$10,Paramètres!$A$1:$I$89,5,0)</f>
        <v>107.32176000000001</v>
      </c>
      <c r="AK39" s="13">
        <f t="shared" si="35"/>
        <v>28.699067963776873</v>
      </c>
      <c r="AL39" s="20">
        <f t="shared" si="4"/>
        <v>236.90294203691141</v>
      </c>
      <c r="AM39" s="59">
        <f t="shared" si="5"/>
        <v>530.2362753702447</v>
      </c>
      <c r="AN39" s="59">
        <f ca="1">AVERAGE(OFFSET($AM$3,0,0,'Données projet'!$E$10+1,1))-AVERAGE(OFFSET($H$3,0,0,'Données projet'!$E$10+1,1))</f>
        <v>244.43587473734613</v>
      </c>
      <c r="AO39" s="59">
        <f t="shared" si="36"/>
        <v>256.80261402149375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2.1222263971790203</v>
      </c>
      <c r="AW39" s="21">
        <f>EXP(-LN(2)/2)*AW38+(1-EXP(-LN(2)/2))/(LN(2)/2)*AQ39*AT39*VLOOKUP('Données projet'!$B$10,Paramètres!$A$1:$I$89,3,0)*0.475*44/12</f>
        <v>3.905530804133829</v>
      </c>
      <c r="AX39" s="21">
        <f t="shared" si="6"/>
        <v>6.0277572013128493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25.6</v>
      </c>
      <c r="BD39" s="12">
        <f>IF('Données projet'!$A$88&gt;35,BD38+BC39-BL38,IF(A39&lt;'Données projet'!$A$88,$BA$205^A39,IF(A39='Données projet'!$A$88,'Données projet'!$B$88,BD38+BC39-BL38)))</f>
        <v>461.60000000000014</v>
      </c>
      <c r="BE39" s="13">
        <f>BD39*VLOOKUP('Données projet'!$B$11,Paramètres!$A$1:$I$89,3,0)*VLOOKUP('Données projet'!$B$11,Paramètres!$A$1:$I$89,5,0)</f>
        <v>258.03440000000006</v>
      </c>
      <c r="BF39" s="13">
        <f t="shared" si="37"/>
        <v>62.303206596431174</v>
      </c>
      <c r="BG39" s="20">
        <f t="shared" si="7"/>
        <v>557.9213314887844</v>
      </c>
      <c r="BH39" s="59">
        <f t="shared" si="8"/>
        <v>851.25466482211777</v>
      </c>
      <c r="BI39" s="59">
        <f ca="1">AVERAGE(OFFSET($BH$3,0,0,'Données projet'!$E$11+1,1))-AVERAGE(OFFSET($H$3,0,0,'Données projet'!$E$11+1,1))</f>
        <v>430.60186171079067</v>
      </c>
      <c r="BJ39" s="59">
        <f t="shared" si="38"/>
        <v>533.76627289533985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33.00253343494505</v>
      </c>
      <c r="BQ39" s="21">
        <f>EXP(-LN(2)/25)*BQ38+(1-EXP(-LN(2)/25))/(LN(2)/25)*Calculateur!BL39*Calculateur!BN39*VLOOKUP('Données projet'!$B$11,Paramètres!$A$1:$I$89,3,0)*0.475*44/12</f>
        <v>16.756704186563589</v>
      </c>
      <c r="BR39" s="21">
        <f>EXP(-LN(2)/2)*BR38+(1-EXP(-LN(2)/2))/(LN(2)/2)*BL39*BO39*VLOOKUP('Données projet'!$B$11,Paramètres!$A$1:$I$89,3,0)*0.475*44/12</f>
        <v>4.9724275696597831</v>
      </c>
      <c r="BS39" s="22">
        <f t="shared" si="9"/>
        <v>54.731665191168425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10.711538461538463</v>
      </c>
      <c r="BY39" s="12">
        <f>IF('Données projet'!$A$114&gt;35,BY38+BX39-CG38,IF(A39&lt;'Données projet'!$A$114,$BV$205^A39,IF(A39='Données projet'!$A$114,'Données projet'!$B$114,BY38+BX39-CG38)))</f>
        <v>146.06923076923076</v>
      </c>
      <c r="BZ39" s="13">
        <f>BY39*VLOOKUP('Données projet'!$B$12,Paramètres!$A$1:$I$89,3,0)*VLOOKUP('Données projet'!$B$12,Paramètres!$A$1:$I$89,5,0)</f>
        <v>87.349400000000003</v>
      </c>
      <c r="CA39" s="13">
        <f t="shared" si="39"/>
        <v>23.924856172572387</v>
      </c>
      <c r="CB39" s="20">
        <f t="shared" si="10"/>
        <v>193.8026628338969</v>
      </c>
      <c r="CC39" s="59">
        <f t="shared" si="11"/>
        <v>487.13599616723025</v>
      </c>
      <c r="CD39" s="59">
        <f ca="1">AVERAGE(OFFSET($CC$3,0,0,'Données projet'!$E$12+1,1))-AVERAGE(OFFSET($H$3,0,0,'Données projet'!$E$12+1,1))</f>
        <v>215.89467197072673</v>
      </c>
      <c r="CE39" s="59">
        <f t="shared" si="40"/>
        <v>188.21397398859534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9.5733215359536938</v>
      </c>
      <c r="CL39" s="21">
        <f>EXP(-LN(2)/25)*CL38+(1-EXP(-LN(2)/25))/(LN(2)/25)*Calculateur!CG39*Calculateur!CI39*VLOOKUP('Données projet'!$B$12,Paramètres!$A$1:$I$89,3,0)*0.475*44/12</f>
        <v>9.7683789071112628</v>
      </c>
      <c r="CM39" s="21">
        <f>EXP(-LN(2)/2)*CM38+(1-EXP(-LN(2)/2))/(LN(2)/2)*CG39*CJ39*VLOOKUP('Données projet'!$B$12,Paramètres!$A$1:$I$89,3,0)*0.475*44/12</f>
        <v>1.2652370772090034</v>
      </c>
      <c r="CN39" s="22">
        <f t="shared" si="12"/>
        <v>20.606937520273963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3.5192307692307692</v>
      </c>
      <c r="CT39" s="12">
        <f>IF('Données projet'!$A$140&gt;35,CT38+CS39-DB38,IF(A39&lt;'Données projet'!$A$140,$CQ$205^A39,IF(A39='Données projet'!$A$140,'Données projet'!$B$140,CT38+CS39-DB38)))</f>
        <v>77.858974358974365</v>
      </c>
      <c r="CU39" s="17">
        <f>CT39*VLOOKUP('Données projet'!$B$13,Paramètres!$A$1:$I$89,3,0)*VLOOKUP('Données projet'!$B$13,Paramètres!$A$1:$I$89,5,0)</f>
        <v>78.949000000000012</v>
      </c>
      <c r="CV39" s="13">
        <f t="shared" si="41"/>
        <v>21.880011713804979</v>
      </c>
      <c r="CW39" s="20">
        <f t="shared" si="13"/>
        <v>175.61052873487699</v>
      </c>
      <c r="CX39" s="59">
        <f t="shared" si="14"/>
        <v>468.94386206821031</v>
      </c>
      <c r="CY39" s="59">
        <f ca="1">AVERAGE(OFFSET($CX$3,0,0,'Données projet'!$E$13+1,1))-AVERAGE(OFFSET($H$3,0,0,'Données projet'!$E$13+1,1))</f>
        <v>342.82846711287749</v>
      </c>
      <c r="CZ39" s="59">
        <f t="shared" si="42"/>
        <v>152.87724741106297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7.6</v>
      </c>
      <c r="DO39" s="12">
        <f>IF('Données projet'!$A$166&gt;35,DO38+DN39-DW38,IF(A39&lt;'Données projet'!$A$166,$DL$205^A39,IF(A39='Données projet'!$A$166,'Données projet'!$B$166,DO38+DN39-DW38)))</f>
        <v>122.59999999999997</v>
      </c>
      <c r="DP39" s="17">
        <f>DO39*VLOOKUP('Données projet'!$B$14,Paramètres!$A$1:$I$89,3,0)*VLOOKUP('Données projet'!$B$14,Paramètres!$A$1:$I$89,5,0)</f>
        <v>89.890319999999974</v>
      </c>
      <c r="DQ39" s="13">
        <f t="shared" si="43"/>
        <v>24.538770941989274</v>
      </c>
      <c r="DR39" s="20">
        <f t="shared" si="16"/>
        <v>199.29733339063125</v>
      </c>
      <c r="DS39" s="59">
        <f t="shared" si="17"/>
        <v>492.63066672396457</v>
      </c>
      <c r="DT39" s="59">
        <f ca="1">AVERAGE(OFFSET($DS$3,0,0,'Données projet'!$E$14+1,1))-AVERAGE(OFFSET($H$3,0,0,'Données projet'!$E$14+1,1))</f>
        <v>208.48147873805715</v>
      </c>
      <c r="DU39" s="59">
        <f t="shared" si="44"/>
        <v>209.50570914630686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1.6559256809673808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1.6559256809673808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262.57692307692309</v>
      </c>
      <c r="EH39" s="12">
        <f>VLOOKUP(A39,'Données projet'!$A$191:$I$211,9,0)</f>
        <v>14.319230769230776</v>
      </c>
      <c r="EI39" s="12">
        <f t="array" ref="EI39">INDEX(EH:EH,MIN(IF(ISNUMBER(EH39:EH235),ROW(EH39:EH235),"")))</f>
        <v>14.319230769230776</v>
      </c>
      <c r="EJ39" s="12">
        <f>IF('Données projet'!$A$192&gt;35,EJ38+EI39-ER38,IF(A39&lt;'Données projet'!$A$192,$EG$205^A39,IF(A39='Données projet'!$A$192,'Données projet'!$B$192,EJ38+EI39-ER38)))</f>
        <v>262.57692307692315</v>
      </c>
      <c r="EK39" s="17">
        <f>EJ39*VLOOKUP('Données projet'!$B$15,Paramètres!$A$1:$I$89,3,0)*VLOOKUP('Données projet'!$B$15,Paramètres!$A$1:$I$89,5,0)</f>
        <v>157.02100000000007</v>
      </c>
      <c r="EL39" s="13">
        <f t="shared" si="45"/>
        <v>40.169860444278903</v>
      </c>
      <c r="EM39" s="20">
        <f t="shared" si="19"/>
        <v>343.44074860711925</v>
      </c>
      <c r="EN39" s="59">
        <f t="shared" si="20"/>
        <v>636.77408194045256</v>
      </c>
      <c r="EO39" s="59">
        <f ca="1">AVERAGE(OFFSET($EN$3,0,0,'Données projet'!$E$15+1,1))-AVERAGE(OFFSET($H$3,0,0,'Données projet'!$E$15+1,1))</f>
        <v>247.31680974612766</v>
      </c>
      <c r="EP39" s="59">
        <f t="shared" si="46"/>
        <v>257.13949761071882</v>
      </c>
      <c r="EQ39" s="15">
        <f>IF(ISNA(VLOOKUP(A39,'Données projet'!$A$191:$I$211,3,0)),0,VLOOKUP(A39,'Données projet'!$A$191:$I$211,3,0))</f>
        <v>4</v>
      </c>
      <c r="ER39" s="15">
        <f>IF(ISNA(VLOOKUP(A39,'Données projet'!$A$191:$I$211,4,0)),0,VLOOKUP(A39,'Données projet'!$A$191:$I$211,4,0))</f>
        <v>64.553846153846152</v>
      </c>
      <c r="ES39" s="16">
        <f>IF(ISNA(VLOOKUP(A39,'Données projet'!$A$191:$I$211,5,0)),0%,VLOOKUP(A39,'Données projet'!$A$191:$I$211,5,0)*VLOOKUP('Données projet'!$B$15,Paramètres!$A$1:$I$89,7,0))</f>
        <v>0.315</v>
      </c>
      <c r="ET39" s="16">
        <f>IF(ISNA(VLOOKUP(A39,'Données projet'!$A$191:$I$211,6,0)),0%,VLOOKUP(A39,'Données projet'!$A$191:$I$211,6,0)*VLOOKUP('Données projet'!$B$15,Paramètres!$A$1:$I$89,7,0))</f>
        <v>7.5600000000000001E-2</v>
      </c>
      <c r="EU39" s="16">
        <f>IF(ISNA(VLOOKUP(A39,'Données projet'!$A$191:$I$211,7,0)),0%,VLOOKUP(A39,'Données projet'!$A$191:$I$211,7,0))</f>
        <v>0.13200000000000001</v>
      </c>
      <c r="EV39" s="21">
        <f>EXP(-LN(2)/35)*EV38+(1-EXP(-LN(2)/35))/(LN(2)/35)*ER39*ES39*VLOOKUP('Données projet'!$B$15,Paramètres!$A$1:$I$89,3,0)*0.475*44/12</f>
        <v>26.499205403863257</v>
      </c>
      <c r="EW39" s="21">
        <f>EXP(-LN(2)/25)*EW38+(1-EXP(-LN(2)/25))/(LN(2)/25)*Calculateur!ER39*Calculateur!ET39*VLOOKUP('Données projet'!$B$15,Paramètres!$A$1:$I$89,3,0)*0.475*44/12</f>
        <v>18.661777774342958</v>
      </c>
      <c r="EX39" s="21">
        <f>EXP(-LN(2)/2)*EX38+(1-EXP(-LN(2)/2))/(LN(2)/2)*ER39*EU39*VLOOKUP('Données projet'!$B$15,Paramètres!$A$1:$I$89,3,0)*0.475*44/12</f>
        <v>6.3413214339872948</v>
      </c>
      <c r="EY39" s="22">
        <f t="shared" si="21"/>
        <v>51.502304612193512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6.5800799999999944</v>
      </c>
      <c r="D40" s="11">
        <f t="shared" si="32"/>
        <v>2.4352364188991622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13.918383243212736</v>
      </c>
      <c r="H40" s="67">
        <f t="shared" si="1"/>
        <v>272.36834276291603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10.407692307692306</v>
      </c>
      <c r="N40" s="13">
        <f>IF('Données projet'!$A$36&gt;35,N39+M40-V39,IF(A40&lt;'Données projet'!$A$36,$K$205^A40,IF(A40='Données projet'!$A$36,'Données projet'!$B$36,N39+M40-V39)))</f>
        <v>176.13076923076923</v>
      </c>
      <c r="O40" s="13">
        <f>N40*VLOOKUP('Données projet'!$B$9,Paramètres!$A$1:$I$89,3,0)*VLOOKUP('Données projet'!$B$9,Paramètres!$A$1:$I$89,5,0)</f>
        <v>82.429199999999994</v>
      </c>
      <c r="P40" s="13">
        <f t="shared" si="33"/>
        <v>22.730098173705116</v>
      </c>
      <c r="Q40" s="20">
        <f t="shared" si="53"/>
        <v>183.15244431920306</v>
      </c>
      <c r="R40" s="59">
        <f t="shared" si="0"/>
        <v>476.4857776525364</v>
      </c>
      <c r="S40" s="59">
        <f ca="1">AVERAGE(OFFSET($R$3,0,0,'Données projet'!$E$9+1,1))-AVERAGE(OFFSET($H$3,0,0,'Données projet'!$E$9+1,1))</f>
        <v>223.99456146593315</v>
      </c>
      <c r="T40" s="59">
        <f t="shared" si="34"/>
        <v>132.73290587325937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7.8</v>
      </c>
      <c r="AI40" s="13">
        <f>IF('Données projet'!$A$62&gt;35,AI39+AH40-AQ39,IF(A40&lt;'Données projet'!$A$62,$AF$205^A40,IF(A40='Données projet'!$A$62,'Données projet'!$B$62,AI39+AH40-AQ39)))</f>
        <v>171.60000000000002</v>
      </c>
      <c r="AJ40" s="13">
        <f>AI40*VLOOKUP('Données projet'!$B$10,Paramètres!$A$1:$I$89,3,0)*VLOOKUP('Données projet'!$B$10,Paramètres!$A$1:$I$89,5,0)</f>
        <v>112.43232</v>
      </c>
      <c r="AK40" s="13">
        <f t="shared" si="35"/>
        <v>29.903326635598326</v>
      </c>
      <c r="AL40" s="20">
        <f t="shared" si="4"/>
        <v>247.90125122366706</v>
      </c>
      <c r="AM40" s="59">
        <f t="shared" si="5"/>
        <v>541.2345845570004</v>
      </c>
      <c r="AN40" s="59">
        <f ca="1">AVERAGE(OFFSET($AM$3,0,0,'Données projet'!$E$10+1,1))-AVERAGE(OFFSET($H$3,0,0,'Données projet'!$E$10+1,1))</f>
        <v>244.43587473734613</v>
      </c>
      <c r="AO40" s="59">
        <f t="shared" si="36"/>
        <v>256.80261402149375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2.0641940047451244</v>
      </c>
      <c r="AW40" s="21">
        <f>EXP(-LN(2)/2)*AW39+(1-EXP(-LN(2)/2))/(LN(2)/2)*AQ40*AT40*VLOOKUP('Données projet'!$B$10,Paramètres!$A$1:$I$89,3,0)*0.475*44/12</f>
        <v>2.7616273157359807</v>
      </c>
      <c r="AX40" s="21">
        <f t="shared" si="6"/>
        <v>4.8258213204811051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25.6</v>
      </c>
      <c r="BD40" s="12">
        <f>IF('Données projet'!$A$88&gt;35,BD39+BC40-BL39,IF(A40&lt;'Données projet'!$A$88,$BA$205^A40,IF(A40='Données projet'!$A$88,'Données projet'!$B$88,BD39+BC40-BL39)))</f>
        <v>487.20000000000016</v>
      </c>
      <c r="BE40" s="13">
        <f>BD40*VLOOKUP('Données projet'!$B$11,Paramètres!$A$1:$I$89,3,0)*VLOOKUP('Données projet'!$B$11,Paramètres!$A$1:$I$89,5,0)</f>
        <v>272.34480000000008</v>
      </c>
      <c r="BF40" s="13">
        <f t="shared" si="37"/>
        <v>65.346644318451709</v>
      </c>
      <c r="BG40" s="20">
        <f t="shared" si="7"/>
        <v>588.14593218797006</v>
      </c>
      <c r="BH40" s="59">
        <f t="shared" si="8"/>
        <v>881.47926552130343</v>
      </c>
      <c r="BI40" s="59">
        <f ca="1">AVERAGE(OFFSET($BH$3,0,0,'Données projet'!$E$11+1,1))-AVERAGE(OFFSET($H$3,0,0,'Données projet'!$E$11+1,1))</f>
        <v>430.60186171079067</v>
      </c>
      <c r="BJ40" s="59">
        <f t="shared" si="38"/>
        <v>533.76627289533985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32.355373883843548</v>
      </c>
      <c r="BQ40" s="21">
        <f>EXP(-LN(2)/25)*BQ39+(1-EXP(-LN(2)/25))/(LN(2)/25)*Calculateur!BL40*Calculateur!BN40*VLOOKUP('Données projet'!$B$11,Paramètres!$A$1:$I$89,3,0)*0.475*44/12</f>
        <v>16.298491229385231</v>
      </c>
      <c r="BR40" s="21">
        <f>EXP(-LN(2)/2)*BR39+(1-EXP(-LN(2)/2))/(LN(2)/2)*BL40*BO40*VLOOKUP('Données projet'!$B$11,Paramètres!$A$1:$I$89,3,0)*0.475*44/12</f>
        <v>3.5160372534653765</v>
      </c>
      <c r="BS40" s="22">
        <f t="shared" si="9"/>
        <v>52.169902366694153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10.711538461538463</v>
      </c>
      <c r="BY40" s="12">
        <f>IF('Données projet'!$A$114&gt;35,BY39+BX40-CG39,IF(A40&lt;'Données projet'!$A$114,$BV$205^A40,IF(A40='Données projet'!$A$114,'Données projet'!$B$114,BY39+BX40-CG39)))</f>
        <v>156.78076923076921</v>
      </c>
      <c r="BZ40" s="13">
        <f>BY40*VLOOKUP('Données projet'!$B$12,Paramètres!$A$1:$I$89,3,0)*VLOOKUP('Données projet'!$B$12,Paramètres!$A$1:$I$89,5,0)</f>
        <v>93.754899999999992</v>
      </c>
      <c r="CA40" s="13">
        <f t="shared" si="39"/>
        <v>25.468650932882476</v>
      </c>
      <c r="CB40" s="20">
        <f t="shared" si="10"/>
        <v>207.64768454143697</v>
      </c>
      <c r="CC40" s="59">
        <f t="shared" si="11"/>
        <v>500.98101787477026</v>
      </c>
      <c r="CD40" s="59">
        <f ca="1">AVERAGE(OFFSET($CC$3,0,0,'Données projet'!$E$12+1,1))-AVERAGE(OFFSET($H$3,0,0,'Données projet'!$E$12+1,1))</f>
        <v>215.89467197072673</v>
      </c>
      <c r="CE40" s="59">
        <f t="shared" si="40"/>
        <v>188.21397398859534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9.3855945397832112</v>
      </c>
      <c r="CL40" s="21">
        <f>EXP(-LN(2)/25)*CL39+(1-EXP(-LN(2)/25))/(LN(2)/25)*Calculateur!CG40*Calculateur!CI40*VLOOKUP('Données projet'!$B$12,Paramètres!$A$1:$I$89,3,0)*0.475*44/12</f>
        <v>9.5012620721995837</v>
      </c>
      <c r="CM40" s="21">
        <f>EXP(-LN(2)/2)*CM39+(1-EXP(-LN(2)/2))/(LN(2)/2)*CG40*CJ40*VLOOKUP('Données projet'!$B$12,Paramètres!$A$1:$I$89,3,0)*0.475*44/12</f>
        <v>0.89465771710313369</v>
      </c>
      <c r="CN40" s="22">
        <f t="shared" si="12"/>
        <v>19.781514329085926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3.5192307692307692</v>
      </c>
      <c r="CT40" s="12">
        <f>IF('Données projet'!$A$140&gt;35,CT39+CS40-DB39,IF(A40&lt;'Données projet'!$A$140,$CQ$205^A40,IF(A40='Données projet'!$A$140,'Données projet'!$B$140,CT39+CS40-DB39)))</f>
        <v>81.378205128205138</v>
      </c>
      <c r="CU40" s="17">
        <f>CT40*VLOOKUP('Données projet'!$B$13,Paramètres!$A$1:$I$89,3,0)*VLOOKUP('Données projet'!$B$13,Paramètres!$A$1:$I$89,5,0)</f>
        <v>82.517500000000013</v>
      </c>
      <c r="CV40" s="13">
        <f t="shared" si="41"/>
        <v>22.75161159941436</v>
      </c>
      <c r="CW40" s="20">
        <f t="shared" si="13"/>
        <v>183.34370270231338</v>
      </c>
      <c r="CX40" s="59">
        <f t="shared" si="14"/>
        <v>476.67703603564667</v>
      </c>
      <c r="CY40" s="59">
        <f ca="1">AVERAGE(OFFSET($CX$3,0,0,'Données projet'!$E$13+1,1))-AVERAGE(OFFSET($H$3,0,0,'Données projet'!$E$13+1,1))</f>
        <v>342.82846711287749</v>
      </c>
      <c r="CZ40" s="59">
        <f t="shared" si="42"/>
        <v>152.87724741106297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7.6</v>
      </c>
      <c r="DO40" s="12">
        <f>IF('Données projet'!$A$166&gt;35,DO39+DN40-DW39,IF(A40&lt;'Données projet'!$A$166,$DL$205^A40,IF(A40='Données projet'!$A$166,'Données projet'!$B$166,DO39+DN40-DW39)))</f>
        <v>130.19999999999996</v>
      </c>
      <c r="DP40" s="17">
        <f>DO40*VLOOKUP('Données projet'!$B$14,Paramètres!$A$1:$I$89,3,0)*VLOOKUP('Données projet'!$B$14,Paramètres!$A$1:$I$89,5,0)</f>
        <v>95.462639999999979</v>
      </c>
      <c r="DQ40" s="13">
        <f t="shared" si="43"/>
        <v>25.878130159770908</v>
      </c>
      <c r="DR40" s="20">
        <f t="shared" si="16"/>
        <v>211.33517469493427</v>
      </c>
      <c r="DS40" s="59">
        <f t="shared" si="17"/>
        <v>504.66850802826758</v>
      </c>
      <c r="DT40" s="59">
        <f ca="1">AVERAGE(OFFSET($DS$3,0,0,'Données projet'!$E$14+1,1))-AVERAGE(OFFSET($H$3,0,0,'Données projet'!$E$14+1,1))</f>
        <v>208.48147873805715</v>
      </c>
      <c r="DU40" s="59">
        <f t="shared" si="44"/>
        <v>209.50570914630686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1.6106443061399809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1.6106443061399809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13.14134615384615</v>
      </c>
      <c r="EJ40" s="12">
        <f>IF('Données projet'!$A$192&gt;35,EJ39+EI40-ER39,IF(A40&lt;'Données projet'!$A$192,$EG$205^A40,IF(A40='Données projet'!$A$192,'Données projet'!$B$192,EJ39+EI40-ER39)))</f>
        <v>211.16442307692313</v>
      </c>
      <c r="EK40" s="17">
        <f>EJ40*VLOOKUP('Données projet'!$B$15,Paramètres!$A$1:$I$89,3,0)*VLOOKUP('Données projet'!$B$15,Paramètres!$A$1:$I$89,5,0)</f>
        <v>126.27632500000004</v>
      </c>
      <c r="EL40" s="13">
        <f t="shared" si="45"/>
        <v>33.134477451871625</v>
      </c>
      <c r="EM40" s="20">
        <f t="shared" si="19"/>
        <v>277.64048093700984</v>
      </c>
      <c r="EN40" s="59">
        <f t="shared" si="20"/>
        <v>570.97381427034315</v>
      </c>
      <c r="EO40" s="59">
        <f ca="1">AVERAGE(OFFSET($EN$3,0,0,'Données projet'!$E$15+1,1))-AVERAGE(OFFSET($H$3,0,0,'Données projet'!$E$15+1,1))</f>
        <v>247.31680974612766</v>
      </c>
      <c r="EP40" s="59">
        <f t="shared" si="46"/>
        <v>257.13949761071882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25.979572148812839</v>
      </c>
      <c r="EW40" s="21">
        <f>EXP(-LN(2)/25)*EW39+(1-EXP(-LN(2)/25))/(LN(2)/25)*Calculateur!ER40*Calculateur!ET40*VLOOKUP('Données projet'!$B$15,Paramètres!$A$1:$I$89,3,0)*0.475*44/12</f>
        <v>18.151470479723308</v>
      </c>
      <c r="EX40" s="21">
        <f>EXP(-LN(2)/2)*EX39+(1-EXP(-LN(2)/2))/(LN(2)/2)*ER40*EU40*VLOOKUP('Données projet'!$B$15,Paramètres!$A$1:$I$89,3,0)*0.475*44/12</f>
        <v>4.483991387656018</v>
      </c>
      <c r="EY40" s="22">
        <f t="shared" si="21"/>
        <v>48.615034016192169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6.7579199999999942</v>
      </c>
      <c r="D41" s="11">
        <f t="shared" si="32"/>
        <v>2.4933019264456329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14.282588237319567</v>
      </c>
      <c r="H41" s="67">
        <f t="shared" si="1"/>
        <v>272.77921152189282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10.407692307692306</v>
      </c>
      <c r="N41" s="13">
        <f>IF('Données projet'!$A$36&gt;35,N40+M41-V40,IF(A41&lt;'Données projet'!$A$36,$K$205^A41,IF(A41='Données projet'!$A$36,'Données projet'!$B$36,N40+M41-V40)))</f>
        <v>186.53846153846155</v>
      </c>
      <c r="O41" s="13">
        <f>N41*VLOOKUP('Données projet'!$B$9,Paramètres!$A$1:$I$89,3,0)*VLOOKUP('Données projet'!$B$9,Paramètres!$A$1:$I$89,5,0)</f>
        <v>87.300000000000011</v>
      </c>
      <c r="P41" s="13">
        <f t="shared" si="33"/>
        <v>23.912900160000429</v>
      </c>
      <c r="Q41" s="20">
        <f t="shared" si="53"/>
        <v>193.69580111200079</v>
      </c>
      <c r="R41" s="59">
        <f t="shared" si="0"/>
        <v>487.02913444533408</v>
      </c>
      <c r="S41" s="59">
        <f ca="1">AVERAGE(OFFSET($R$3,0,0,'Données projet'!$E$9+1,1))-AVERAGE(OFFSET($H$3,0,0,'Données projet'!$E$9+1,1))</f>
        <v>223.99456146593315</v>
      </c>
      <c r="T41" s="59">
        <f t="shared" si="34"/>
        <v>132.73290587325937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7.8</v>
      </c>
      <c r="AI41" s="13">
        <f>IF('Données projet'!$A$62&gt;35,AI40+AH41-AQ40,IF(A41&lt;'Données projet'!$A$62,$AF$205^A41,IF(A41='Données projet'!$A$62,'Données projet'!$B$62,AI40+AH41-AQ40)))</f>
        <v>179.40000000000003</v>
      </c>
      <c r="AJ41" s="13">
        <f>AI41*VLOOKUP('Données projet'!$B$10,Paramètres!$A$1:$I$89,3,0)*VLOOKUP('Données projet'!$B$10,Paramètres!$A$1:$I$89,5,0)</f>
        <v>117.54288000000003</v>
      </c>
      <c r="AK41" s="13">
        <f t="shared" si="35"/>
        <v>31.101228198889224</v>
      </c>
      <c r="AL41" s="20">
        <f t="shared" si="4"/>
        <v>258.88848844639881</v>
      </c>
      <c r="AM41" s="59">
        <f t="shared" si="5"/>
        <v>552.22182177973218</v>
      </c>
      <c r="AN41" s="59">
        <f ca="1">AVERAGE(OFFSET($AM$3,0,0,'Données projet'!$E$10+1,1))-AVERAGE(OFFSET($H$3,0,0,'Données projet'!$E$10+1,1))</f>
        <v>244.43587473734613</v>
      </c>
      <c r="AO41" s="59">
        <f t="shared" si="36"/>
        <v>256.80261402149375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2.0077485111341242</v>
      </c>
      <c r="AW41" s="21">
        <f>EXP(-LN(2)/2)*AW40+(1-EXP(-LN(2)/2))/(LN(2)/2)*AQ41*AT41*VLOOKUP('Données projet'!$B$10,Paramètres!$A$1:$I$89,3,0)*0.475*44/12</f>
        <v>1.952765402066915</v>
      </c>
      <c r="AX41" s="21">
        <f t="shared" si="6"/>
        <v>3.960513913201039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25.6</v>
      </c>
      <c r="BD41" s="12">
        <f>IF('Données projet'!$A$88&gt;35,BD40+BC41-BL40,IF(A41&lt;'Données projet'!$A$88,$BA$205^A41,IF(A41='Données projet'!$A$88,'Données projet'!$B$88,BD40+BC41-BL40)))</f>
        <v>512.80000000000018</v>
      </c>
      <c r="BE41" s="13">
        <f>BD41*VLOOKUP('Données projet'!$B$11,Paramètres!$A$1:$I$89,3,0)*VLOOKUP('Données projet'!$B$11,Paramètres!$A$1:$I$89,5,0)</f>
        <v>286.65520000000009</v>
      </c>
      <c r="BF41" s="13">
        <f t="shared" si="37"/>
        <v>68.37151538584105</v>
      </c>
      <c r="BG41" s="20">
        <f t="shared" si="7"/>
        <v>618.33819596367323</v>
      </c>
      <c r="BH41" s="59">
        <f t="shared" si="8"/>
        <v>911.6715292970066</v>
      </c>
      <c r="BI41" s="59">
        <f ca="1">AVERAGE(OFFSET($BH$3,0,0,'Données projet'!$E$11+1,1))-AVERAGE(OFFSET($H$3,0,0,'Données projet'!$E$11+1,1))</f>
        <v>430.60186171079067</v>
      </c>
      <c r="BJ41" s="59">
        <f t="shared" si="38"/>
        <v>533.76627289533985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31.720904736810791</v>
      </c>
      <c r="BQ41" s="21">
        <f>EXP(-LN(2)/25)*BQ40+(1-EXP(-LN(2)/25))/(LN(2)/25)*Calculateur!BL41*Calculateur!BN41*VLOOKUP('Données projet'!$B$11,Paramètres!$A$1:$I$89,3,0)*0.475*44/12</f>
        <v>15.852808129617289</v>
      </c>
      <c r="BR41" s="21">
        <f>EXP(-LN(2)/2)*BR40+(1-EXP(-LN(2)/2))/(LN(2)/2)*BL41*BO41*VLOOKUP('Données projet'!$B$11,Paramètres!$A$1:$I$89,3,0)*0.475*44/12</f>
        <v>2.4862137848298915</v>
      </c>
      <c r="BS41" s="22">
        <f t="shared" si="9"/>
        <v>50.059926651257975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10.711538461538463</v>
      </c>
      <c r="BY41" s="12">
        <f>IF('Données projet'!$A$114&gt;35,BY40+BX41-CG40,IF(A41&lt;'Données projet'!$A$114,$BV$205^A41,IF(A41='Données projet'!$A$114,'Données projet'!$B$114,BY40+BX41-CG40)))</f>
        <v>167.49230769230766</v>
      </c>
      <c r="BZ41" s="13">
        <f>BY41*VLOOKUP('Données projet'!$B$12,Paramètres!$A$1:$I$89,3,0)*VLOOKUP('Données projet'!$B$12,Paramètres!$A$1:$I$89,5,0)</f>
        <v>100.1604</v>
      </c>
      <c r="CA41" s="13">
        <f t="shared" si="39"/>
        <v>27.000207071317845</v>
      </c>
      <c r="CB41" s="20">
        <f t="shared" si="10"/>
        <v>221.47139064921191</v>
      </c>
      <c r="CC41" s="59">
        <f t="shared" si="11"/>
        <v>514.80472398254528</v>
      </c>
      <c r="CD41" s="59">
        <f ca="1">AVERAGE(OFFSET($CC$3,0,0,'Données projet'!$E$12+1,1))-AVERAGE(OFFSET($H$3,0,0,'Données projet'!$E$12+1,1))</f>
        <v>215.89467197072673</v>
      </c>
      <c r="CE41" s="59">
        <f t="shared" si="40"/>
        <v>188.21397398859534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9.2015487555054705</v>
      </c>
      <c r="CL41" s="21">
        <f>EXP(-LN(2)/25)*CL40+(1-EXP(-LN(2)/25))/(LN(2)/25)*Calculateur!CG41*Calculateur!CI41*VLOOKUP('Données projet'!$B$12,Paramètres!$A$1:$I$89,3,0)*0.475*44/12</f>
        <v>9.2414495611856289</v>
      </c>
      <c r="CM41" s="21">
        <f>EXP(-LN(2)/2)*CM40+(1-EXP(-LN(2)/2))/(LN(2)/2)*CG41*CJ41*VLOOKUP('Données projet'!$B$12,Paramètres!$A$1:$I$89,3,0)*0.475*44/12</f>
        <v>0.63261853860450168</v>
      </c>
      <c r="CN41" s="22">
        <f t="shared" si="12"/>
        <v>19.0756168552956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3.5192307692307692</v>
      </c>
      <c r="CT41" s="12">
        <f>IF('Données projet'!$A$140&gt;35,CT40+CS41-DB40,IF(A41&lt;'Données projet'!$A$140,$CQ$205^A41,IF(A41='Données projet'!$A$140,'Données projet'!$B$140,CT40+CS41-DB40)))</f>
        <v>84.897435897435912</v>
      </c>
      <c r="CU41" s="17">
        <f>CT41*VLOOKUP('Données projet'!$B$13,Paramètres!$A$1:$I$89,3,0)*VLOOKUP('Données projet'!$B$13,Paramètres!$A$1:$I$89,5,0)</f>
        <v>86.086000000000027</v>
      </c>
      <c r="CV41" s="13">
        <f t="shared" si="41"/>
        <v>23.6188336423671</v>
      </c>
      <c r="CW41" s="20">
        <f t="shared" si="13"/>
        <v>191.06925192712276</v>
      </c>
      <c r="CX41" s="59">
        <f t="shared" si="14"/>
        <v>484.40258526045608</v>
      </c>
      <c r="CY41" s="59">
        <f ca="1">AVERAGE(OFFSET($CX$3,0,0,'Données projet'!$E$13+1,1))-AVERAGE(OFFSET($H$3,0,0,'Données projet'!$E$13+1,1))</f>
        <v>342.82846711287749</v>
      </c>
      <c r="CZ41" s="59">
        <f t="shared" si="42"/>
        <v>152.87724741106297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7.6</v>
      </c>
      <c r="DO41" s="12">
        <f>IF('Données projet'!$A$166&gt;35,DO40+DN41-DW40,IF(A41&lt;'Données projet'!$A$166,$DL$205^A41,IF(A41='Données projet'!$A$166,'Données projet'!$B$166,DO40+DN41-DW40)))</f>
        <v>137.79999999999995</v>
      </c>
      <c r="DP41" s="17">
        <f>DO41*VLOOKUP('Données projet'!$B$14,Paramètres!$A$1:$I$89,3,0)*VLOOKUP('Données projet'!$B$14,Paramètres!$A$1:$I$89,5,0)</f>
        <v>101.03495999999997</v>
      </c>
      <c r="DQ41" s="13">
        <f t="shared" si="43"/>
        <v>27.208414547906806</v>
      </c>
      <c r="DR41" s="20">
        <f t="shared" si="16"/>
        <v>223.35721067093763</v>
      </c>
      <c r="DS41" s="59">
        <f t="shared" si="17"/>
        <v>516.69054400427092</v>
      </c>
      <c r="DT41" s="59">
        <f ca="1">AVERAGE(OFFSET($DS$3,0,0,'Données projet'!$E$14+1,1))-AVERAGE(OFFSET($H$3,0,0,'Données projet'!$E$14+1,1))</f>
        <v>208.48147873805715</v>
      </c>
      <c r="DU41" s="59">
        <f t="shared" si="44"/>
        <v>209.50570914630686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1.5666011528884802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1.5666011528884802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13.14134615384615</v>
      </c>
      <c r="EJ41" s="12">
        <f>IF('Données projet'!$A$192&gt;35,EJ40+EI41-ER40,IF(A41&lt;'Données projet'!$A$192,$EG$205^A41,IF(A41='Données projet'!$A$192,'Données projet'!$B$192,EJ40+EI41-ER40)))</f>
        <v>224.30576923076927</v>
      </c>
      <c r="EK41" s="17">
        <f>EJ41*VLOOKUP('Données projet'!$B$15,Paramètres!$A$1:$I$89,3,0)*VLOOKUP('Données projet'!$B$15,Paramètres!$A$1:$I$89,5,0)</f>
        <v>134.13485000000003</v>
      </c>
      <c r="EL41" s="13">
        <f t="shared" si="45"/>
        <v>34.950053695803156</v>
      </c>
      <c r="EM41" s="20">
        <f t="shared" si="19"/>
        <v>294.48954060352389</v>
      </c>
      <c r="EN41" s="59">
        <f t="shared" si="20"/>
        <v>587.82287393685715</v>
      </c>
      <c r="EO41" s="59">
        <f ca="1">AVERAGE(OFFSET($EN$3,0,0,'Données projet'!$E$15+1,1))-AVERAGE(OFFSET($H$3,0,0,'Données projet'!$E$15+1,1))</f>
        <v>247.31680974612766</v>
      </c>
      <c r="EP41" s="59">
        <f t="shared" si="46"/>
        <v>257.13949761071882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25.47012858494897</v>
      </c>
      <c r="EW41" s="21">
        <f>EXP(-LN(2)/25)*EW40+(1-EXP(-LN(2)/25))/(LN(2)/25)*Calculateur!ER41*Calculateur!ET41*VLOOKUP('Données projet'!$B$15,Paramètres!$A$1:$I$89,3,0)*0.475*44/12</f>
        <v>17.655117564910928</v>
      </c>
      <c r="EX41" s="21">
        <f>EXP(-LN(2)/2)*EX40+(1-EXP(-LN(2)/2))/(LN(2)/2)*ER41*EU41*VLOOKUP('Données projet'!$B$15,Paramètres!$A$1:$I$89,3,0)*0.475*44/12</f>
        <v>3.1706607169936478</v>
      </c>
      <c r="EY41" s="22">
        <f t="shared" si="21"/>
        <v>46.295906866853542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6.9357599999999939</v>
      </c>
      <c r="D42" s="11">
        <f t="shared" si="32"/>
        <v>2.5511898206451011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14.646519021346812</v>
      </c>
      <c r="H42" s="67">
        <f t="shared" si="1"/>
        <v>273.18977093762356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10.407692307692306</v>
      </c>
      <c r="N42" s="13">
        <f>IF('Données projet'!$A$36&gt;35,N41+M42-V41,IF(A42&lt;'Données projet'!$A$36,$K$205^A42,IF(A42='Données projet'!$A$36,'Données projet'!$B$36,N41+M42-V41)))</f>
        <v>196.94615384615386</v>
      </c>
      <c r="O42" s="13">
        <f>N42*VLOOKUP('Données projet'!$B$9,Paramètres!$A$1:$I$89,3,0)*VLOOKUP('Données projet'!$B$9,Paramètres!$A$1:$I$89,5,0)</f>
        <v>92.170800000000014</v>
      </c>
      <c r="P42" s="13">
        <f t="shared" si="33"/>
        <v>25.088041251308066</v>
      </c>
      <c r="Q42" s="20">
        <f t="shared" si="53"/>
        <v>204.22581517936158</v>
      </c>
      <c r="R42" s="59">
        <f t="shared" si="0"/>
        <v>497.55914851269489</v>
      </c>
      <c r="S42" s="59">
        <f ca="1">AVERAGE(OFFSET($R$3,0,0,'Données projet'!$E$9+1,1))-AVERAGE(OFFSET($H$3,0,0,'Données projet'!$E$9+1,1))</f>
        <v>223.99456146593315</v>
      </c>
      <c r="T42" s="59">
        <f t="shared" si="34"/>
        <v>132.73290587325937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7.8</v>
      </c>
      <c r="AI42" s="13">
        <f>IF('Données projet'!$A$62&gt;35,AI41+AH42-AQ41,IF(A42&lt;'Données projet'!$A$62,$AF$205^A42,IF(A42='Données projet'!$A$62,'Données projet'!$B$62,AI41+AH42-AQ41)))</f>
        <v>187.20000000000005</v>
      </c>
      <c r="AJ42" s="13">
        <f>AI42*VLOOKUP('Données projet'!$B$10,Paramètres!$A$1:$I$89,3,0)*VLOOKUP('Données projet'!$B$10,Paramètres!$A$1:$I$89,5,0)</f>
        <v>122.65344000000002</v>
      </c>
      <c r="AK42" s="13">
        <f t="shared" si="35"/>
        <v>32.293080640759037</v>
      </c>
      <c r="AL42" s="20">
        <f t="shared" si="4"/>
        <v>269.8651901159887</v>
      </c>
      <c r="AM42" s="59">
        <f t="shared" si="5"/>
        <v>563.19852344932201</v>
      </c>
      <c r="AN42" s="59">
        <f ca="1">AVERAGE(OFFSET($AM$3,0,0,'Données projet'!$E$10+1,1))-AVERAGE(OFFSET($H$3,0,0,'Données projet'!$E$10+1,1))</f>
        <v>244.43587473734613</v>
      </c>
      <c r="AO42" s="59">
        <f t="shared" si="36"/>
        <v>256.80261402149375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1.9528465225142562</v>
      </c>
      <c r="AW42" s="21">
        <f>EXP(-LN(2)/2)*AW41+(1-EXP(-LN(2)/2))/(LN(2)/2)*AQ42*AT42*VLOOKUP('Données projet'!$B$10,Paramètres!$A$1:$I$89,3,0)*0.475*44/12</f>
        <v>1.3808136578679906</v>
      </c>
      <c r="AX42" s="21">
        <f t="shared" si="6"/>
        <v>3.333660180382247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25.6</v>
      </c>
      <c r="BD42" s="12">
        <f>IF('Données projet'!$A$88&gt;35,BD41+BC42-BL41,IF(A42&lt;'Données projet'!$A$88,$BA$205^A42,IF(A42='Données projet'!$A$88,'Données projet'!$B$88,BD41+BC42-BL41)))</f>
        <v>538.4000000000002</v>
      </c>
      <c r="BE42" s="13">
        <f>BD42*VLOOKUP('Données projet'!$B$11,Paramètres!$A$1:$I$89,3,0)*VLOOKUP('Données projet'!$B$11,Paramètres!$A$1:$I$89,5,0)</f>
        <v>300.96560000000011</v>
      </c>
      <c r="BF42" s="13">
        <f t="shared" si="37"/>
        <v>71.378852450242803</v>
      </c>
      <c r="BG42" s="20">
        <f t="shared" si="7"/>
        <v>648.49992135083971</v>
      </c>
      <c r="BH42" s="59">
        <f t="shared" si="8"/>
        <v>941.83325468417297</v>
      </c>
      <c r="BI42" s="59">
        <f ca="1">AVERAGE(OFFSET($BH$3,0,0,'Données projet'!$E$11+1,1))-AVERAGE(OFFSET($H$3,0,0,'Données projet'!$E$11+1,1))</f>
        <v>430.60186171079067</v>
      </c>
      <c r="BJ42" s="59">
        <f t="shared" si="38"/>
        <v>533.76627289533985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31.098877142763381</v>
      </c>
      <c r="BQ42" s="21">
        <f>EXP(-LN(2)/25)*BQ41+(1-EXP(-LN(2)/25))/(LN(2)/25)*Calculateur!BL42*Calculateur!BN42*VLOOKUP('Données projet'!$B$11,Paramètres!$A$1:$I$89,3,0)*0.475*44/12</f>
        <v>15.419312257649956</v>
      </c>
      <c r="BR42" s="21">
        <f>EXP(-LN(2)/2)*BR41+(1-EXP(-LN(2)/2))/(LN(2)/2)*BL42*BO42*VLOOKUP('Données projet'!$B$11,Paramètres!$A$1:$I$89,3,0)*0.475*44/12</f>
        <v>1.7580186267326883</v>
      </c>
      <c r="BS42" s="22">
        <f t="shared" si="9"/>
        <v>48.276208027146019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10.711538461538463</v>
      </c>
      <c r="BY42" s="12">
        <f>IF('Données projet'!$A$114&gt;35,BY41+BX42-CG41,IF(A42&lt;'Données projet'!$A$114,$BV$205^A42,IF(A42='Données projet'!$A$114,'Données projet'!$B$114,BY41+BX42-CG41)))</f>
        <v>178.20384615384611</v>
      </c>
      <c r="BZ42" s="13">
        <f>BY42*VLOOKUP('Données projet'!$B$12,Paramètres!$A$1:$I$89,3,0)*VLOOKUP('Données projet'!$B$12,Paramètres!$A$1:$I$89,5,0)</f>
        <v>106.56589999999998</v>
      </c>
      <c r="CA42" s="13">
        <f t="shared" si="39"/>
        <v>28.520396364277037</v>
      </c>
      <c r="CB42" s="20">
        <f t="shared" si="10"/>
        <v>235.2752995011158</v>
      </c>
      <c r="CC42" s="59">
        <f t="shared" si="11"/>
        <v>528.60863283444905</v>
      </c>
      <c r="CD42" s="59">
        <f ca="1">AVERAGE(OFFSET($CC$3,0,0,'Données projet'!$E$12+1,1))-AVERAGE(OFFSET($H$3,0,0,'Données projet'!$E$12+1,1))</f>
        <v>215.89467197072673</v>
      </c>
      <c r="CE42" s="59">
        <f t="shared" si="40"/>
        <v>188.21397398859534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9.0211119968005722</v>
      </c>
      <c r="CL42" s="21">
        <f>EXP(-LN(2)/25)*CL41+(1-EXP(-LN(2)/25))/(LN(2)/25)*Calculateur!CG42*Calculateur!CI42*VLOOKUP('Données projet'!$B$12,Paramètres!$A$1:$I$89,3,0)*0.475*44/12</f>
        <v>8.9887416369482978</v>
      </c>
      <c r="CM42" s="21">
        <f>EXP(-LN(2)/2)*CM41+(1-EXP(-LN(2)/2))/(LN(2)/2)*CG42*CJ42*VLOOKUP('Données projet'!$B$12,Paramètres!$A$1:$I$89,3,0)*0.475*44/12</f>
        <v>0.44732885855156684</v>
      </c>
      <c r="CN42" s="22">
        <f t="shared" si="12"/>
        <v>18.457182492300436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3.5192307692307692</v>
      </c>
      <c r="CT42" s="12">
        <f>IF('Données projet'!$A$140&gt;35,CT41+CS42-DB41,IF(A42&lt;'Données projet'!$A$140,$CQ$205^A42,IF(A42='Données projet'!$A$140,'Données projet'!$B$140,CT41+CS42-DB41)))</f>
        <v>88.416666666666686</v>
      </c>
      <c r="CU42" s="17">
        <f>CT42*VLOOKUP('Données projet'!$B$13,Paramètres!$A$1:$I$89,3,0)*VLOOKUP('Données projet'!$B$13,Paramètres!$A$1:$I$89,5,0)</f>
        <v>89.654500000000027</v>
      </c>
      <c r="CV42" s="13">
        <f t="shared" si="41"/>
        <v>24.481880069846344</v>
      </c>
      <c r="CW42" s="20">
        <f t="shared" si="13"/>
        <v>198.7875286216491</v>
      </c>
      <c r="CX42" s="59">
        <f t="shared" si="14"/>
        <v>492.12086195498239</v>
      </c>
      <c r="CY42" s="59">
        <f ca="1">AVERAGE(OFFSET($CX$3,0,0,'Données projet'!$E$13+1,1))-AVERAGE(OFFSET($H$3,0,0,'Données projet'!$E$13+1,1))</f>
        <v>342.82846711287749</v>
      </c>
      <c r="CZ42" s="59">
        <f t="shared" si="42"/>
        <v>152.87724741106297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7.6</v>
      </c>
      <c r="DO42" s="12">
        <f>IF('Données projet'!$A$166&gt;35,DO41+DN42-DW41,IF(A42&lt;'Données projet'!$A$166,$DL$205^A42,IF(A42='Données projet'!$A$166,'Données projet'!$B$166,DO41+DN42-DW41)))</f>
        <v>145.39999999999995</v>
      </c>
      <c r="DP42" s="17">
        <f>DO42*VLOOKUP('Données projet'!$B$14,Paramètres!$A$1:$I$89,3,0)*VLOOKUP('Données projet'!$B$14,Paramètres!$A$1:$I$89,5,0)</f>
        <v>106.60727999999995</v>
      </c>
      <c r="DQ42" s="13">
        <f t="shared" si="43"/>
        <v>28.530181653798135</v>
      </c>
      <c r="DR42" s="20">
        <f t="shared" si="16"/>
        <v>235.364412380365</v>
      </c>
      <c r="DS42" s="59">
        <f t="shared" si="17"/>
        <v>528.69774571369828</v>
      </c>
      <c r="DT42" s="59">
        <f ca="1">AVERAGE(OFFSET($DS$3,0,0,'Données projet'!$E$14+1,1))-AVERAGE(OFFSET($H$3,0,0,'Données projet'!$E$14+1,1))</f>
        <v>208.48147873805715</v>
      </c>
      <c r="DU42" s="59">
        <f t="shared" si="44"/>
        <v>209.50570914630686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1.5237623619787706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1.5237623619787706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13.14134615384615</v>
      </c>
      <c r="EJ42" s="12">
        <f>IF('Données projet'!$A$192&gt;35,EJ41+EI42-ER41,IF(A42&lt;'Données projet'!$A$192,$EG$205^A42,IF(A42='Données projet'!$A$192,'Données projet'!$B$192,EJ41+EI42-ER41)))</f>
        <v>237.44711538461542</v>
      </c>
      <c r="EK42" s="17">
        <f>EJ42*VLOOKUP('Données projet'!$B$15,Paramètres!$A$1:$I$89,3,0)*VLOOKUP('Données projet'!$B$15,Paramètres!$A$1:$I$89,5,0)</f>
        <v>141.99337500000004</v>
      </c>
      <c r="EL42" s="13">
        <f t="shared" si="45"/>
        <v>36.753283288028761</v>
      </c>
      <c r="EM42" s="20">
        <f t="shared" si="19"/>
        <v>311.31709651831682</v>
      </c>
      <c r="EN42" s="59">
        <f t="shared" si="20"/>
        <v>604.65042985165019</v>
      </c>
      <c r="EO42" s="59">
        <f ca="1">AVERAGE(OFFSET($EN$3,0,0,'Données projet'!$E$15+1,1))-AVERAGE(OFFSET($H$3,0,0,'Données projet'!$E$15+1,1))</f>
        <v>247.31680974612766</v>
      </c>
      <c r="EP42" s="59">
        <f t="shared" si="46"/>
        <v>257.13949761071882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24.970674898642578</v>
      </c>
      <c r="EW42" s="21">
        <f>EXP(-LN(2)/25)*EW41+(1-EXP(-LN(2)/25))/(LN(2)/25)*Calculateur!ER42*Calculateur!ET42*VLOOKUP('Données projet'!$B$15,Paramètres!$A$1:$I$89,3,0)*0.475*44/12</f>
        <v>17.172337446656158</v>
      </c>
      <c r="EX42" s="21">
        <f>EXP(-LN(2)/2)*EX41+(1-EXP(-LN(2)/2))/(LN(2)/2)*ER42*EU42*VLOOKUP('Données projet'!$B$15,Paramètres!$A$1:$I$89,3,0)*0.475*44/12</f>
        <v>2.2419956938280095</v>
      </c>
      <c r="EY42" s="22">
        <f t="shared" si="21"/>
        <v>44.385008039126745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7.1135999999999937</v>
      </c>
      <c r="D43" s="11">
        <f t="shared" si="32"/>
        <v>2.6089051793396707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15.010183434770008</v>
      </c>
      <c r="H43" s="67">
        <f t="shared" si="1"/>
        <v>273.60002985401661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10.407692307692306</v>
      </c>
      <c r="N43" s="13">
        <f>IF('Données projet'!$A$36&gt;35,N42+M43-V42,IF(A43&lt;'Données projet'!$A$36,$K$205^A43,IF(A43='Données projet'!$A$36,'Données projet'!$B$36,N42+M43-V42)))</f>
        <v>207.35384615384618</v>
      </c>
      <c r="O43" s="13">
        <f>N43*VLOOKUP('Données projet'!$B$9,Paramètres!$A$1:$I$89,3,0)*VLOOKUP('Données projet'!$B$9,Paramètres!$A$1:$I$89,5,0)</f>
        <v>97.041600000000017</v>
      </c>
      <c r="P43" s="13">
        <f t="shared" si="33"/>
        <v>26.255972457521427</v>
      </c>
      <c r="Q43" s="20">
        <f t="shared" si="53"/>
        <v>214.74327203018319</v>
      </c>
      <c r="R43" s="59">
        <f t="shared" si="0"/>
        <v>508.07660536351648</v>
      </c>
      <c r="S43" s="59">
        <f ca="1">AVERAGE(OFFSET($R$3,0,0,'Données projet'!$E$9+1,1))-AVERAGE(OFFSET($H$3,0,0,'Données projet'!$E$9+1,1))</f>
        <v>223.99456146593315</v>
      </c>
      <c r="T43" s="59">
        <f t="shared" si="34"/>
        <v>132.73290587325937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195</v>
      </c>
      <c r="AG43" s="12">
        <f>VLOOKUP(A43,'Données projet'!$A$61:$I$81,9,0)</f>
        <v>7.8</v>
      </c>
      <c r="AH43" s="12">
        <f t="array" ref="AH43">INDEX(AG:AG,MIN(IF(ISNUMBER(AG43:AG239),ROW(AG43:AG239),"")))</f>
        <v>7.8</v>
      </c>
      <c r="AI43" s="13">
        <f>IF('Données projet'!$A$62&gt;35,AI42+AH43-AQ42,IF(A43&lt;'Données projet'!$A$62,$AF$205^A43,IF(A43='Données projet'!$A$62,'Données projet'!$B$62,AI42+AH43-AQ42)))</f>
        <v>195.00000000000006</v>
      </c>
      <c r="AJ43" s="13">
        <f>AI43*VLOOKUP('Données projet'!$B$10,Paramètres!$A$1:$I$89,3,0)*VLOOKUP('Données projet'!$B$10,Paramètres!$A$1:$I$89,5,0)</f>
        <v>127.76400000000004</v>
      </c>
      <c r="AK43" s="13">
        <f t="shared" si="35"/>
        <v>33.479164830670079</v>
      </c>
      <c r="AL43" s="20">
        <f t="shared" si="4"/>
        <v>280.83184541341706</v>
      </c>
      <c r="AM43" s="59">
        <f t="shared" si="5"/>
        <v>574.16517874675037</v>
      </c>
      <c r="AN43" s="59">
        <f ca="1">AVERAGE(OFFSET($AM$3,0,0,'Données projet'!$E$10+1,1))-AVERAGE(OFFSET($H$3,0,0,'Données projet'!$E$10+1,1))</f>
        <v>244.43587473734613</v>
      </c>
      <c r="AO43" s="59">
        <f t="shared" si="36"/>
        <v>256.80261402149375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25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4.3000000000000003E-2</v>
      </c>
      <c r="AT43" s="16">
        <f>IF(ISNA(VLOOKUP(A43,'Données projet'!$A$61:$I$81,7,0)),0%,VLOOKUP(A43,'Données projet'!$A$61:$I$81,7,0))</f>
        <v>0.3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2.6750070875734249</v>
      </c>
      <c r="AW43" s="21">
        <f>EXP(-LN(2)/2)*AW42+(1-EXP(-LN(2)/2))/(LN(2)/2)*AQ43*AT43*VLOOKUP('Données projet'!$B$10,Paramètres!$A$1:$I$89,3,0)*0.475*44/12</f>
        <v>5.6128739594043342</v>
      </c>
      <c r="AX43" s="21">
        <f t="shared" si="6"/>
        <v>8.2878810469777591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564</v>
      </c>
      <c r="BB43" s="12">
        <f>VLOOKUP(A43,'Données projet'!$A$87:$I$107,9,0)</f>
        <v>25.6</v>
      </c>
      <c r="BC43" s="12">
        <f t="array" ref="BC43">INDEX(BB:BB,MIN(IF(ISNUMBER(BB43:BB239),ROW(BB43:BB239),"")))</f>
        <v>25.6</v>
      </c>
      <c r="BD43" s="12">
        <f>IF('Données projet'!$A$88&gt;35,BD42+BC43-BL42,IF(A43&lt;'Données projet'!$A$88,$BA$205^A43,IF(A43='Données projet'!$A$88,'Données projet'!$B$88,BD42+BC43-BL42)))</f>
        <v>564.00000000000023</v>
      </c>
      <c r="BE43" s="13">
        <f>BD43*VLOOKUP('Données projet'!$B$11,Paramètres!$A$1:$I$89,3,0)*VLOOKUP('Données projet'!$B$11,Paramètres!$A$1:$I$89,5,0)</f>
        <v>315.27600000000012</v>
      </c>
      <c r="BF43" s="13">
        <f t="shared" si="37"/>
        <v>74.36958441265493</v>
      </c>
      <c r="BG43" s="20">
        <f t="shared" si="7"/>
        <v>678.63272618537417</v>
      </c>
      <c r="BH43" s="59">
        <f t="shared" si="8"/>
        <v>971.96605951870743</v>
      </c>
      <c r="BI43" s="59">
        <f ca="1">AVERAGE(OFFSET($BH$3,0,0,'Données projet'!$E$11+1,1))-AVERAGE(OFFSET($H$3,0,0,'Données projet'!$E$11+1,1))</f>
        <v>430.60186171079067</v>
      </c>
      <c r="BJ43" s="59">
        <f t="shared" si="38"/>
        <v>533.76627289533985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72</v>
      </c>
      <c r="BM43" s="16">
        <f>IF(ISNA(VLOOKUP(A43,'Données projet'!$A$87:$I$107,5,0)),0%,VLOOKUP(A43,'Données projet'!$A$87:$I$107,5,0)*VLOOKUP('Données projet'!$B$11,Paramètres!$A$1:$I$89,7,0))</f>
        <v>0.38500000000000001</v>
      </c>
      <c r="BN43" s="16">
        <f>IF(ISNA(VLOOKUP(A43,'Données projet'!$A$87:$I$107,6,0)),0%,VLOOKUP(A43,'Données projet'!$A$87:$I$107,6,0)*VLOOKUP('Données projet'!$B$11,Paramètres!$A$1:$I$89,7,0))</f>
        <v>9.240000000000001E-2</v>
      </c>
      <c r="BO43" s="16">
        <f>IF(ISNA(VLOOKUP(A43,'Données projet'!$A$87:$I$107,7,0)),0%,VLOOKUP(A43,'Données projet'!$A$87:$I$107,7,0))</f>
        <v>0.13200000000000001</v>
      </c>
      <c r="BP43" s="21">
        <f>EXP(-LN(2)/35)*BP42+(1-EXP(-LN(2)/35))/(LN(2)/35)*BL43*BM43*VLOOKUP('Données projet'!$B$11,Paramètres!$A$1:$I$89,3,0)*0.475*44/12</f>
        <v>51.044800118410159</v>
      </c>
      <c r="BQ43" s="21">
        <f>EXP(-LN(2)/25)*BQ42+(1-EXP(-LN(2)/25))/(LN(2)/25)*Calculateur!BL43*Calculateur!BN43*VLOOKUP('Données projet'!$B$11,Paramètres!$A$1:$I$89,3,0)*0.475*44/12</f>
        <v>19.911626470563256</v>
      </c>
      <c r="BR43" s="21">
        <f>EXP(-LN(2)/2)*BR42+(1-EXP(-LN(2)/2))/(LN(2)/2)*BL43*BO43*VLOOKUP('Données projet'!$B$11,Paramètres!$A$1:$I$89,3,0)*0.475*44/12</f>
        <v>7.2583581798465104</v>
      </c>
      <c r="BS43" s="22">
        <f t="shared" si="9"/>
        <v>78.214784768819925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188.91538461538462</v>
      </c>
      <c r="BW43" s="12">
        <f>VLOOKUP(A43,'Données projet'!$A$113:$I$133,9,0)</f>
        <v>10.711538461538463</v>
      </c>
      <c r="BX43" s="12">
        <f t="array" ref="BX43">INDEX(BW:BW,MIN(IF(ISNUMBER(BW43:BW239),ROW(BW43:BW239),"")))</f>
        <v>10.711538461538463</v>
      </c>
      <c r="BY43" s="12">
        <f>IF('Données projet'!$A$114&gt;35,BY42+BX43-CG42,IF(A43&lt;'Données projet'!$A$114,$BV$205^A43,IF(A43='Données projet'!$A$114,'Données projet'!$B$114,BY42+BX43-CG42)))</f>
        <v>188.91538461538457</v>
      </c>
      <c r="BZ43" s="13">
        <f>BY43*VLOOKUP('Données projet'!$B$12,Paramètres!$A$1:$I$89,3,0)*VLOOKUP('Données projet'!$B$12,Paramètres!$A$1:$I$89,5,0)</f>
        <v>112.97139999999997</v>
      </c>
      <c r="CA43" s="13">
        <f t="shared" si="39"/>
        <v>30.029979864864952</v>
      </c>
      <c r="CB43" s="20">
        <f t="shared" si="10"/>
        <v>249.06073659797309</v>
      </c>
      <c r="CC43" s="59">
        <f t="shared" si="11"/>
        <v>542.39406993130638</v>
      </c>
      <c r="CD43" s="59">
        <f ca="1">AVERAGE(OFFSET($CC$3,0,0,'Données projet'!$E$12+1,1))-AVERAGE(OFFSET($H$3,0,0,'Données projet'!$E$12+1,1))</f>
        <v>215.89467197072673</v>
      </c>
      <c r="CE43" s="59">
        <f t="shared" si="40"/>
        <v>188.21397398859534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48.323076923076918</v>
      </c>
      <c r="CH43" s="16">
        <f>IF(ISNA(VLOOKUP(A43,'Données projet'!$A$113:$I$133,5,0)),0%,VLOOKUP(A43,'Données projet'!$A$113:$I$133,5,0)*VLOOKUP('Données projet'!$B$12,Paramètres!$A$1:$I$89,7,0))</f>
        <v>0.315</v>
      </c>
      <c r="CI43" s="16">
        <f>IF(ISNA(VLOOKUP(A43,'Données projet'!$A$113:$I$133,6,0)),0%,VLOOKUP(A43,'Données projet'!$A$113:$I$133,6,0)*VLOOKUP('Données projet'!$B$12,Paramètres!$A$1:$I$89,7,0))</f>
        <v>7.5600000000000001E-2</v>
      </c>
      <c r="CJ43" s="16">
        <f>IF(ISNA(VLOOKUP(A43,'Données projet'!$A$113:$I$133,7,0)),0%,VLOOKUP(A43,'Données projet'!$A$113:$I$133,7,0))</f>
        <v>0.13200000000000001</v>
      </c>
      <c r="CK43" s="21">
        <f>EXP(-LN(2)/35)*CK42+(1-EXP(-LN(2)/35))/(LN(2)/35)*CG43*CH43*VLOOKUP('Données projet'!$B$12,Paramètres!$A$1:$I$89,3,0)*0.475*44/12</f>
        <v>20.919422983122477</v>
      </c>
      <c r="CL43" s="21">
        <f>EXP(-LN(2)/25)*CL42+(1-EXP(-LN(2)/25))/(LN(2)/25)*Calculateur!CG43*Calculateur!CI43*VLOOKUP('Données projet'!$B$12,Paramètres!$A$1:$I$89,3,0)*0.475*44/12</f>
        <v>11.629583573660296</v>
      </c>
      <c r="CM43" s="21">
        <f>EXP(-LN(2)/2)*CM42+(1-EXP(-LN(2)/2))/(LN(2)/2)*CG43*CJ43*VLOOKUP('Données projet'!$B$12,Paramètres!$A$1:$I$89,3,0)*0.475*44/12</f>
        <v>4.6351305648490477</v>
      </c>
      <c r="CN43" s="22">
        <f t="shared" si="12"/>
        <v>37.184137121631821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3.5192307692307692</v>
      </c>
      <c r="CT43" s="12">
        <f>IF('Données projet'!$A$140&gt;35,CT42+CS43-DB42,IF(A43&lt;'Données projet'!$A$140,$CQ$205^A43,IF(A43='Données projet'!$A$140,'Données projet'!$B$140,CT42+CS43-DB42)))</f>
        <v>91.935897435897459</v>
      </c>
      <c r="CU43" s="17">
        <f>CT43*VLOOKUP('Données projet'!$B$13,Paramètres!$A$1:$I$89,3,0)*VLOOKUP('Données projet'!$B$13,Paramètres!$A$1:$I$89,5,0)</f>
        <v>93.223000000000027</v>
      </c>
      <c r="CV43" s="13">
        <f t="shared" si="41"/>
        <v>25.340936099342521</v>
      </c>
      <c r="CW43" s="20">
        <f t="shared" si="13"/>
        <v>206.4988553730216</v>
      </c>
      <c r="CX43" s="59">
        <f t="shared" si="14"/>
        <v>499.83218870635494</v>
      </c>
      <c r="CY43" s="59">
        <f ca="1">AVERAGE(OFFSET($CX$3,0,0,'Données projet'!$E$13+1,1))-AVERAGE(OFFSET($H$3,0,0,'Données projet'!$E$13+1,1))</f>
        <v>342.82846711287749</v>
      </c>
      <c r="CZ43" s="59">
        <f t="shared" si="42"/>
        <v>152.87724741106297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153</v>
      </c>
      <c r="DM43" s="12">
        <f>VLOOKUP(A43,'Données projet'!$A$165:$I$185,9,0)</f>
        <v>7.6</v>
      </c>
      <c r="DN43" s="12">
        <f t="array" ref="DN43">INDEX(DM:DM,MIN(IF(ISNUMBER(DM43:DM239),ROW(DM43:DM239),"")))</f>
        <v>7.6</v>
      </c>
      <c r="DO43" s="12">
        <f>IF('Données projet'!$A$166&gt;35,DO42+DN43-DW42,IF(A43&lt;'Données projet'!$A$166,$DL$205^A43,IF(A43='Données projet'!$A$166,'Données projet'!$B$166,DO42+DN43-DW42)))</f>
        <v>152.99999999999994</v>
      </c>
      <c r="DP43" s="17">
        <f>DO43*VLOOKUP('Données projet'!$B$14,Paramètres!$A$1:$I$89,3,0)*VLOOKUP('Données projet'!$B$14,Paramètres!$A$1:$I$89,5,0)</f>
        <v>112.17959999999995</v>
      </c>
      <c r="DQ43" s="13">
        <f t="shared" si="43"/>
        <v>29.8439274472838</v>
      </c>
      <c r="DR43" s="20">
        <f t="shared" si="16"/>
        <v>247.35764363735254</v>
      </c>
      <c r="DS43" s="59">
        <f t="shared" si="17"/>
        <v>540.69097697068582</v>
      </c>
      <c r="DT43" s="59">
        <f ca="1">AVERAGE(OFFSET($DS$3,0,0,'Données projet'!$E$14+1,1))-AVERAGE(OFFSET($H$3,0,0,'Données projet'!$E$14+1,1))</f>
        <v>208.48147873805715</v>
      </c>
      <c r="DU43" s="59">
        <f t="shared" si="44"/>
        <v>209.50570914630686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21</v>
      </c>
      <c r="DX43" s="16">
        <f>IF(ISNA(VLOOKUP(A43,'Données projet'!$A$165:$I$185,5,0)),0%,VLOOKUP(A43,'Données projet'!$A$165:$I$185,5,0)*VLOOKUP('Données projet'!$B$14,Paramètres!$A$1:$I$89,7,0))</f>
        <v>2.1500000000000002E-2</v>
      </c>
      <c r="DY43" s="16">
        <f>IF(ISNA(VLOOKUP(A43,'Données projet'!$A$165:$I$185,6,0)),0%,VLOOKUP(A43,'Données projet'!$A$165:$I$185,6,0)*VLOOKUP('Données projet'!$B$14,Paramètres!$A$1:$I$89,7,0))</f>
        <v>0.1419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0.36595469334651187</v>
      </c>
      <c r="EB43" s="21">
        <f>EXP(-LN(2)/25)*EB42+(1-EXP(-LN(2)/25))/(LN(2)/25)*Calculateur!DW43*Calculateur!DY43*VLOOKUP('Données projet'!$B$14,Paramètres!$A$1:$I$89,3,0)*0.475*44/12</f>
        <v>3.8878860159015827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4.2538407092480943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13.14134615384615</v>
      </c>
      <c r="EJ43" s="12">
        <f>IF('Données projet'!$A$192&gt;35,EJ42+EI43-ER42,IF(A43&lt;'Données projet'!$A$192,$EG$205^A43,IF(A43='Données projet'!$A$192,'Données projet'!$B$192,EJ42+EI43-ER42)))</f>
        <v>250.58846153846156</v>
      </c>
      <c r="EK43" s="17">
        <f>EJ43*VLOOKUP('Données projet'!$B$15,Paramètres!$A$1:$I$89,3,0)*VLOOKUP('Données projet'!$B$15,Paramètres!$A$1:$I$89,5,0)</f>
        <v>149.85190000000003</v>
      </c>
      <c r="EL43" s="13">
        <f t="shared" si="45"/>
        <v>38.544927429723309</v>
      </c>
      <c r="EM43" s="20">
        <f t="shared" si="19"/>
        <v>328.12447444010149</v>
      </c>
      <c r="EN43" s="59">
        <f t="shared" si="20"/>
        <v>621.45780777343475</v>
      </c>
      <c r="EO43" s="59">
        <f ca="1">AVERAGE(OFFSET($EN$3,0,0,'Données projet'!$E$15+1,1))-AVERAGE(OFFSET($H$3,0,0,'Données projet'!$E$15+1,1))</f>
        <v>247.31680974612766</v>
      </c>
      <c r="EP43" s="59">
        <f t="shared" si="46"/>
        <v>257.13949761071882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24.481015194487988</v>
      </c>
      <c r="EW43" s="21">
        <f>EXP(-LN(2)/25)*EW42+(1-EXP(-LN(2)/25))/(LN(2)/25)*Calculateur!ER43*Calculateur!ET43*VLOOKUP('Données projet'!$B$15,Paramètres!$A$1:$I$89,3,0)*0.475*44/12</f>
        <v>16.702758976123366</v>
      </c>
      <c r="EX43" s="21">
        <f>EXP(-LN(2)/2)*EX42+(1-EXP(-LN(2)/2))/(LN(2)/2)*ER43*EU43*VLOOKUP('Données projet'!$B$15,Paramètres!$A$1:$I$89,3,0)*0.475*44/12</f>
        <v>1.5853303584968241</v>
      </c>
      <c r="EY43" s="22">
        <f t="shared" si="21"/>
        <v>42.769104529108183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7.2914399999999935</v>
      </c>
      <c r="D44" s="11">
        <f t="shared" si="32"/>
        <v>2.666452812009076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15.373588902750846</v>
      </c>
      <c r="H44" s="67">
        <f t="shared" si="1"/>
        <v>274.00999664758245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10.407692307692306</v>
      </c>
      <c r="N44" s="13">
        <f>IF('Données projet'!$A$36&gt;35,N43+M44-V43,IF(A44&lt;'Données projet'!$A$36,$K$205^A44,IF(A44='Données projet'!$A$36,'Données projet'!$B$36,N43+M44-V43)))</f>
        <v>217.76153846153849</v>
      </c>
      <c r="O44" s="13">
        <f>N44*VLOOKUP('Données projet'!$B$9,Paramètres!$A$1:$I$89,3,0)*VLOOKUP('Données projet'!$B$9,Paramètres!$A$1:$I$89,5,0)</f>
        <v>101.91240000000002</v>
      </c>
      <c r="P44" s="13">
        <f t="shared" si="33"/>
        <v>27.417096956022522</v>
      </c>
      <c r="Q44" s="20">
        <f t="shared" si="53"/>
        <v>225.2488738650726</v>
      </c>
      <c r="R44" s="59">
        <f t="shared" si="0"/>
        <v>518.58220719840597</v>
      </c>
      <c r="S44" s="59">
        <f ca="1">AVERAGE(OFFSET($R$3,0,0,'Données projet'!$E$9+1,1))-AVERAGE(OFFSET($H$3,0,0,'Données projet'!$E$9+1,1))</f>
        <v>223.99456146593315</v>
      </c>
      <c r="T44" s="59">
        <f t="shared" si="34"/>
        <v>132.73290587325937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7.4</v>
      </c>
      <c r="AI44" s="13">
        <f>IF('Données projet'!$A$62&gt;35,AI43+AH44-AQ43,IF(A44&lt;'Données projet'!$A$62,$AF$205^A44,IF(A44='Données projet'!$A$62,'Données projet'!$B$62,AI43+AH44-AQ43)))</f>
        <v>177.40000000000006</v>
      </c>
      <c r="AJ44" s="13">
        <f>AI44*VLOOKUP('Données projet'!$B$10,Paramètres!$A$1:$I$89,3,0)*VLOOKUP('Données projet'!$B$10,Paramètres!$A$1:$I$89,5,0)</f>
        <v>116.23248000000004</v>
      </c>
      <c r="AK44" s="13">
        <f t="shared" si="35"/>
        <v>30.794662422308217</v>
      </c>
      <c r="AL44" s="20">
        <f t="shared" si="4"/>
        <v>256.07227305218686</v>
      </c>
      <c r="AM44" s="59">
        <f t="shared" si="5"/>
        <v>549.40560638552017</v>
      </c>
      <c r="AN44" s="59">
        <f ca="1">AVERAGE(OFFSET($AM$3,0,0,'Données projet'!$E$10+1,1))-AVERAGE(OFFSET($H$3,0,0,'Données projet'!$E$10+1,1))</f>
        <v>244.43587473734613</v>
      </c>
      <c r="AO44" s="59">
        <f t="shared" si="36"/>
        <v>256.80261402149375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2.6018588780912206</v>
      </c>
      <c r="AW44" s="21">
        <f>EXP(-LN(2)/2)*AW43+(1-EXP(-LN(2)/2))/(LN(2)/2)*AQ44*AT44*VLOOKUP('Données projet'!$B$10,Paramètres!$A$1:$I$89,3,0)*0.475*44/12</f>
        <v>3.9689012386401914</v>
      </c>
      <c r="AX44" s="21">
        <f t="shared" si="6"/>
        <v>6.570760116731412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22.8</v>
      </c>
      <c r="BD44" s="12">
        <f>IF('Données projet'!$A$88&gt;35,BD43+BC44-BL43,IF(A44&lt;'Données projet'!$A$88,$BA$205^A44,IF(A44='Données projet'!$A$88,'Données projet'!$B$88,BD43+BC44-BL43)))</f>
        <v>514.80000000000018</v>
      </c>
      <c r="BE44" s="13">
        <f>BD44*VLOOKUP('Données projet'!$B$11,Paramètres!$A$1:$I$89,3,0)*VLOOKUP('Données projet'!$B$11,Paramètres!$A$1:$I$89,5,0)</f>
        <v>287.77320000000009</v>
      </c>
      <c r="BF44" s="13">
        <f t="shared" si="37"/>
        <v>68.607082381743922</v>
      </c>
      <c r="BG44" s="20">
        <f t="shared" si="7"/>
        <v>620.69565848153741</v>
      </c>
      <c r="BH44" s="59">
        <f t="shared" si="8"/>
        <v>914.02899181487078</v>
      </c>
      <c r="BI44" s="59">
        <f ca="1">AVERAGE(OFFSET($BH$3,0,0,'Données projet'!$E$11+1,1))-AVERAGE(OFFSET($H$3,0,0,'Données projet'!$E$11+1,1))</f>
        <v>430.60186171079067</v>
      </c>
      <c r="BJ44" s="59">
        <f t="shared" si="38"/>
        <v>533.76627289533985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50.043842722341957</v>
      </c>
      <c r="BQ44" s="21">
        <f>EXP(-LN(2)/25)*BQ43+(1-EXP(-LN(2)/25))/(LN(2)/25)*Calculateur!BL44*Calculateur!BN44*VLOOKUP('Données projet'!$B$11,Paramètres!$A$1:$I$89,3,0)*0.475*44/12</f>
        <v>19.367141997618777</v>
      </c>
      <c r="BR44" s="21">
        <f>EXP(-LN(2)/2)*BR43+(1-EXP(-LN(2)/2))/(LN(2)/2)*BL44*BO44*VLOOKUP('Données projet'!$B$11,Paramètres!$A$1:$I$89,3,0)*0.475*44/12</f>
        <v>5.1324342892503143</v>
      </c>
      <c r="BS44" s="22">
        <f t="shared" si="9"/>
        <v>74.54341900921105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10.101538461538462</v>
      </c>
      <c r="BY44" s="12">
        <f>IF('Données projet'!$A$114&gt;35,BY43+BX44-CG43,IF(A44&lt;'Données projet'!$A$114,$BV$205^A44,IF(A44='Données projet'!$A$114,'Données projet'!$B$114,BY43+BX44-CG43)))</f>
        <v>150.69384615384612</v>
      </c>
      <c r="BZ44" s="13">
        <f>BY44*VLOOKUP('Données projet'!$B$12,Paramètres!$A$1:$I$89,3,0)*VLOOKUP('Données projet'!$B$12,Paramètres!$A$1:$I$89,5,0)</f>
        <v>90.114919999999984</v>
      </c>
      <c r="CA44" s="13">
        <f t="shared" si="39"/>
        <v>24.592938871911798</v>
      </c>
      <c r="CB44" s="20">
        <f t="shared" si="10"/>
        <v>199.78285420191301</v>
      </c>
      <c r="CC44" s="59">
        <f t="shared" si="11"/>
        <v>493.11618753524635</v>
      </c>
      <c r="CD44" s="59">
        <f ca="1">AVERAGE(OFFSET($CC$3,0,0,'Données projet'!$E$12+1,1))-AVERAGE(OFFSET($H$3,0,0,'Données projet'!$E$12+1,1))</f>
        <v>215.89467197072673</v>
      </c>
      <c r="CE44" s="59">
        <f t="shared" si="40"/>
        <v>188.21397398859534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20.509205858011558</v>
      </c>
      <c r="CL44" s="21">
        <f>EXP(-LN(2)/25)*CL43+(1-EXP(-LN(2)/25))/(LN(2)/25)*Calculateur!CG44*Calculateur!CI44*VLOOKUP('Données projet'!$B$12,Paramètres!$A$1:$I$89,3,0)*0.475*44/12</f>
        <v>11.311571999265336</v>
      </c>
      <c r="CM44" s="21">
        <f>EXP(-LN(2)/2)*CM43+(1-EXP(-LN(2)/2))/(LN(2)/2)*CG44*CJ44*VLOOKUP('Données projet'!$B$12,Paramètres!$A$1:$I$89,3,0)*0.475*44/12</f>
        <v>3.2775322540897944</v>
      </c>
      <c r="CN44" s="22">
        <f t="shared" si="12"/>
        <v>35.098310111366686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3.5192307692307692</v>
      </c>
      <c r="CT44" s="12">
        <f>IF('Données projet'!$A$140&gt;35,CT43+CS44-DB43,IF(A44&lt;'Données projet'!$A$140,$CQ$205^A44,IF(A44='Données projet'!$A$140,'Données projet'!$B$140,CT43+CS44-DB43)))</f>
        <v>95.455128205128233</v>
      </c>
      <c r="CU44" s="17">
        <f>CT44*VLOOKUP('Données projet'!$B$13,Paramètres!$A$1:$I$89,3,0)*VLOOKUP('Données projet'!$B$13,Paramètres!$A$1:$I$89,5,0)</f>
        <v>96.791500000000042</v>
      </c>
      <c r="CV44" s="13">
        <f t="shared" si="41"/>
        <v>26.196171965320517</v>
      </c>
      <c r="CW44" s="20">
        <f t="shared" si="13"/>
        <v>214.20352867293332</v>
      </c>
      <c r="CX44" s="59">
        <f t="shared" si="14"/>
        <v>507.53686200626663</v>
      </c>
      <c r="CY44" s="59">
        <f ca="1">AVERAGE(OFFSET($CX$3,0,0,'Données projet'!$E$13+1,1))-AVERAGE(OFFSET($H$3,0,0,'Données projet'!$E$13+1,1))</f>
        <v>342.82846711287749</v>
      </c>
      <c r="CZ44" s="59">
        <f t="shared" si="42"/>
        <v>152.87724741106297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6.4</v>
      </c>
      <c r="DO44" s="12">
        <f>IF('Données projet'!$A$166&gt;35,DO43+DN44-DW43,IF(A44&lt;'Données projet'!$A$166,$DL$205^A44,IF(A44='Données projet'!$A$166,'Données projet'!$B$166,DO43+DN44-DW43)))</f>
        <v>138.39999999999995</v>
      </c>
      <c r="DP44" s="17">
        <f>DO44*VLOOKUP('Données projet'!$B$14,Paramètres!$A$1:$I$89,3,0)*VLOOKUP('Données projet'!$B$14,Paramètres!$A$1:$I$89,5,0)</f>
        <v>101.47487999999996</v>
      </c>
      <c r="DQ44" s="13">
        <f t="shared" si="43"/>
        <v>27.313067403955227</v>
      </c>
      <c r="DR44" s="20">
        <f t="shared" si="16"/>
        <v>224.30567506188856</v>
      </c>
      <c r="DS44" s="59">
        <f t="shared" si="17"/>
        <v>517.63900839522194</v>
      </c>
      <c r="DT44" s="59">
        <f ca="1">AVERAGE(OFFSET($DS$3,0,0,'Données projet'!$E$14+1,1))-AVERAGE(OFFSET($H$3,0,0,'Données projet'!$E$14+1,1))</f>
        <v>208.48147873805715</v>
      </c>
      <c r="DU44" s="59">
        <f t="shared" si="44"/>
        <v>209.50570914630686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0.35877854502030954</v>
      </c>
      <c r="EB44" s="21">
        <f>EXP(-LN(2)/25)*EB43+(1-EXP(-LN(2)/25))/(LN(2)/25)*Calculateur!DW44*Calculateur!DY44*VLOOKUP('Données projet'!$B$14,Paramètres!$A$1:$I$89,3,0)*0.475*44/12</f>
        <v>3.7815715683417142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4.1403501133620235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13.14134615384615</v>
      </c>
      <c r="EJ44" s="12">
        <f>IF('Données projet'!$A$192&gt;35,EJ43+EI44-ER43,IF(A44&lt;'Données projet'!$A$192,$EG$205^A44,IF(A44='Données projet'!$A$192,'Données projet'!$B$192,EJ43+EI44-ER43)))</f>
        <v>263.7298076923077</v>
      </c>
      <c r="EK44" s="17">
        <f>EJ44*VLOOKUP('Données projet'!$B$15,Paramètres!$A$1:$I$89,3,0)*VLOOKUP('Données projet'!$B$15,Paramètres!$A$1:$I$89,5,0)</f>
        <v>157.71042500000001</v>
      </c>
      <c r="EL44" s="13">
        <f t="shared" si="45"/>
        <v>40.325662975074472</v>
      </c>
      <c r="EM44" s="20">
        <f t="shared" si="19"/>
        <v>344.91285322325467</v>
      </c>
      <c r="EN44" s="59">
        <f t="shared" si="20"/>
        <v>638.24618655658799</v>
      </c>
      <c r="EO44" s="59">
        <f ca="1">AVERAGE(OFFSET($EN$3,0,0,'Données projet'!$E$15+1,1))-AVERAGE(OFFSET($H$3,0,0,'Données projet'!$E$15+1,1))</f>
        <v>247.31680974612766</v>
      </c>
      <c r="EP44" s="59">
        <f t="shared" si="46"/>
        <v>257.13949761071882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24.000957418468939</v>
      </c>
      <c r="EW44" s="21">
        <f>EXP(-LN(2)/25)*EW43+(1-EXP(-LN(2)/25))/(LN(2)/25)*Calculateur!ER44*Calculateur!ET44*VLOOKUP('Données projet'!$B$15,Paramètres!$A$1:$I$89,3,0)*0.475*44/12</f>
        <v>16.246021153561355</v>
      </c>
      <c r="EX44" s="21">
        <f>EXP(-LN(2)/2)*EX43+(1-EXP(-LN(2)/2))/(LN(2)/2)*ER44*EU44*VLOOKUP('Données projet'!$B$15,Paramètres!$A$1:$I$89,3,0)*0.475*44/12</f>
        <v>1.1209978469140049</v>
      </c>
      <c r="EY44" s="22">
        <f t="shared" si="21"/>
        <v>41.367976418944302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7.4692799999999933</v>
      </c>
      <c r="D45" s="11">
        <f t="shared" si="32"/>
        <v>2.7238372801480608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15.736742467596999</v>
      </c>
      <c r="H45" s="67">
        <f t="shared" si="1"/>
        <v>274.41967926292455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10.407692307692306</v>
      </c>
      <c r="N45" s="13">
        <f>IF('Données projet'!$A$36&gt;35,N44+M45-V44,IF(A45&lt;'Données projet'!$A$36,$K$205^A45,IF(A45='Données projet'!$A$36,'Données projet'!$B$36,N44+M45-V44)))</f>
        <v>228.16923076923081</v>
      </c>
      <c r="O45" s="13">
        <f>N45*VLOOKUP('Données projet'!$B$9,Paramètres!$A$1:$I$89,3,0)*VLOOKUP('Données projet'!$B$9,Paramètres!$A$1:$I$89,5,0)</f>
        <v>106.78320000000002</v>
      </c>
      <c r="P45" s="13">
        <f t="shared" si="33"/>
        <v>28.571777207672977</v>
      </c>
      <c r="Q45" s="20">
        <f t="shared" si="53"/>
        <v>235.74325197003046</v>
      </c>
      <c r="R45" s="59">
        <f t="shared" si="0"/>
        <v>529.0765853033638</v>
      </c>
      <c r="S45" s="59">
        <f ca="1">AVERAGE(OFFSET($R$3,0,0,'Données projet'!$E$9+1,1))-AVERAGE(OFFSET($H$3,0,0,'Données projet'!$E$9+1,1))</f>
        <v>223.99456146593315</v>
      </c>
      <c r="T45" s="59">
        <f t="shared" si="34"/>
        <v>132.73290587325937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7.4</v>
      </c>
      <c r="AI45" s="13">
        <f>IF('Données projet'!$A$62&gt;35,AI44+AH45-AQ44,IF(A45&lt;'Données projet'!$A$62,$AF$205^A45,IF(A45='Données projet'!$A$62,'Données projet'!$B$62,AI44+AH45-AQ44)))</f>
        <v>184.80000000000007</v>
      </c>
      <c r="AJ45" s="13">
        <f>AI45*VLOOKUP('Données projet'!$B$10,Paramètres!$A$1:$I$89,3,0)*VLOOKUP('Données projet'!$B$10,Paramètres!$A$1:$I$89,5,0)</f>
        <v>121.08096000000005</v>
      </c>
      <c r="AK45" s="13">
        <f t="shared" si="35"/>
        <v>31.92698372788707</v>
      </c>
      <c r="AL45" s="20">
        <f t="shared" si="4"/>
        <v>266.48883532607005</v>
      </c>
      <c r="AM45" s="59">
        <f t="shared" si="5"/>
        <v>559.82216865940336</v>
      </c>
      <c r="AN45" s="59">
        <f ca="1">AVERAGE(OFFSET($AM$3,0,0,'Données projet'!$E$10+1,1))-AVERAGE(OFFSET($H$3,0,0,'Données projet'!$E$10+1,1))</f>
        <v>244.43587473734613</v>
      </c>
      <c r="AO45" s="59">
        <f t="shared" si="36"/>
        <v>256.80261402149375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2.5307109102440046</v>
      </c>
      <c r="AW45" s="21">
        <f>EXP(-LN(2)/2)*AW44+(1-EXP(-LN(2)/2))/(LN(2)/2)*AQ45*AT45*VLOOKUP('Données projet'!$B$10,Paramètres!$A$1:$I$89,3,0)*0.475*44/12</f>
        <v>2.8064369797021675</v>
      </c>
      <c r="AX45" s="21">
        <f t="shared" si="6"/>
        <v>5.3371478899461717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22.8</v>
      </c>
      <c r="BD45" s="12">
        <f>IF('Données projet'!$A$88&gt;35,BD44+BC45-BL44,IF(A45&lt;'Données projet'!$A$88,$BA$205^A45,IF(A45='Données projet'!$A$88,'Données projet'!$B$88,BD44+BC45-BL44)))</f>
        <v>537.60000000000014</v>
      </c>
      <c r="BE45" s="13">
        <f>BD45*VLOOKUP('Données projet'!$B$11,Paramètres!$A$1:$I$89,3,0)*VLOOKUP('Données projet'!$B$11,Paramètres!$A$1:$I$89,5,0)</f>
        <v>300.5184000000001</v>
      </c>
      <c r="BF45" s="13">
        <f t="shared" si="37"/>
        <v>71.285129105116411</v>
      </c>
      <c r="BG45" s="20">
        <f t="shared" si="7"/>
        <v>647.55781319141124</v>
      </c>
      <c r="BH45" s="59">
        <f t="shared" si="8"/>
        <v>940.8911465247445</v>
      </c>
      <c r="BI45" s="59">
        <f ca="1">AVERAGE(OFFSET($BH$3,0,0,'Données projet'!$E$11+1,1))-AVERAGE(OFFSET($H$3,0,0,'Données projet'!$E$11+1,1))</f>
        <v>430.60186171079067</v>
      </c>
      <c r="BJ45" s="59">
        <f t="shared" si="38"/>
        <v>533.76627289533985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49.062513490286925</v>
      </c>
      <c r="BQ45" s="21">
        <f>EXP(-LN(2)/25)*BQ44+(1-EXP(-LN(2)/25))/(LN(2)/25)*Calculateur!BL45*Calculateur!BN45*VLOOKUP('Données projet'!$B$11,Paramètres!$A$1:$I$89,3,0)*0.475*44/12</f>
        <v>18.837546481220159</v>
      </c>
      <c r="BR45" s="21">
        <f>EXP(-LN(2)/2)*BR44+(1-EXP(-LN(2)/2))/(LN(2)/2)*BL45*BO45*VLOOKUP('Données projet'!$B$11,Paramètres!$A$1:$I$89,3,0)*0.475*44/12</f>
        <v>3.6291790899232557</v>
      </c>
      <c r="BS45" s="22">
        <f t="shared" si="9"/>
        <v>71.529239061430346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10.101538461538462</v>
      </c>
      <c r="BY45" s="12">
        <f>IF('Données projet'!$A$114&gt;35,BY44+BX45-CG44,IF(A45&lt;'Données projet'!$A$114,$BV$205^A45,IF(A45='Données projet'!$A$114,'Données projet'!$B$114,BY44+BX45-CG44)))</f>
        <v>160.79538461538459</v>
      </c>
      <c r="BZ45" s="13">
        <f>BY45*VLOOKUP('Données projet'!$B$12,Paramètres!$A$1:$I$89,3,0)*VLOOKUP('Données projet'!$B$12,Paramètres!$A$1:$I$89,5,0)</f>
        <v>96.155640000000005</v>
      </c>
      <c r="CA45" s="13">
        <f t="shared" si="39"/>
        <v>26.044052689931657</v>
      </c>
      <c r="CB45" s="20">
        <f t="shared" si="10"/>
        <v>212.83113143496431</v>
      </c>
      <c r="CC45" s="59">
        <f t="shared" si="11"/>
        <v>506.16446476829765</v>
      </c>
      <c r="CD45" s="59">
        <f ca="1">AVERAGE(OFFSET($CC$3,0,0,'Données projet'!$E$12+1,1))-AVERAGE(OFFSET($H$3,0,0,'Données projet'!$E$12+1,1))</f>
        <v>215.89467197072673</v>
      </c>
      <c r="CE45" s="59">
        <f t="shared" si="40"/>
        <v>188.21397398859534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20.107032840516325</v>
      </c>
      <c r="CL45" s="21">
        <f>EXP(-LN(2)/25)*CL44+(1-EXP(-LN(2)/25))/(LN(2)/25)*Calculateur!CG45*Calculateur!CI45*VLOOKUP('Données projet'!$B$12,Paramètres!$A$1:$I$89,3,0)*0.475*44/12</f>
        <v>11.002256468095707</v>
      </c>
      <c r="CM45" s="21">
        <f>EXP(-LN(2)/2)*CM44+(1-EXP(-LN(2)/2))/(LN(2)/2)*CG45*CJ45*VLOOKUP('Données projet'!$B$12,Paramètres!$A$1:$I$89,3,0)*0.475*44/12</f>
        <v>2.3175652824245243</v>
      </c>
      <c r="CN45" s="22">
        <f t="shared" si="12"/>
        <v>33.426854591036559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3.5192307692307692</v>
      </c>
      <c r="CT45" s="12">
        <f>IF('Données projet'!$A$140&gt;35,CT44+CS45-DB44,IF(A45&lt;'Données projet'!$A$140,$CQ$205^A45,IF(A45='Données projet'!$A$140,'Données projet'!$B$140,CT44+CS45-DB44)))</f>
        <v>98.974358974359006</v>
      </c>
      <c r="CU45" s="17">
        <f>CT45*VLOOKUP('Données projet'!$B$13,Paramètres!$A$1:$I$89,3,0)*VLOOKUP('Données projet'!$B$13,Paramètres!$A$1:$I$89,5,0)</f>
        <v>100.36000000000004</v>
      </c>
      <c r="CV45" s="13">
        <f t="shared" si="41"/>
        <v>27.047744638609728</v>
      </c>
      <c r="CW45" s="20">
        <f t="shared" si="13"/>
        <v>221.90182191224537</v>
      </c>
      <c r="CX45" s="59">
        <f t="shared" si="14"/>
        <v>515.23515524557865</v>
      </c>
      <c r="CY45" s="59">
        <f ca="1">AVERAGE(OFFSET($CX$3,0,0,'Données projet'!$E$13+1,1))-AVERAGE(OFFSET($H$3,0,0,'Données projet'!$E$13+1,1))</f>
        <v>342.82846711287749</v>
      </c>
      <c r="CZ45" s="59">
        <f t="shared" si="42"/>
        <v>152.87724741106297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6.4</v>
      </c>
      <c r="DO45" s="12">
        <f>IF('Données projet'!$A$166&gt;35,DO44+DN45-DW44,IF(A45&lt;'Données projet'!$A$166,$DL$205^A45,IF(A45='Données projet'!$A$166,'Données projet'!$B$166,DO44+DN45-DW44)))</f>
        <v>144.79999999999995</v>
      </c>
      <c r="DP45" s="17">
        <f>DO45*VLOOKUP('Données projet'!$B$14,Paramètres!$A$1:$I$89,3,0)*VLOOKUP('Données projet'!$B$14,Paramètres!$A$1:$I$89,5,0)</f>
        <v>106.16735999999996</v>
      </c>
      <c r="DQ45" s="13">
        <f t="shared" si="43"/>
        <v>28.426129388822403</v>
      </c>
      <c r="DR45" s="20">
        <f t="shared" si="16"/>
        <v>234.41699401886561</v>
      </c>
      <c r="DS45" s="59">
        <f t="shared" si="17"/>
        <v>527.75032735219895</v>
      </c>
      <c r="DT45" s="59">
        <f ca="1">AVERAGE(OFFSET($DS$3,0,0,'Données projet'!$E$14+1,1))-AVERAGE(OFFSET($H$3,0,0,'Données projet'!$E$14+1,1))</f>
        <v>208.48147873805715</v>
      </c>
      <c r="DU45" s="59">
        <f t="shared" si="44"/>
        <v>209.50570914630686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0.35174311658576574</v>
      </c>
      <c r="EB45" s="21">
        <f>EXP(-LN(2)/25)*EB44+(1-EXP(-LN(2)/25))/(LN(2)/25)*Calculateur!DW45*Calculateur!DY45*VLOOKUP('Données projet'!$B$14,Paramètres!$A$1:$I$89,3,0)*0.475*44/12</f>
        <v>3.6781642949412041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4.0299074115269695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13.14134615384615</v>
      </c>
      <c r="EJ45" s="12">
        <f>IF('Données projet'!$A$192&gt;35,EJ44+EI45-ER44,IF(A45&lt;'Données projet'!$A$192,$EG$205^A45,IF(A45='Données projet'!$A$192,'Données projet'!$B$192,EJ44+EI45-ER44)))</f>
        <v>276.87115384615385</v>
      </c>
      <c r="EK45" s="17">
        <f>EJ45*VLOOKUP('Données projet'!$B$15,Paramètres!$A$1:$I$89,3,0)*VLOOKUP('Données projet'!$B$15,Paramètres!$A$1:$I$89,5,0)</f>
        <v>165.56895</v>
      </c>
      <c r="EL45" s="13">
        <f t="shared" si="45"/>
        <v>42.096095514085818</v>
      </c>
      <c r="EM45" s="20">
        <f t="shared" si="19"/>
        <v>361.68328760369945</v>
      </c>
      <c r="EN45" s="59">
        <f t="shared" si="20"/>
        <v>655.01662093703271</v>
      </c>
      <c r="EO45" s="59">
        <f ca="1">AVERAGE(OFFSET($EN$3,0,0,'Données projet'!$E$15+1,1))-AVERAGE(OFFSET($H$3,0,0,'Données projet'!$E$15+1,1))</f>
        <v>247.31680974612766</v>
      </c>
      <c r="EP45" s="59">
        <f t="shared" si="46"/>
        <v>257.13949761071882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23.530313282631294</v>
      </c>
      <c r="EW45" s="21">
        <f>EXP(-LN(2)/25)*EW44+(1-EXP(-LN(2)/25))/(LN(2)/25)*Calculateur!ER45*Calculateur!ET45*VLOOKUP('Données projet'!$B$15,Paramètres!$A$1:$I$89,3,0)*0.475*44/12</f>
        <v>15.801772850776098</v>
      </c>
      <c r="EX45" s="21">
        <f>EXP(-LN(2)/2)*EX44+(1-EXP(-LN(2)/2))/(LN(2)/2)*ER45*EU45*VLOOKUP('Données projet'!$B$15,Paramètres!$A$1:$I$89,3,0)*0.475*44/12</f>
        <v>0.79266517924841229</v>
      </c>
      <c r="EY45" s="22">
        <f t="shared" si="21"/>
        <v>40.124751312655803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7.647119999999993</v>
      </c>
      <c r="D46" s="11">
        <f t="shared" si="32"/>
        <v>2.7810629156483735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16.099650817141342</v>
      </c>
      <c r="H46" s="67">
        <f t="shared" si="1"/>
        <v>274.82908524475425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10.407692307692306</v>
      </c>
      <c r="N46" s="13">
        <f>IF('Données projet'!$A$36&gt;35,N45+M46-V45,IF(A46&lt;'Données projet'!$A$36,$K$205^A46,IF(A46='Données projet'!$A$36,'Données projet'!$B$36,N45+M46-V45)))</f>
        <v>238.57692307692312</v>
      </c>
      <c r="O46" s="13">
        <f>N46*VLOOKUP('Données projet'!$B$9,Paramètres!$A$1:$I$89,3,0)*VLOOKUP('Données projet'!$B$9,Paramètres!$A$1:$I$89,5,0)</f>
        <v>111.65400000000002</v>
      </c>
      <c r="P46" s="13">
        <f t="shared" si="33"/>
        <v>29.720340737744728</v>
      </c>
      <c r="Q46" s="20">
        <f t="shared" si="53"/>
        <v>246.22697678490542</v>
      </c>
      <c r="R46" s="59">
        <f t="shared" si="0"/>
        <v>539.5603101182387</v>
      </c>
      <c r="S46" s="59">
        <f ca="1">AVERAGE(OFFSET($R$3,0,0,'Données projet'!$E$9+1,1))-AVERAGE(OFFSET($H$3,0,0,'Données projet'!$E$9+1,1))</f>
        <v>223.99456146593315</v>
      </c>
      <c r="T46" s="59">
        <f t="shared" si="34"/>
        <v>132.73290587325937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7.4</v>
      </c>
      <c r="AI46" s="13">
        <f>IF('Données projet'!$A$62&gt;35,AI45+AH46-AQ45,IF(A46&lt;'Données projet'!$A$62,$AF$205^A46,IF(A46='Données projet'!$A$62,'Données projet'!$B$62,AI45+AH46-AQ45)))</f>
        <v>192.20000000000007</v>
      </c>
      <c r="AJ46" s="13">
        <f>AI46*VLOOKUP('Données projet'!$B$10,Paramètres!$A$1:$I$89,3,0)*VLOOKUP('Données projet'!$B$10,Paramètres!$A$1:$I$89,5,0)</f>
        <v>125.92944000000006</v>
      </c>
      <c r="AK46" s="13">
        <f t="shared" si="35"/>
        <v>33.054038034052077</v>
      </c>
      <c r="AL46" s="20">
        <f t="shared" si="4"/>
        <v>276.89622424264081</v>
      </c>
      <c r="AM46" s="59">
        <f t="shared" si="5"/>
        <v>570.22955757597413</v>
      </c>
      <c r="AN46" s="59">
        <f ca="1">AVERAGE(OFFSET($AM$3,0,0,'Données projet'!$E$10+1,1))-AVERAGE(OFFSET($H$3,0,0,'Données projet'!$E$10+1,1))</f>
        <v>244.43587473734613</v>
      </c>
      <c r="AO46" s="59">
        <f t="shared" si="36"/>
        <v>256.80261402149375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2.4615084873190796</v>
      </c>
      <c r="AW46" s="21">
        <f>EXP(-LN(2)/2)*AW45+(1-EXP(-LN(2)/2))/(LN(2)/2)*AQ46*AT46*VLOOKUP('Données projet'!$B$10,Paramètres!$A$1:$I$89,3,0)*0.475*44/12</f>
        <v>1.9844506193200961</v>
      </c>
      <c r="AX46" s="21">
        <f t="shared" si="6"/>
        <v>4.4459591066391759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22.8</v>
      </c>
      <c r="BD46" s="12">
        <f>IF('Données projet'!$A$88&gt;35,BD45+BC46-BL45,IF(A46&lt;'Données projet'!$A$88,$BA$205^A46,IF(A46='Données projet'!$A$88,'Données projet'!$B$88,BD45+BC46-BL45)))</f>
        <v>560.40000000000009</v>
      </c>
      <c r="BE46" s="13">
        <f>BD46*VLOOKUP('Données projet'!$B$11,Paramètres!$A$1:$I$89,3,0)*VLOOKUP('Données projet'!$B$11,Paramètres!$A$1:$I$89,5,0)</f>
        <v>313.26360000000005</v>
      </c>
      <c r="BF46" s="13">
        <f t="shared" si="37"/>
        <v>73.949983766039026</v>
      </c>
      <c r="BG46" s="20">
        <f t="shared" si="7"/>
        <v>674.39699172585131</v>
      </c>
      <c r="BH46" s="59">
        <f t="shared" si="8"/>
        <v>967.73032505918468</v>
      </c>
      <c r="BI46" s="59">
        <f ca="1">AVERAGE(OFFSET($BH$3,0,0,'Données projet'!$E$11+1,1))-AVERAGE(OFFSET($H$3,0,0,'Données projet'!$E$11+1,1))</f>
        <v>430.60186171079067</v>
      </c>
      <c r="BJ46" s="59">
        <f t="shared" si="38"/>
        <v>533.76627289533985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48.100427525920765</v>
      </c>
      <c r="BQ46" s="21">
        <f>EXP(-LN(2)/25)*BQ45+(1-EXP(-LN(2)/25))/(LN(2)/25)*Calculateur!BL46*Calculateur!BN46*VLOOKUP('Données projet'!$B$11,Paramètres!$A$1:$I$89,3,0)*0.475*44/12</f>
        <v>18.322432782067679</v>
      </c>
      <c r="BR46" s="21">
        <f>EXP(-LN(2)/2)*BR45+(1-EXP(-LN(2)/2))/(LN(2)/2)*BL46*BO46*VLOOKUP('Données projet'!$B$11,Paramètres!$A$1:$I$89,3,0)*0.475*44/12</f>
        <v>2.5662171446251576</v>
      </c>
      <c r="BS46" s="22">
        <f t="shared" si="9"/>
        <v>68.9890774526136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10.101538461538462</v>
      </c>
      <c r="BY46" s="12">
        <f>IF('Données projet'!$A$114&gt;35,BY45+BX46-CG45,IF(A46&lt;'Données projet'!$A$114,$BV$205^A46,IF(A46='Données projet'!$A$114,'Données projet'!$B$114,BY45+BX46-CG45)))</f>
        <v>170.89692307692306</v>
      </c>
      <c r="BZ46" s="13">
        <f>BY46*VLOOKUP('Données projet'!$B$12,Paramètres!$A$1:$I$89,3,0)*VLOOKUP('Données projet'!$B$12,Paramètres!$A$1:$I$89,5,0)</f>
        <v>102.19635999999998</v>
      </c>
      <c r="CA46" s="13">
        <f t="shared" si="39"/>
        <v>27.484586571519078</v>
      </c>
      <c r="CB46" s="20">
        <f t="shared" si="10"/>
        <v>225.86098194539568</v>
      </c>
      <c r="CC46" s="59">
        <f t="shared" si="11"/>
        <v>519.19431527872894</v>
      </c>
      <c r="CD46" s="59">
        <f ca="1">AVERAGE(OFFSET($CC$3,0,0,'Données projet'!$E$12+1,1))-AVERAGE(OFFSET($H$3,0,0,'Données projet'!$E$12+1,1))</f>
        <v>215.89467197072673</v>
      </c>
      <c r="CE46" s="59">
        <f t="shared" si="40"/>
        <v>188.21397398859534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19.712746190592856</v>
      </c>
      <c r="CL46" s="21">
        <f>EXP(-LN(2)/25)*CL45+(1-EXP(-LN(2)/25))/(LN(2)/25)*Calculateur!CG46*Calculateur!CI46*VLOOKUP('Données projet'!$B$12,Paramètres!$A$1:$I$89,3,0)*0.475*44/12</f>
        <v>10.701399186392109</v>
      </c>
      <c r="CM46" s="21">
        <f>EXP(-LN(2)/2)*CM45+(1-EXP(-LN(2)/2))/(LN(2)/2)*CG46*CJ46*VLOOKUP('Données projet'!$B$12,Paramètres!$A$1:$I$89,3,0)*0.475*44/12</f>
        <v>1.6387661270448974</v>
      </c>
      <c r="CN46" s="22">
        <f t="shared" si="12"/>
        <v>32.052911504029865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3.5192307692307692</v>
      </c>
      <c r="CT46" s="12">
        <f>IF('Données projet'!$A$140&gt;35,CT45+CS46-DB45,IF(A46&lt;'Données projet'!$A$140,$CQ$205^A46,IF(A46='Données projet'!$A$140,'Données projet'!$B$140,CT45+CS46-DB45)))</f>
        <v>102.49358974358978</v>
      </c>
      <c r="CU46" s="17">
        <f>CT46*VLOOKUP('Données projet'!$B$13,Paramètres!$A$1:$I$89,3,0)*VLOOKUP('Données projet'!$B$13,Paramètres!$A$1:$I$89,5,0)</f>
        <v>103.92850000000006</v>
      </c>
      <c r="CV46" s="13">
        <f t="shared" si="41"/>
        <v>27.895799294376964</v>
      </c>
      <c r="CW46" s="20">
        <f t="shared" si="13"/>
        <v>229.59398793770663</v>
      </c>
      <c r="CX46" s="59">
        <f t="shared" si="14"/>
        <v>522.92732127104</v>
      </c>
      <c r="CY46" s="59">
        <f ca="1">AVERAGE(OFFSET($CX$3,0,0,'Données projet'!$E$13+1,1))-AVERAGE(OFFSET($H$3,0,0,'Données projet'!$E$13+1,1))</f>
        <v>342.82846711287749</v>
      </c>
      <c r="CZ46" s="59">
        <f t="shared" si="42"/>
        <v>152.87724741106297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6.4</v>
      </c>
      <c r="DO46" s="12">
        <f>IF('Données projet'!$A$166&gt;35,DO45+DN46-DW45,IF(A46&lt;'Données projet'!$A$166,$DL$205^A46,IF(A46='Données projet'!$A$166,'Données projet'!$B$166,DO45+DN46-DW45)))</f>
        <v>151.19999999999996</v>
      </c>
      <c r="DP46" s="17">
        <f>DO46*VLOOKUP('Données projet'!$B$14,Paramètres!$A$1:$I$89,3,0)*VLOOKUP('Données projet'!$B$14,Paramètres!$A$1:$I$89,5,0)</f>
        <v>110.85983999999998</v>
      </c>
      <c r="DQ46" s="13">
        <f t="shared" si="43"/>
        <v>29.533477687335427</v>
      </c>
      <c r="DR46" s="20">
        <f t="shared" si="16"/>
        <v>244.51836163877581</v>
      </c>
      <c r="DS46" s="59">
        <f t="shared" si="17"/>
        <v>537.85169497210916</v>
      </c>
      <c r="DT46" s="59">
        <f ca="1">AVERAGE(OFFSET($DS$3,0,0,'Données projet'!$E$14+1,1))-AVERAGE(OFFSET($H$3,0,0,'Données projet'!$E$14+1,1))</f>
        <v>208.48147873805715</v>
      </c>
      <c r="DU46" s="59">
        <f t="shared" si="44"/>
        <v>209.50570914630686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0.34484564861163569</v>
      </c>
      <c r="EB46" s="21">
        <f>EXP(-LN(2)/25)*EB45+(1-EXP(-LN(2)/25))/(LN(2)/25)*Calculateur!DW46*Calculateur!DY46*VLOOKUP('Données projet'!$B$14,Paramètres!$A$1:$I$89,3,0)*0.475*44/12</f>
        <v>3.5775846988697833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3.9224303474814191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13.14134615384615</v>
      </c>
      <c r="EJ46" s="12">
        <f>IF('Données projet'!$A$192&gt;35,EJ45+EI46-ER45,IF(A46&lt;'Données projet'!$A$192,$EG$205^A46,IF(A46='Données projet'!$A$192,'Données projet'!$B$192,EJ45+EI46-ER45)))</f>
        <v>290.01249999999999</v>
      </c>
      <c r="EK46" s="17">
        <f>EJ46*VLOOKUP('Données projet'!$B$15,Paramètres!$A$1:$I$89,3,0)*VLOOKUP('Données projet'!$B$15,Paramètres!$A$1:$I$89,5,0)</f>
        <v>173.42747500000002</v>
      </c>
      <c r="EL46" s="13">
        <f t="shared" si="45"/>
        <v>43.856769901180428</v>
      </c>
      <c r="EM46" s="20">
        <f t="shared" si="19"/>
        <v>378.43672653622258</v>
      </c>
      <c r="EN46" s="59">
        <f t="shared" si="20"/>
        <v>671.77005986955589</v>
      </c>
      <c r="EO46" s="59">
        <f ca="1">AVERAGE(OFFSET($EN$3,0,0,'Données projet'!$E$15+1,1))-AVERAGE(OFFSET($H$3,0,0,'Données projet'!$E$15+1,1))</f>
        <v>247.31680974612766</v>
      </c>
      <c r="EP46" s="59">
        <f t="shared" si="46"/>
        <v>257.13949761071882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23.068898191232847</v>
      </c>
      <c r="EW46" s="21">
        <f>EXP(-LN(2)/25)*EW45+(1-EXP(-LN(2)/25))/(LN(2)/25)*Calculateur!ER46*Calculateur!ET46*VLOOKUP('Données projet'!$B$15,Paramètres!$A$1:$I$89,3,0)*0.475*44/12</f>
        <v>15.369672541192507</v>
      </c>
      <c r="EX46" s="21">
        <f>EXP(-LN(2)/2)*EX45+(1-EXP(-LN(2)/2))/(LN(2)/2)*ER46*EU46*VLOOKUP('Données projet'!$B$15,Paramètres!$A$1:$I$89,3,0)*0.475*44/12</f>
        <v>0.56049892345700258</v>
      </c>
      <c r="EY46" s="22">
        <f t="shared" si="21"/>
        <v>38.999069655882359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7.8249599999999928</v>
      </c>
      <c r="D47" s="11">
        <f t="shared" si="32"/>
        <v>2.8381338374226415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16.462320310406874</v>
      </c>
      <c r="H47" s="67">
        <f t="shared" si="1"/>
        <v>275.23822176684445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10.407692307692306</v>
      </c>
      <c r="N47" s="13">
        <f>IF('Données projet'!$A$36&gt;35,N46+M47-V46,IF(A47&lt;'Données projet'!$A$36,$K$205^A47,IF(A47='Données projet'!$A$36,'Données projet'!$B$36,N46+M47-V46)))</f>
        <v>248.98461538461544</v>
      </c>
      <c r="O47" s="13">
        <f>N47*VLOOKUP('Données projet'!$B$9,Paramètres!$A$1:$I$89,3,0)*VLOOKUP('Données projet'!$B$9,Paramètres!$A$1:$I$89,5,0)</f>
        <v>116.52480000000001</v>
      </c>
      <c r="P47" s="13">
        <f t="shared" si="33"/>
        <v>30.86308487963316</v>
      </c>
      <c r="Q47" s="20">
        <f t="shared" si="53"/>
        <v>256.70056616536107</v>
      </c>
      <c r="R47" s="59">
        <f t="shared" si="0"/>
        <v>550.03389949869438</v>
      </c>
      <c r="S47" s="59">
        <f ca="1">AVERAGE(OFFSET($R$3,0,0,'Données projet'!$E$9+1,1))-AVERAGE(OFFSET($H$3,0,0,'Données projet'!$E$9+1,1))</f>
        <v>223.99456146593315</v>
      </c>
      <c r="T47" s="59">
        <f t="shared" si="34"/>
        <v>132.73290587325937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7.4</v>
      </c>
      <c r="AI47" s="13">
        <f>IF('Données projet'!$A$62&gt;35,AI46+AH47-AQ46,IF(A47&lt;'Données projet'!$A$62,$AF$205^A47,IF(A47='Données projet'!$A$62,'Données projet'!$B$62,AI46+AH47-AQ46)))</f>
        <v>199.60000000000008</v>
      </c>
      <c r="AJ47" s="13">
        <f>AI47*VLOOKUP('Données projet'!$B$10,Paramètres!$A$1:$I$89,3,0)*VLOOKUP('Données projet'!$B$10,Paramètres!$A$1:$I$89,5,0)</f>
        <v>130.77792000000005</v>
      </c>
      <c r="AK47" s="13">
        <f t="shared" si="35"/>
        <v>34.176051340149542</v>
      </c>
      <c r="AL47" s="20">
        <f t="shared" si="4"/>
        <v>287.29483341742718</v>
      </c>
      <c r="AM47" s="59">
        <f t="shared" si="5"/>
        <v>580.62816675076056</v>
      </c>
      <c r="AN47" s="59">
        <f ca="1">AVERAGE(OFFSET($AM$3,0,0,'Données projet'!$E$10+1,1))-AVERAGE(OFFSET($H$3,0,0,'Données projet'!$E$10+1,1))</f>
        <v>244.43587473734613</v>
      </c>
      <c r="AO47" s="59">
        <f t="shared" si="36"/>
        <v>256.80261402149375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2.3941984082882337</v>
      </c>
      <c r="AW47" s="21">
        <f>EXP(-LN(2)/2)*AW46+(1-EXP(-LN(2)/2))/(LN(2)/2)*AQ47*AT47*VLOOKUP('Données projet'!$B$10,Paramètres!$A$1:$I$89,3,0)*0.475*44/12</f>
        <v>1.403218489851084</v>
      </c>
      <c r="AX47" s="21">
        <f t="shared" si="6"/>
        <v>3.7974168981393177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22.8</v>
      </c>
      <c r="BD47" s="12">
        <f>IF('Données projet'!$A$88&gt;35,BD46+BC47-BL46,IF(A47&lt;'Données projet'!$A$88,$BA$205^A47,IF(A47='Données projet'!$A$88,'Données projet'!$B$88,BD46+BC47-BL46)))</f>
        <v>583.20000000000005</v>
      </c>
      <c r="BE47" s="13">
        <f>BD47*VLOOKUP('Données projet'!$B$11,Paramètres!$A$1:$I$89,3,0)*VLOOKUP('Données projet'!$B$11,Paramètres!$A$1:$I$89,5,0)</f>
        <v>326.00880000000001</v>
      </c>
      <c r="BF47" s="13">
        <f t="shared" si="37"/>
        <v>76.602244480772981</v>
      </c>
      <c r="BG47" s="20">
        <f t="shared" si="7"/>
        <v>701.2142358040129</v>
      </c>
      <c r="BH47" s="59">
        <f t="shared" si="8"/>
        <v>994.54756913734627</v>
      </c>
      <c r="BI47" s="59">
        <f ca="1">AVERAGE(OFFSET($BH$3,0,0,'Données projet'!$E$11+1,1))-AVERAGE(OFFSET($H$3,0,0,'Données projet'!$E$11+1,1))</f>
        <v>430.60186171079067</v>
      </c>
      <c r="BJ47" s="59">
        <f t="shared" si="38"/>
        <v>533.76627289533985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47.157207480501327</v>
      </c>
      <c r="BQ47" s="21">
        <f>EXP(-LN(2)/25)*BQ46+(1-EXP(-LN(2)/25))/(LN(2)/25)*Calculateur!BL47*Calculateur!BN47*VLOOKUP('Données projet'!$B$11,Paramètres!$A$1:$I$89,3,0)*0.475*44/12</f>
        <v>17.821404894107175</v>
      </c>
      <c r="BR47" s="21">
        <f>EXP(-LN(2)/2)*BR46+(1-EXP(-LN(2)/2))/(LN(2)/2)*BL47*BO47*VLOOKUP('Données projet'!$B$11,Paramètres!$A$1:$I$89,3,0)*0.475*44/12</f>
        <v>1.8145895449616283</v>
      </c>
      <c r="BS47" s="22">
        <f t="shared" si="9"/>
        <v>66.793201919570137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10.101538461538462</v>
      </c>
      <c r="BY47" s="12">
        <f>IF('Données projet'!$A$114&gt;35,BY46+BX47-CG46,IF(A47&lt;'Données projet'!$A$114,$BV$205^A47,IF(A47='Données projet'!$A$114,'Données projet'!$B$114,BY46+BX47-CG46)))</f>
        <v>180.99846153846153</v>
      </c>
      <c r="BZ47" s="13">
        <f>BY47*VLOOKUP('Données projet'!$B$12,Paramètres!$A$1:$I$89,3,0)*VLOOKUP('Données projet'!$B$12,Paramètres!$A$1:$I$89,5,0)</f>
        <v>108.23708000000001</v>
      </c>
      <c r="CA47" s="13">
        <f t="shared" si="39"/>
        <v>28.915237117108482</v>
      </c>
      <c r="CB47" s="20">
        <f t="shared" si="10"/>
        <v>238.87361897896392</v>
      </c>
      <c r="CC47" s="59">
        <f t="shared" si="11"/>
        <v>532.20695231229729</v>
      </c>
      <c r="CD47" s="59">
        <f ca="1">AVERAGE(OFFSET($CC$3,0,0,'Données projet'!$E$12+1,1))-AVERAGE(OFFSET($H$3,0,0,'Données projet'!$E$12+1,1))</f>
        <v>215.89467197072673</v>
      </c>
      <c r="CE47" s="59">
        <f t="shared" si="40"/>
        <v>188.21397398859534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19.326191261383276</v>
      </c>
      <c r="CL47" s="21">
        <f>EXP(-LN(2)/25)*CL46+(1-EXP(-LN(2)/25))/(LN(2)/25)*Calculateur!CG47*Calculateur!CI47*VLOOKUP('Données projet'!$B$12,Paramètres!$A$1:$I$89,3,0)*0.475*44/12</f>
        <v>10.408768862878093</v>
      </c>
      <c r="CM47" s="21">
        <f>EXP(-LN(2)/2)*CM46+(1-EXP(-LN(2)/2))/(LN(2)/2)*CG47*CJ47*VLOOKUP('Données projet'!$B$12,Paramètres!$A$1:$I$89,3,0)*0.475*44/12</f>
        <v>1.1587826412122624</v>
      </c>
      <c r="CN47" s="22">
        <f t="shared" si="12"/>
        <v>30.893742765473633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3.5192307692307692</v>
      </c>
      <c r="CT47" s="12">
        <f>IF('Données projet'!$A$140&gt;35,CT46+CS47-DB46,IF(A47&lt;'Données projet'!$A$140,$CQ$205^A47,IF(A47='Données projet'!$A$140,'Données projet'!$B$140,CT46+CS47-DB46)))</f>
        <v>106.01282051282055</v>
      </c>
      <c r="CU47" s="17">
        <f>CT47*VLOOKUP('Données projet'!$B$13,Paramètres!$A$1:$I$89,3,0)*VLOOKUP('Données projet'!$B$13,Paramètres!$A$1:$I$89,5,0)</f>
        <v>107.49700000000004</v>
      </c>
      <c r="CV47" s="13">
        <f t="shared" si="41"/>
        <v>28.740470572817031</v>
      </c>
      <c r="CW47" s="20">
        <f t="shared" si="13"/>
        <v>237.2802612476564</v>
      </c>
      <c r="CX47" s="59">
        <f t="shared" si="14"/>
        <v>530.61359458098968</v>
      </c>
      <c r="CY47" s="59">
        <f ca="1">AVERAGE(OFFSET($CX$3,0,0,'Données projet'!$E$13+1,1))-AVERAGE(OFFSET($H$3,0,0,'Données projet'!$E$13+1,1))</f>
        <v>342.82846711287749</v>
      </c>
      <c r="CZ47" s="59">
        <f t="shared" si="42"/>
        <v>152.87724741106297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6.4</v>
      </c>
      <c r="DO47" s="12">
        <f>IF('Données projet'!$A$166&gt;35,DO46+DN47-DW46,IF(A47&lt;'Données projet'!$A$166,$DL$205^A47,IF(A47='Données projet'!$A$166,'Données projet'!$B$166,DO46+DN47-DW46)))</f>
        <v>157.59999999999997</v>
      </c>
      <c r="DP47" s="17">
        <f>DO47*VLOOKUP('Données projet'!$B$14,Paramètres!$A$1:$I$89,3,0)*VLOOKUP('Données projet'!$B$14,Paramètres!$A$1:$I$89,5,0)</f>
        <v>115.55231999999997</v>
      </c>
      <c r="DQ47" s="13">
        <f t="shared" si="43"/>
        <v>30.635381800029723</v>
      </c>
      <c r="DR47" s="20">
        <f t="shared" si="16"/>
        <v>254.61024730171837</v>
      </c>
      <c r="DS47" s="59">
        <f t="shared" si="17"/>
        <v>547.94358063505172</v>
      </c>
      <c r="DT47" s="59">
        <f ca="1">AVERAGE(OFFSET($DS$3,0,0,'Données projet'!$E$14+1,1))-AVERAGE(OFFSET($H$3,0,0,'Données projet'!$E$14+1,1))</f>
        <v>208.48147873805715</v>
      </c>
      <c r="DU47" s="59">
        <f t="shared" si="44"/>
        <v>209.50570914630686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0.33808343577743832</v>
      </c>
      <c r="EB47" s="21">
        <f>EXP(-LN(2)/25)*EB46+(1-EXP(-LN(2)/25))/(LN(2)/25)*Calculateur!DW47*Calculateur!DY47*VLOOKUP('Données projet'!$B$14,Paramètres!$A$1:$I$89,3,0)*0.475*44/12</f>
        <v>3.4797554571421863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3.8178388929196245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303.15384615384613</v>
      </c>
      <c r="EH47" s="12">
        <f>VLOOKUP(A47,'Données projet'!$A$191:$I$211,9,0)</f>
        <v>13.14134615384615</v>
      </c>
      <c r="EI47" s="12">
        <f t="array" ref="EI47">INDEX(EH:EH,MIN(IF(ISNUMBER(EH47:EH243),ROW(EH47:EH243),"")))</f>
        <v>13.14134615384615</v>
      </c>
      <c r="EJ47" s="12">
        <f>IF('Données projet'!$A$192&gt;35,EJ46+EI47-ER46,IF(A47&lt;'Données projet'!$A$192,$EG$205^A47,IF(A47='Données projet'!$A$192,'Données projet'!$B$192,EJ46+EI47-ER46)))</f>
        <v>303.15384615384613</v>
      </c>
      <c r="EK47" s="17">
        <f>EJ47*VLOOKUP('Données projet'!$B$15,Paramètres!$A$1:$I$89,3,0)*VLOOKUP('Données projet'!$B$15,Paramètres!$A$1:$I$89,5,0)</f>
        <v>181.286</v>
      </c>
      <c r="EL47" s="13">
        <f t="shared" si="45"/>
        <v>45.608178821536583</v>
      </c>
      <c r="EM47" s="20">
        <f t="shared" si="19"/>
        <v>395.17402811417611</v>
      </c>
      <c r="EN47" s="59">
        <f t="shared" si="20"/>
        <v>688.50736144750942</v>
      </c>
      <c r="EO47" s="59">
        <f ca="1">AVERAGE(OFFSET($EN$3,0,0,'Données projet'!$E$15+1,1))-AVERAGE(OFFSET($H$3,0,0,'Données projet'!$E$15+1,1))</f>
        <v>247.31680974612766</v>
      </c>
      <c r="EP47" s="59">
        <f t="shared" si="46"/>
        <v>257.13949761071882</v>
      </c>
      <c r="EQ47" s="15">
        <f>IF(ISNA(VLOOKUP(A47,'Données projet'!$A$191:$I$211,3,0)),0,VLOOKUP(A47,'Données projet'!$A$191:$I$211,3,0))</f>
        <v>5</v>
      </c>
      <c r="ER47" s="15">
        <f>IF(ISNA(VLOOKUP(A47,'Données projet'!$A$191:$I$211,4,0)),0,VLOOKUP(A47,'Données projet'!$A$191:$I$211,4,0))</f>
        <v>64.476923076923072</v>
      </c>
      <c r="ES47" s="16">
        <f>IF(ISNA(VLOOKUP(A47,'Données projet'!$A$191:$I$211,5,0)),0%,VLOOKUP(A47,'Données projet'!$A$191:$I$211,5,0)*VLOOKUP('Données projet'!$B$15,Paramètres!$A$1:$I$89,7,0))</f>
        <v>0.315</v>
      </c>
      <c r="ET47" s="16">
        <f>IF(ISNA(VLOOKUP(A47,'Données projet'!$A$191:$I$211,6,0)),0%,VLOOKUP(A47,'Données projet'!$A$191:$I$211,6,0)*VLOOKUP('Données projet'!$B$15,Paramètres!$A$1:$I$89,7,0))</f>
        <v>7.5600000000000001E-2</v>
      </c>
      <c r="EU47" s="16">
        <f>IF(ISNA(VLOOKUP(A47,'Données projet'!$A$191:$I$211,7,0)),0%,VLOOKUP(A47,'Données projet'!$A$191:$I$211,7,0))</f>
        <v>0.13200000000000001</v>
      </c>
      <c r="EV47" s="21">
        <f>EXP(-LN(2)/35)*EV46+(1-EXP(-LN(2)/35))/(LN(2)/35)*ER47*ES47*VLOOKUP('Données projet'!$B$15,Paramètres!$A$1:$I$89,3,0)*0.475*44/12</f>
        <v>38.728343640042439</v>
      </c>
      <c r="EW47" s="21">
        <f>EXP(-LN(2)/25)*EW46+(1-EXP(-LN(2)/25))/(LN(2)/25)*Calculateur!ER47*Calculateur!ET47*VLOOKUP('Données projet'!$B$15,Paramètres!$A$1:$I$89,3,0)*0.475*44/12</f>
        <v>18.800997827758014</v>
      </c>
      <c r="EX47" s="21">
        <f>EXP(-LN(2)/2)*EX46+(1-EXP(-LN(2)/2))/(LN(2)/2)*ER47*EU47*VLOOKUP('Données projet'!$B$15,Paramètres!$A$1:$I$89,3,0)*0.475*44/12</f>
        <v>6.1588859323929501</v>
      </c>
      <c r="EY47" s="22">
        <f t="shared" si="21"/>
        <v>63.688227400193398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8.0027999999999935</v>
      </c>
      <c r="D48" s="11">
        <f t="shared" si="32"/>
        <v>2.8950539664743773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16.824757000872715</v>
      </c>
      <c r="H48" s="67">
        <f t="shared" si="1"/>
        <v>275.64709565827621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10.407692307692306</v>
      </c>
      <c r="N48" s="13">
        <f>IF('Données projet'!$A$36&gt;35,N47+M48-V47,IF(A48&lt;'Données projet'!$A$36,$K$205^A48,IF(A48='Données projet'!$A$36,'Données projet'!$B$36,N47+M48-V47)))</f>
        <v>259.39230769230772</v>
      </c>
      <c r="O48" s="13">
        <f>N48*VLOOKUP('Données projet'!$B$9,Paramètres!$A$1:$I$89,3,0)*VLOOKUP('Données projet'!$B$9,Paramètres!$A$1:$I$89,5,0)</f>
        <v>121.39560000000002</v>
      </c>
      <c r="P48" s="13">
        <f t="shared" si="33"/>
        <v>32.000280703058984</v>
      </c>
      <c r="Q48" s="20">
        <f t="shared" si="53"/>
        <v>267.16449222449438</v>
      </c>
      <c r="R48" s="59">
        <f t="shared" si="0"/>
        <v>560.4978255578277</v>
      </c>
      <c r="S48" s="59">
        <f ca="1">AVERAGE(OFFSET($R$3,0,0,'Données projet'!$E$9+1,1))-AVERAGE(OFFSET($H$3,0,0,'Données projet'!$E$9+1,1))</f>
        <v>223.99456146593315</v>
      </c>
      <c r="T48" s="59">
        <f t="shared" si="34"/>
        <v>132.73290587325937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207</v>
      </c>
      <c r="AG48" s="12">
        <f>VLOOKUP(A48,'Données projet'!$A$61:$I$81,9,0)</f>
        <v>7.4</v>
      </c>
      <c r="AH48" s="12">
        <f t="array" ref="AH48">INDEX(AG:AG,MIN(IF(ISNUMBER(AG48:AG244),ROW(AG48:AG244),"")))</f>
        <v>7.4</v>
      </c>
      <c r="AI48" s="13">
        <f>IF('Données projet'!$A$62&gt;35,AI47+AH48-AQ47,IF(A48&lt;'Données projet'!$A$62,$AF$205^A48,IF(A48='Données projet'!$A$62,'Données projet'!$B$62,AI47+AH48-AQ47)))</f>
        <v>207.00000000000009</v>
      </c>
      <c r="AJ48" s="13">
        <f>AI48*VLOOKUP('Données projet'!$B$10,Paramètres!$A$1:$I$89,3,0)*VLOOKUP('Données projet'!$B$10,Paramètres!$A$1:$I$89,5,0)</f>
        <v>135.62640000000005</v>
      </c>
      <c r="AK48" s="13">
        <f t="shared" si="35"/>
        <v>35.293231938598481</v>
      </c>
      <c r="AL48" s="20">
        <f t="shared" si="4"/>
        <v>297.68502562639242</v>
      </c>
      <c r="AM48" s="59">
        <f t="shared" si="5"/>
        <v>591.01835895972567</v>
      </c>
      <c r="AN48" s="59">
        <f ca="1">AVERAGE(OFFSET($AM$3,0,0,'Données projet'!$E$10+1,1))-AVERAGE(OFFSET($H$3,0,0,'Données projet'!$E$10+1,1))</f>
        <v>244.43587473734613</v>
      </c>
      <c r="AO48" s="59">
        <f t="shared" si="36"/>
        <v>256.80261402149375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25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0.129</v>
      </c>
      <c r="AT48" s="16">
        <f>IF(ISNA(VLOOKUP(A48,'Données projet'!$A$61:$I$81,7,0)),0%,VLOOKUP(A48,'Données projet'!$A$61:$I$81,7,0))</f>
        <v>0.3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4.6554126946473398</v>
      </c>
      <c r="AW48" s="21">
        <f>EXP(-LN(2)/2)*AW47+(1-EXP(-LN(2)/2))/(LN(2)/2)*AQ48*AT48*VLOOKUP('Données projet'!$B$10,Paramètres!$A$1:$I$89,3,0)*0.475*44/12</f>
        <v>5.6287165680309252</v>
      </c>
      <c r="AX48" s="21">
        <f t="shared" si="6"/>
        <v>10.284129262678265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606</v>
      </c>
      <c r="BB48" s="12">
        <f>VLOOKUP(A48,'Données projet'!$A$87:$I$107,9,0)</f>
        <v>22.8</v>
      </c>
      <c r="BC48" s="12">
        <f t="array" ref="BC48">INDEX(BB:BB,MIN(IF(ISNUMBER(BB48:BB244),ROW(BB48:BB244),"")))</f>
        <v>22.8</v>
      </c>
      <c r="BD48" s="12">
        <f>IF('Données projet'!$A$88&gt;35,BD47+BC48-BL47,IF(A48&lt;'Données projet'!$A$88,$BA$205^A48,IF(A48='Données projet'!$A$88,'Données projet'!$B$88,BD47+BC48-BL47)))</f>
        <v>606</v>
      </c>
      <c r="BE48" s="13">
        <f>BD48*VLOOKUP('Données projet'!$B$11,Paramètres!$A$1:$I$89,3,0)*VLOOKUP('Données projet'!$B$11,Paramètres!$A$1:$I$89,5,0)</f>
        <v>338.75400000000002</v>
      </c>
      <c r="BF48" s="13">
        <f t="shared" si="37"/>
        <v>79.242459951408904</v>
      </c>
      <c r="BG48" s="20">
        <f t="shared" si="7"/>
        <v>728.01050108203719</v>
      </c>
      <c r="BH48" s="59">
        <f t="shared" si="8"/>
        <v>1021.3438344153706</v>
      </c>
      <c r="BI48" s="59">
        <f ca="1">AVERAGE(OFFSET($BH$3,0,0,'Données projet'!$E$11+1,1))-AVERAGE(OFFSET($H$3,0,0,'Données projet'!$E$11+1,1))</f>
        <v>430.60186171079067</v>
      </c>
      <c r="BJ48" s="59">
        <f t="shared" si="38"/>
        <v>533.76627289533985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66</v>
      </c>
      <c r="BM48" s="16">
        <f>IF(ISNA(VLOOKUP(A48,'Données projet'!$A$87:$I$107,5,0)),0%,VLOOKUP(A48,'Données projet'!$A$87:$I$107,5,0)*VLOOKUP('Données projet'!$B$11,Paramètres!$A$1:$I$89,7,0))</f>
        <v>0.38500000000000001</v>
      </c>
      <c r="BN48" s="16">
        <f>IF(ISNA(VLOOKUP(A48,'Données projet'!$A$87:$I$107,6,0)),0%,VLOOKUP(A48,'Données projet'!$A$87:$I$107,6,0)*VLOOKUP('Données projet'!$B$11,Paramètres!$A$1:$I$89,7,0))</f>
        <v>9.240000000000001E-2</v>
      </c>
      <c r="BO48" s="16">
        <f>IF(ISNA(VLOOKUP(A48,'Données projet'!$A$87:$I$107,7,0)),0%,VLOOKUP(A48,'Données projet'!$A$87:$I$107,7,0))</f>
        <v>0.13200000000000001</v>
      </c>
      <c r="BP48" s="21">
        <f>EXP(-LN(2)/35)*BP47+(1-EXP(-LN(2)/35))/(LN(2)/35)*BL48*BM48*VLOOKUP('Données projet'!$B$11,Paramètres!$A$1:$I$89,3,0)*0.475*44/12</f>
        <v>65.075256977174902</v>
      </c>
      <c r="BQ48" s="21">
        <f>EXP(-LN(2)/25)*BQ47+(1-EXP(-LN(2)/25))/(LN(2)/25)*Calculateur!BL48*Calculateur!BN48*VLOOKUP('Données projet'!$B$11,Paramètres!$A$1:$I$89,3,0)*0.475*44/12</f>
        <v>21.838537414433894</v>
      </c>
      <c r="BR48" s="21">
        <f>EXP(-LN(2)/2)*BR47+(1-EXP(-LN(2)/2))/(LN(2)/2)*BL48*BO48*VLOOKUP('Données projet'!$B$11,Paramètres!$A$1:$I$89,3,0)*0.475*44/12</f>
        <v>6.7970889191248478</v>
      </c>
      <c r="BS48" s="22">
        <f t="shared" si="9"/>
        <v>93.710883310733649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10.101538461538462</v>
      </c>
      <c r="BY48" s="12">
        <f>IF('Données projet'!$A$114&gt;35,BY47+BX48-CG47,IF(A48&lt;'Données projet'!$A$114,$BV$205^A48,IF(A48='Données projet'!$A$114,'Données projet'!$B$114,BY47+BX48-CG47)))</f>
        <v>191.1</v>
      </c>
      <c r="BZ48" s="13">
        <f>BY48*VLOOKUP('Données projet'!$B$12,Paramètres!$A$1:$I$89,3,0)*VLOOKUP('Données projet'!$B$12,Paramètres!$A$1:$I$89,5,0)</f>
        <v>114.27780000000001</v>
      </c>
      <c r="CA48" s="13">
        <f t="shared" si="39"/>
        <v>30.336618780948807</v>
      </c>
      <c r="CB48" s="20">
        <f t="shared" si="10"/>
        <v>251.87011271015254</v>
      </c>
      <c r="CC48" s="59">
        <f t="shared" si="11"/>
        <v>545.20344604348588</v>
      </c>
      <c r="CD48" s="59">
        <f ca="1">AVERAGE(OFFSET($CC$3,0,0,'Données projet'!$E$12+1,1))-AVERAGE(OFFSET($H$3,0,0,'Données projet'!$E$12+1,1))</f>
        <v>215.89467197072673</v>
      </c>
      <c r="CE48" s="59">
        <f t="shared" si="40"/>
        <v>188.21397398859534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18.947216438560268</v>
      </c>
      <c r="CL48" s="21">
        <f>EXP(-LN(2)/25)*CL47+(1-EXP(-LN(2)/25))/(LN(2)/25)*Calculateur!CG48*Calculateur!CI48*VLOOKUP('Données projet'!$B$12,Paramètres!$A$1:$I$89,3,0)*0.475*44/12</f>
        <v>10.124140530949326</v>
      </c>
      <c r="CM48" s="21">
        <f>EXP(-LN(2)/2)*CM47+(1-EXP(-LN(2)/2))/(LN(2)/2)*CG48*CJ48*VLOOKUP('Données projet'!$B$12,Paramètres!$A$1:$I$89,3,0)*0.475*44/12</f>
        <v>0.81938306352244883</v>
      </c>
      <c r="CN48" s="22">
        <f t="shared" si="12"/>
        <v>29.890740033032042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3.5192307692307692</v>
      </c>
      <c r="CT48" s="12">
        <f>IF('Données projet'!$A$140&gt;35,CT47+CS48-DB47,IF(A48&lt;'Données projet'!$A$140,$CQ$205^A48,IF(A48='Données projet'!$A$140,'Données projet'!$B$140,CT47+CS48-DB47)))</f>
        <v>109.53205128205133</v>
      </c>
      <c r="CU48" s="17">
        <f>CT48*VLOOKUP('Données projet'!$B$13,Paramètres!$A$1:$I$89,3,0)*VLOOKUP('Données projet'!$B$13,Paramètres!$A$1:$I$89,5,0)</f>
        <v>111.06550000000006</v>
      </c>
      <c r="CV48" s="13">
        <f t="shared" si="41"/>
        <v>29.581883667740126</v>
      </c>
      <c r="CW48" s="20">
        <f t="shared" si="13"/>
        <v>244.96085988798083</v>
      </c>
      <c r="CX48" s="59">
        <f t="shared" si="14"/>
        <v>538.29419322131412</v>
      </c>
      <c r="CY48" s="59">
        <f ca="1">AVERAGE(OFFSET($CX$3,0,0,'Données projet'!$E$13+1,1))-AVERAGE(OFFSET($H$3,0,0,'Données projet'!$E$13+1,1))</f>
        <v>342.82846711287749</v>
      </c>
      <c r="CZ48" s="59">
        <f t="shared" si="42"/>
        <v>152.87724741106297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164</v>
      </c>
      <c r="DM48" s="12">
        <f>VLOOKUP(A48,'Données projet'!$A$165:$I$185,9,0)</f>
        <v>6.4</v>
      </c>
      <c r="DN48" s="12">
        <f t="array" ref="DN48">INDEX(DM:DM,MIN(IF(ISNUMBER(DM48:DM244),ROW(DM48:DM244),"")))</f>
        <v>6.4</v>
      </c>
      <c r="DO48" s="12">
        <f>IF('Données projet'!$A$166&gt;35,DO47+DN48-DW47,IF(A48&lt;'Données projet'!$A$166,$DL$205^A48,IF(A48='Données projet'!$A$166,'Données projet'!$B$166,DO47+DN48-DW47)))</f>
        <v>163.99999999999997</v>
      </c>
      <c r="DP48" s="17">
        <f>DO48*VLOOKUP('Données projet'!$B$14,Paramètres!$A$1:$I$89,3,0)*VLOOKUP('Données projet'!$B$14,Paramètres!$A$1:$I$89,5,0)</f>
        <v>120.24479999999998</v>
      </c>
      <c r="DQ48" s="13">
        <f t="shared" si="43"/>
        <v>31.732088100347291</v>
      </c>
      <c r="DR48" s="20">
        <f t="shared" si="16"/>
        <v>264.69308010810488</v>
      </c>
      <c r="DS48" s="59">
        <f t="shared" si="17"/>
        <v>558.02641344143819</v>
      </c>
      <c r="DT48" s="59">
        <f ca="1">AVERAGE(OFFSET($DS$3,0,0,'Données projet'!$E$14+1,1))-AVERAGE(OFFSET($H$3,0,0,'Données projet'!$E$14+1,1))</f>
        <v>208.48147873805715</v>
      </c>
      <c r="DU48" s="59">
        <f t="shared" si="44"/>
        <v>209.50570914630686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18</v>
      </c>
      <c r="DX48" s="16">
        <f>IF(ISNA(VLOOKUP(A48,'Données projet'!$A$165:$I$185,5,0)),0%,VLOOKUP(A48,'Données projet'!$A$165:$I$185,5,0)*VLOOKUP('Données projet'!$B$14,Paramètres!$A$1:$I$89,7,0))</f>
        <v>7.3099999999999998E-2</v>
      </c>
      <c r="DY48" s="16">
        <f>IF(ISNA(VLOOKUP(A48,'Données projet'!$A$165:$I$185,6,0)),0%,VLOOKUP(A48,'Données projet'!$A$165:$I$185,6,0)*VLOOKUP('Données projet'!$B$14,Paramètres!$A$1:$I$89,7,0))</f>
        <v>0.16770000000000002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1.3979503607079258</v>
      </c>
      <c r="EB48" s="21">
        <f>EXP(-LN(2)/25)*EB47+(1-EXP(-LN(2)/25))/(LN(2)/25)*Calculateur!DW48*Calculateur!DY48*VLOOKUP('Données projet'!$B$14,Paramètres!$A$1:$I$89,3,0)*0.475*44/12</f>
        <v>5.8216364161833321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7.2195867768912576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11.642307692307696</v>
      </c>
      <c r="EJ48" s="12">
        <f>IF('Données projet'!$A$192&gt;35,EJ47+EI48-ER47,IF(A48&lt;'Données projet'!$A$192,$EG$205^A48,IF(A48='Données projet'!$A$192,'Données projet'!$B$192,EJ47+EI48-ER47)))</f>
        <v>250.31923076923078</v>
      </c>
      <c r="EK48" s="17">
        <f>EJ48*VLOOKUP('Données projet'!$B$15,Paramètres!$A$1:$I$89,3,0)*VLOOKUP('Données projet'!$B$15,Paramètres!$A$1:$I$89,5,0)</f>
        <v>149.69090000000003</v>
      </c>
      <c r="EL48" s="13">
        <f t="shared" si="45"/>
        <v>38.50833310579393</v>
      </c>
      <c r="EM48" s="20">
        <f t="shared" si="19"/>
        <v>327.78033099259113</v>
      </c>
      <c r="EN48" s="59">
        <f t="shared" si="20"/>
        <v>621.11366432592445</v>
      </c>
      <c r="EO48" s="59">
        <f ca="1">AVERAGE(OFFSET($EN$3,0,0,'Données projet'!$E$15+1,1))-AVERAGE(OFFSET($H$3,0,0,'Données projet'!$E$15+1,1))</f>
        <v>247.31680974612766</v>
      </c>
      <c r="EP48" s="59">
        <f t="shared" si="46"/>
        <v>257.13949761071882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37.968904443218349</v>
      </c>
      <c r="EW48" s="21">
        <f>EXP(-LN(2)/25)*EW47+(1-EXP(-LN(2)/25))/(LN(2)/25)*Calculateur!ER48*Calculateur!ET48*VLOOKUP('Données projet'!$B$15,Paramètres!$A$1:$I$89,3,0)*0.475*44/12</f>
        <v>18.286883553456466</v>
      </c>
      <c r="EX48" s="21">
        <f>EXP(-LN(2)/2)*EX47+(1-EXP(-LN(2)/2))/(LN(2)/2)*ER48*EU48*VLOOKUP('Données projet'!$B$15,Paramètres!$A$1:$I$89,3,0)*0.475*44/12</f>
        <v>4.354990007349488</v>
      </c>
      <c r="EY48" s="22">
        <f t="shared" si="21"/>
        <v>60.610778004024297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8.1806399999999933</v>
      </c>
      <c r="D49" s="11">
        <f t="shared" si="32"/>
        <v>2.9518270395906581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17.186966657613642</v>
      </c>
      <c r="H49" s="67">
        <f t="shared" si="1"/>
        <v>276.05571342728706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10.407692307692306</v>
      </c>
      <c r="N49" s="13">
        <f>IF('Données projet'!$A$36&gt;35,N48+M49-V48,IF(A49&lt;'Données projet'!$A$36,$K$205^A49,IF(A49='Données projet'!$A$36,'Données projet'!$B$36,N48+M49-V48)))</f>
        <v>269.8</v>
      </c>
      <c r="O49" s="13">
        <f>N49*VLOOKUP('Données projet'!$B$9,Paramètres!$A$1:$I$89,3,0)*VLOOKUP('Données projet'!$B$9,Paramètres!$A$1:$I$89,5,0)</f>
        <v>126.2664</v>
      </c>
      <c r="P49" s="13">
        <f t="shared" si="33"/>
        <v>33.132176294071812</v>
      </c>
      <c r="Q49" s="20">
        <f t="shared" si="53"/>
        <v>277.6191870455084</v>
      </c>
      <c r="R49" s="59">
        <f t="shared" si="0"/>
        <v>570.95252037884165</v>
      </c>
      <c r="S49" s="59">
        <f ca="1">AVERAGE(OFFSET($R$3,0,0,'Données projet'!$E$9+1,1))-AVERAGE(OFFSET($H$3,0,0,'Données projet'!$E$9+1,1))</f>
        <v>223.99456146593315</v>
      </c>
      <c r="T49" s="59">
        <f t="shared" si="34"/>
        <v>132.73290587325937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6.6</v>
      </c>
      <c r="AI49" s="13">
        <f>IF('Données projet'!$A$62&gt;35,AI48+AH49-AQ48,IF(A49&lt;'Données projet'!$A$62,$AF$205^A49,IF(A49='Données projet'!$A$62,'Données projet'!$B$62,AI48+AH49-AQ48)))</f>
        <v>188.60000000000008</v>
      </c>
      <c r="AJ49" s="13">
        <f>AI49*VLOOKUP('Données projet'!$B$10,Paramètres!$A$1:$I$89,3,0)*VLOOKUP('Données projet'!$B$10,Paramètres!$A$1:$I$89,5,0)</f>
        <v>123.57072000000005</v>
      </c>
      <c r="AK49" s="13">
        <f t="shared" si="35"/>
        <v>32.506384557027701</v>
      </c>
      <c r="AL49" s="20">
        <f t="shared" si="4"/>
        <v>271.83429043682332</v>
      </c>
      <c r="AM49" s="59">
        <f t="shared" si="5"/>
        <v>565.16762377015664</v>
      </c>
      <c r="AN49" s="59">
        <f ca="1">AVERAGE(OFFSET($AM$3,0,0,'Données projet'!$E$10+1,1))-AVERAGE(OFFSET($H$3,0,0,'Données projet'!$E$10+1,1))</f>
        <v>244.43587473734613</v>
      </c>
      <c r="AO49" s="59">
        <f t="shared" si="36"/>
        <v>256.80261402149375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4.5281101896946945</v>
      </c>
      <c r="AW49" s="21">
        <f>EXP(-LN(2)/2)*AW48+(1-EXP(-LN(2)/2))/(LN(2)/2)*AQ49*AT49*VLOOKUP('Données projet'!$B$10,Paramètres!$A$1:$I$89,3,0)*0.475*44/12</f>
        <v>3.9801036546317383</v>
      </c>
      <c r="AX49" s="21">
        <f t="shared" si="6"/>
        <v>8.5082138443264324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17.8</v>
      </c>
      <c r="BD49" s="12">
        <f>IF('Données projet'!$A$88&gt;35,BD48+BC49-BL48,IF(A49&lt;'Données projet'!$A$88,$BA$205^A49,IF(A49='Données projet'!$A$88,'Données projet'!$B$88,BD48+BC49-BL48)))</f>
        <v>557.79999999999995</v>
      </c>
      <c r="BE49" s="13">
        <f>BD49*VLOOKUP('Données projet'!$B$11,Paramètres!$A$1:$I$89,3,0)*VLOOKUP('Données projet'!$B$11,Paramètres!$A$1:$I$89,5,0)</f>
        <v>311.81020000000001</v>
      </c>
      <c r="BF49" s="13">
        <f t="shared" si="37"/>
        <v>73.646743780370684</v>
      </c>
      <c r="BG49" s="20">
        <f t="shared" si="7"/>
        <v>671.33751041747894</v>
      </c>
      <c r="BH49" s="59">
        <f t="shared" si="8"/>
        <v>964.67084375081231</v>
      </c>
      <c r="BI49" s="59">
        <f ca="1">AVERAGE(OFFSET($BH$3,0,0,'Données projet'!$E$11+1,1))-AVERAGE(OFFSET($H$3,0,0,'Données projet'!$E$11+1,1))</f>
        <v>430.60186171079067</v>
      </c>
      <c r="BJ49" s="59">
        <f t="shared" si="38"/>
        <v>533.76627289533985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63.799170879839998</v>
      </c>
      <c r="BQ49" s="21">
        <f>EXP(-LN(2)/25)*BQ48+(1-EXP(-LN(2)/25))/(LN(2)/25)*Calculateur!BL49*Calculateur!BN49*VLOOKUP('Données projet'!$B$11,Paramètres!$A$1:$I$89,3,0)*0.475*44/12</f>
        <v>21.241361460397428</v>
      </c>
      <c r="BR49" s="21">
        <f>EXP(-LN(2)/2)*BR48+(1-EXP(-LN(2)/2))/(LN(2)/2)*BL49*BO49*VLOOKUP('Données projet'!$B$11,Paramètres!$A$1:$I$89,3,0)*0.475*44/12</f>
        <v>4.8062676670411211</v>
      </c>
      <c r="BS49" s="22">
        <f t="shared" si="9"/>
        <v>89.84680000727856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10.101538461538462</v>
      </c>
      <c r="BY49" s="12">
        <f>IF('Données projet'!$A$114&gt;35,BY48+BX49-CG48,IF(A49&lt;'Données projet'!$A$114,$BV$205^A49,IF(A49='Données projet'!$A$114,'Données projet'!$B$114,BY48+BX49-CG48)))</f>
        <v>201.20153846153846</v>
      </c>
      <c r="BZ49" s="13">
        <f>BY49*VLOOKUP('Données projet'!$B$12,Paramètres!$A$1:$I$89,3,0)*VLOOKUP('Données projet'!$B$12,Paramètres!$A$1:$I$89,5,0)</f>
        <v>120.31852000000001</v>
      </c>
      <c r="CA49" s="13">
        <f t="shared" si="39"/>
        <v>31.749277388336409</v>
      </c>
      <c r="CB49" s="20">
        <f t="shared" si="10"/>
        <v>264.85141378468597</v>
      </c>
      <c r="CC49" s="59">
        <f t="shared" si="11"/>
        <v>558.18474711801923</v>
      </c>
      <c r="CD49" s="59">
        <f ca="1">AVERAGE(OFFSET($CC$3,0,0,'Données projet'!$E$12+1,1))-AVERAGE(OFFSET($H$3,0,0,'Données projet'!$E$12+1,1))</f>
        <v>215.89467197072673</v>
      </c>
      <c r="CE49" s="59">
        <f t="shared" si="40"/>
        <v>188.21397398859534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18.575673080861005</v>
      </c>
      <c r="CL49" s="21">
        <f>EXP(-LN(2)/25)*CL48+(1-EXP(-LN(2)/25))/(LN(2)/25)*Calculateur!CG49*Calculateur!CI49*VLOOKUP('Données projet'!$B$12,Paramètres!$A$1:$I$89,3,0)*0.475*44/12</f>
        <v>9.8472953757251052</v>
      </c>
      <c r="CM49" s="21">
        <f>EXP(-LN(2)/2)*CM48+(1-EXP(-LN(2)/2))/(LN(2)/2)*CG49*CJ49*VLOOKUP('Données projet'!$B$12,Paramètres!$A$1:$I$89,3,0)*0.475*44/12</f>
        <v>0.57939132060613119</v>
      </c>
      <c r="CN49" s="22">
        <f t="shared" si="12"/>
        <v>29.002359777192243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3.5192307692307692</v>
      </c>
      <c r="CT49" s="12">
        <f>IF('Données projet'!$A$140&gt;35,CT48+CS49-DB48,IF(A49&lt;'Données projet'!$A$140,$CQ$205^A49,IF(A49='Données projet'!$A$140,'Données projet'!$B$140,CT48+CS49-DB48)))</f>
        <v>113.0512820512821</v>
      </c>
      <c r="CU49" s="17">
        <f>CT49*VLOOKUP('Données projet'!$B$13,Paramètres!$A$1:$I$89,3,0)*VLOOKUP('Données projet'!$B$13,Paramètres!$A$1:$I$89,5,0)</f>
        <v>114.63400000000004</v>
      </c>
      <c r="CV49" s="13">
        <f t="shared" si="41"/>
        <v>30.420155271325136</v>
      </c>
      <c r="CW49" s="20">
        <f t="shared" si="13"/>
        <v>252.635987097558</v>
      </c>
      <c r="CX49" s="59">
        <f t="shared" si="14"/>
        <v>545.96932043089134</v>
      </c>
      <c r="CY49" s="59">
        <f ca="1">AVERAGE(OFFSET($CX$3,0,0,'Données projet'!$E$13+1,1))-AVERAGE(OFFSET($H$3,0,0,'Données projet'!$E$13+1,1))</f>
        <v>342.82846711287749</v>
      </c>
      <c r="CZ49" s="59">
        <f t="shared" si="42"/>
        <v>152.87724741106297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5.6</v>
      </c>
      <c r="DO49" s="12">
        <f>IF('Données projet'!$A$166&gt;35,DO48+DN49-DW48,IF(A49&lt;'Données projet'!$A$166,$DL$205^A49,IF(A49='Données projet'!$A$166,'Données projet'!$B$166,DO48+DN49-DW48)))</f>
        <v>151.59999999999997</v>
      </c>
      <c r="DP49" s="17">
        <f>DO49*VLOOKUP('Données projet'!$B$14,Paramètres!$A$1:$I$89,3,0)*VLOOKUP('Données projet'!$B$14,Paramètres!$A$1:$I$89,5,0)</f>
        <v>111.15311999999997</v>
      </c>
      <c r="DQ49" s="13">
        <f t="shared" si="43"/>
        <v>29.602503525728935</v>
      </c>
      <c r="DR49" s="20">
        <f t="shared" si="16"/>
        <v>245.1493776406445</v>
      </c>
      <c r="DS49" s="59">
        <f t="shared" si="17"/>
        <v>538.48271097397787</v>
      </c>
      <c r="DT49" s="59">
        <f ca="1">AVERAGE(OFFSET($DS$3,0,0,'Données projet'!$E$14+1,1))-AVERAGE(OFFSET($H$3,0,0,'Données projet'!$E$14+1,1))</f>
        <v>208.48147873805715</v>
      </c>
      <c r="DU49" s="59">
        <f t="shared" si="44"/>
        <v>209.50570914630686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1.3705374067999696</v>
      </c>
      <c r="EB49" s="21">
        <f>EXP(-LN(2)/25)*EB48+(1-EXP(-LN(2)/25))/(LN(2)/25)*Calculateur!DW49*Calculateur!DY49*VLOOKUP('Données projet'!$B$14,Paramètres!$A$1:$I$89,3,0)*0.475*44/12</f>
        <v>5.6624434622362454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7.0329808690362148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11.642307692307696</v>
      </c>
      <c r="EJ49" s="12">
        <f>IF('Données projet'!$A$192&gt;35,EJ48+EI49-ER48,IF(A49&lt;'Données projet'!$A$192,$EG$205^A49,IF(A49='Données projet'!$A$192,'Données projet'!$B$192,EJ48+EI49-ER48)))</f>
        <v>261.96153846153845</v>
      </c>
      <c r="EK49" s="17">
        <f>EJ49*VLOOKUP('Données projet'!$B$15,Paramètres!$A$1:$I$89,3,0)*VLOOKUP('Données projet'!$B$15,Paramètres!$A$1:$I$89,5,0)</f>
        <v>156.65300000000002</v>
      </c>
      <c r="EL49" s="13">
        <f t="shared" si="45"/>
        <v>40.0866638793565</v>
      </c>
      <c r="EM49" s="20">
        <f t="shared" si="19"/>
        <v>342.6549145898793</v>
      </c>
      <c r="EN49" s="59">
        <f t="shared" si="20"/>
        <v>635.98824792321261</v>
      </c>
      <c r="EO49" s="59">
        <f ca="1">AVERAGE(OFFSET($EN$3,0,0,'Données projet'!$E$15+1,1))-AVERAGE(OFFSET($H$3,0,0,'Données projet'!$E$15+1,1))</f>
        <v>247.31680974612766</v>
      </c>
      <c r="EP49" s="59">
        <f t="shared" si="46"/>
        <v>257.13949761071882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37.224357385831809</v>
      </c>
      <c r="EW49" s="21">
        <f>EXP(-LN(2)/25)*EW48+(1-EXP(-LN(2)/25))/(LN(2)/25)*Calculateur!ER49*Calculateur!ET49*VLOOKUP('Données projet'!$B$15,Paramètres!$A$1:$I$89,3,0)*0.475*44/12</f>
        <v>17.786827761021787</v>
      </c>
      <c r="EX49" s="21">
        <f>EXP(-LN(2)/2)*EX48+(1-EXP(-LN(2)/2))/(LN(2)/2)*ER49*EU49*VLOOKUP('Données projet'!$B$15,Paramètres!$A$1:$I$89,3,0)*0.475*44/12</f>
        <v>3.0794429661964755</v>
      </c>
      <c r="EY49" s="22">
        <f t="shared" si="21"/>
        <v>58.090628113050066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8.358479999999993</v>
      </c>
      <c r="D50" s="11">
        <f t="shared" si="32"/>
        <v>3.008456621810554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17.548954784549618</v>
      </c>
      <c r="H50" s="67">
        <f t="shared" si="1"/>
        <v>276.46408128298674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10.407692307692306</v>
      </c>
      <c r="N50" s="13">
        <f>IF('Données projet'!$A$36&gt;35,N49+M50-V49,IF(A50&lt;'Données projet'!$A$36,$K$205^A50,IF(A50='Données projet'!$A$36,'Données projet'!$B$36,N49+M50-V49)))</f>
        <v>280.2076923076923</v>
      </c>
      <c r="O50" s="13">
        <f>N50*VLOOKUP('Données projet'!$B$9,Paramètres!$A$1:$I$89,3,0)*VLOOKUP('Données projet'!$B$9,Paramètres!$A$1:$I$89,5,0)</f>
        <v>131.13719999999998</v>
      </c>
      <c r="P50" s="13">
        <f t="shared" si="33"/>
        <v>34.258999514705152</v>
      </c>
      <c r="Q50" s="20">
        <f t="shared" si="53"/>
        <v>288.06504748811147</v>
      </c>
      <c r="R50" s="59">
        <f t="shared" si="0"/>
        <v>581.39838082144479</v>
      </c>
      <c r="S50" s="59">
        <f ca="1">AVERAGE(OFFSET($R$3,0,0,'Données projet'!$E$9+1,1))-AVERAGE(OFFSET($H$3,0,0,'Données projet'!$E$9+1,1))</f>
        <v>223.99456146593315</v>
      </c>
      <c r="T50" s="59">
        <f t="shared" si="34"/>
        <v>132.73290587325937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6.6</v>
      </c>
      <c r="AI50" s="13">
        <f>IF('Données projet'!$A$62&gt;35,AI49+AH50-AQ49,IF(A50&lt;'Données projet'!$A$62,$AF$205^A50,IF(A50='Données projet'!$A$62,'Données projet'!$B$62,AI49+AH50-AQ49)))</f>
        <v>195.20000000000007</v>
      </c>
      <c r="AJ50" s="13">
        <f>AI50*VLOOKUP('Données projet'!$B$10,Paramètres!$A$1:$I$89,3,0)*VLOOKUP('Données projet'!$B$10,Paramètres!$A$1:$I$89,5,0)</f>
        <v>127.89504000000004</v>
      </c>
      <c r="AK50" s="13">
        <f t="shared" si="35"/>
        <v>33.509503727991913</v>
      </c>
      <c r="AL50" s="20">
        <f t="shared" si="4"/>
        <v>281.11291365958601</v>
      </c>
      <c r="AM50" s="59">
        <f t="shared" si="5"/>
        <v>574.44624699291933</v>
      </c>
      <c r="AN50" s="59">
        <f ca="1">AVERAGE(OFFSET($AM$3,0,0,'Données projet'!$E$10+1,1))-AVERAGE(OFFSET($H$3,0,0,'Données projet'!$E$10+1,1))</f>
        <v>244.43587473734613</v>
      </c>
      <c r="AO50" s="59">
        <f t="shared" si="36"/>
        <v>256.80261402149375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4.4042887784345277</v>
      </c>
      <c r="AW50" s="21">
        <f>EXP(-LN(2)/2)*AW49+(1-EXP(-LN(2)/2))/(LN(2)/2)*AQ50*AT50*VLOOKUP('Données projet'!$B$10,Paramètres!$A$1:$I$89,3,0)*0.475*44/12</f>
        <v>2.8143582840154631</v>
      </c>
      <c r="AX50" s="21">
        <f t="shared" si="6"/>
        <v>7.2186470624499908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17.8</v>
      </c>
      <c r="BD50" s="12">
        <f>IF('Données projet'!$A$88&gt;35,BD49+BC50-BL49,IF(A50&lt;'Données projet'!$A$88,$BA$205^A50,IF(A50='Données projet'!$A$88,'Données projet'!$B$88,BD49+BC50-BL49)))</f>
        <v>575.59999999999991</v>
      </c>
      <c r="BE50" s="13">
        <f>BD50*VLOOKUP('Données projet'!$B$11,Paramètres!$A$1:$I$89,3,0)*VLOOKUP('Données projet'!$B$11,Paramètres!$A$1:$I$89,5,0)</f>
        <v>321.76039999999995</v>
      </c>
      <c r="BF50" s="13">
        <f t="shared" si="37"/>
        <v>75.719522083505169</v>
      </c>
      <c r="BG50" s="20">
        <f t="shared" si="7"/>
        <v>692.27753096210472</v>
      </c>
      <c r="BH50" s="59">
        <f t="shared" si="8"/>
        <v>985.61086429543798</v>
      </c>
      <c r="BI50" s="59">
        <f ca="1">AVERAGE(OFFSET($BH$3,0,0,'Données projet'!$E$11+1,1))-AVERAGE(OFFSET($H$3,0,0,'Données projet'!$E$11+1,1))</f>
        <v>430.60186171079067</v>
      </c>
      <c r="BJ50" s="59">
        <f t="shared" si="38"/>
        <v>533.76627289533985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62.548108052538169</v>
      </c>
      <c r="BQ50" s="21">
        <f>EXP(-LN(2)/25)*BQ49+(1-EXP(-LN(2)/25))/(LN(2)/25)*Calculateur!BL50*Calculateur!BN50*VLOOKUP('Données projet'!$B$11,Paramètres!$A$1:$I$89,3,0)*0.475*44/12</f>
        <v>20.66051531422821</v>
      </c>
      <c r="BR50" s="21">
        <f>EXP(-LN(2)/2)*BR49+(1-EXP(-LN(2)/2))/(LN(2)/2)*BL50*BO50*VLOOKUP('Données projet'!$B$11,Paramètres!$A$1:$I$89,3,0)*0.475*44/12</f>
        <v>3.3985444595624243</v>
      </c>
      <c r="BS50" s="22">
        <f t="shared" si="9"/>
        <v>86.607167826328805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10.101538461538462</v>
      </c>
      <c r="BY50" s="12">
        <f>IF('Données projet'!$A$114&gt;35,BY49+BX50-CG49,IF(A50&lt;'Données projet'!$A$114,$BV$205^A50,IF(A50='Données projet'!$A$114,'Données projet'!$B$114,BY49+BX50-CG49)))</f>
        <v>211.30307692307693</v>
      </c>
      <c r="BZ50" s="13">
        <f>BY50*VLOOKUP('Données projet'!$B$12,Paramètres!$A$1:$I$89,3,0)*VLOOKUP('Données projet'!$B$12,Paramètres!$A$1:$I$89,5,0)</f>
        <v>126.35924000000001</v>
      </c>
      <c r="CA50" s="13">
        <f t="shared" si="39"/>
        <v>33.153700861093419</v>
      </c>
      <c r="CB50" s="20">
        <f t="shared" si="10"/>
        <v>277.81837199973774</v>
      </c>
      <c r="CC50" s="59">
        <f t="shared" si="11"/>
        <v>571.15170533307105</v>
      </c>
      <c r="CD50" s="59">
        <f ca="1">AVERAGE(OFFSET($CC$3,0,0,'Données projet'!$E$12+1,1))-AVERAGE(OFFSET($H$3,0,0,'Données projet'!$E$12+1,1))</f>
        <v>215.89467197072673</v>
      </c>
      <c r="CE50" s="59">
        <f t="shared" si="40"/>
        <v>188.21397398859534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18.211415461787151</v>
      </c>
      <c r="CL50" s="21">
        <f>EXP(-LN(2)/25)*CL49+(1-EXP(-LN(2)/25))/(LN(2)/25)*Calculateur!CG50*Calculateur!CI50*VLOOKUP('Données projet'!$B$12,Paramètres!$A$1:$I$89,3,0)*0.475*44/12</f>
        <v>9.578020565829144</v>
      </c>
      <c r="CM50" s="21">
        <f>EXP(-LN(2)/2)*CM49+(1-EXP(-LN(2)/2))/(LN(2)/2)*CG50*CJ50*VLOOKUP('Données projet'!$B$12,Paramètres!$A$1:$I$89,3,0)*0.475*44/12</f>
        <v>0.40969153176122441</v>
      </c>
      <c r="CN50" s="22">
        <f t="shared" si="12"/>
        <v>28.199127559377523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3.5192307692307692</v>
      </c>
      <c r="CT50" s="12">
        <f>IF('Données projet'!$A$140&gt;35,CT49+CS50-DB49,IF(A50&lt;'Données projet'!$A$140,$CQ$205^A50,IF(A50='Données projet'!$A$140,'Données projet'!$B$140,CT49+CS50-DB49)))</f>
        <v>116.57051282051287</v>
      </c>
      <c r="CU50" s="17">
        <f>CT50*VLOOKUP('Données projet'!$B$13,Paramètres!$A$1:$I$89,3,0)*VLOOKUP('Données projet'!$B$13,Paramètres!$A$1:$I$89,5,0)</f>
        <v>118.20250000000006</v>
      </c>
      <c r="CV50" s="13">
        <f t="shared" si="41"/>
        <v>31.255394397929333</v>
      </c>
      <c r="CW50" s="20">
        <f t="shared" si="13"/>
        <v>260.30583274306031</v>
      </c>
      <c r="CX50" s="59">
        <f t="shared" si="14"/>
        <v>553.63916607639362</v>
      </c>
      <c r="CY50" s="59">
        <f ca="1">AVERAGE(OFFSET($CX$3,0,0,'Données projet'!$E$13+1,1))-AVERAGE(OFFSET($H$3,0,0,'Données projet'!$E$13+1,1))</f>
        <v>342.82846711287749</v>
      </c>
      <c r="CZ50" s="59">
        <f t="shared" si="42"/>
        <v>152.87724741106297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5.6</v>
      </c>
      <c r="DO50" s="12">
        <f>IF('Données projet'!$A$166&gt;35,DO49+DN50-DW49,IF(A50&lt;'Données projet'!$A$166,$DL$205^A50,IF(A50='Données projet'!$A$166,'Données projet'!$B$166,DO49+DN50-DW49)))</f>
        <v>157.19999999999996</v>
      </c>
      <c r="DP50" s="17">
        <f>DO50*VLOOKUP('Données projet'!$B$14,Paramètres!$A$1:$I$89,3,0)*VLOOKUP('Données projet'!$B$14,Paramètres!$A$1:$I$89,5,0)</f>
        <v>115.25903999999996</v>
      </c>
      <c r="DQ50" s="13">
        <f t="shared" si="43"/>
        <v>30.566667521552457</v>
      </c>
      <c r="DR50" s="20">
        <f t="shared" si="16"/>
        <v>253.97977393337041</v>
      </c>
      <c r="DS50" s="59">
        <f t="shared" si="17"/>
        <v>547.3131072667037</v>
      </c>
      <c r="DT50" s="59">
        <f ca="1">AVERAGE(OFFSET($DS$3,0,0,'Données projet'!$E$14+1,1))-AVERAGE(OFFSET($H$3,0,0,'Données projet'!$E$14+1,1))</f>
        <v>208.48147873805715</v>
      </c>
      <c r="DU50" s="59">
        <f t="shared" si="44"/>
        <v>209.50570914630686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1.3436620041978977</v>
      </c>
      <c r="EB50" s="21">
        <f>EXP(-LN(2)/25)*EB49+(1-EXP(-LN(2)/25))/(LN(2)/25)*Calculateur!DW50*Calculateur!DY50*VLOOKUP('Données projet'!$B$14,Paramètres!$A$1:$I$89,3,0)*0.475*44/12</f>
        <v>5.5076036479864356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6.8512656521843329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11.642307692307696</v>
      </c>
      <c r="EJ50" s="12">
        <f>IF('Données projet'!$A$192&gt;35,EJ49+EI50-ER49,IF(A50&lt;'Données projet'!$A$192,$EG$205^A50,IF(A50='Données projet'!$A$192,'Données projet'!$B$192,EJ49+EI50-ER49)))</f>
        <v>273.60384615384612</v>
      </c>
      <c r="EK50" s="17">
        <f>EJ50*VLOOKUP('Données projet'!$B$15,Paramètres!$A$1:$I$89,3,0)*VLOOKUP('Données projet'!$B$15,Paramètres!$A$1:$I$89,5,0)</f>
        <v>163.61509999999998</v>
      </c>
      <c r="EL50" s="13">
        <f t="shared" si="45"/>
        <v>41.656847972292042</v>
      </c>
      <c r="EM50" s="20">
        <f t="shared" si="19"/>
        <v>357.51530938507523</v>
      </c>
      <c r="EN50" s="59">
        <f t="shared" si="20"/>
        <v>650.84864271840854</v>
      </c>
      <c r="EO50" s="59">
        <f ca="1">AVERAGE(OFFSET($EN$3,0,0,'Données projet'!$E$15+1,1))-AVERAGE(OFFSET($H$3,0,0,'Données projet'!$E$15+1,1))</f>
        <v>247.31680974612766</v>
      </c>
      <c r="EP50" s="59">
        <f t="shared" si="46"/>
        <v>257.13949761071882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36.494410442111757</v>
      </c>
      <c r="EW50" s="21">
        <f>EXP(-LN(2)/25)*EW49+(1-EXP(-LN(2)/25))/(LN(2)/25)*Calculateur!ER50*Calculateur!ET50*VLOOKUP('Données projet'!$B$15,Paramètres!$A$1:$I$89,3,0)*0.475*44/12</f>
        <v>17.300446020528025</v>
      </c>
      <c r="EX50" s="21">
        <f>EXP(-LN(2)/2)*EX49+(1-EXP(-LN(2)/2))/(LN(2)/2)*ER50*EU50*VLOOKUP('Données projet'!$B$15,Paramètres!$A$1:$I$89,3,0)*0.475*44/12</f>
        <v>2.177495003674744</v>
      </c>
      <c r="EY50" s="22">
        <f t="shared" si="21"/>
        <v>55.972351466314528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8.5363199999999928</v>
      </c>
      <c r="D51" s="11">
        <f t="shared" si="32"/>
        <v>3.0649461178024677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17.910726638010818</v>
      </c>
      <c r="H51" s="67">
        <f t="shared" si="1"/>
        <v>276.87220515517265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10.407692307692306</v>
      </c>
      <c r="N51" s="13">
        <f>IF('Données projet'!$A$36&gt;35,N50+M51-V50,IF(A51&lt;'Données projet'!$A$36,$K$205^A51,IF(A51='Données projet'!$A$36,'Données projet'!$B$36,N50+M51-V50)))</f>
        <v>290.61538461538458</v>
      </c>
      <c r="O51" s="13">
        <f>N51*VLOOKUP('Données projet'!$B$9,Paramètres!$A$1:$I$89,3,0)*VLOOKUP('Données projet'!$B$9,Paramètres!$A$1:$I$89,5,0)</f>
        <v>136.00799999999998</v>
      </c>
      <c r="P51" s="13">
        <f t="shared" si="33"/>
        <v>35.380960341100334</v>
      </c>
      <c r="Q51" s="20">
        <f t="shared" si="53"/>
        <v>298.50243926074967</v>
      </c>
      <c r="R51" s="59">
        <f t="shared" si="0"/>
        <v>591.83577259408298</v>
      </c>
      <c r="S51" s="59">
        <f ca="1">AVERAGE(OFFSET($R$3,0,0,'Données projet'!$E$9+1,1))-AVERAGE(OFFSET($H$3,0,0,'Données projet'!$E$9+1,1))</f>
        <v>223.99456146593315</v>
      </c>
      <c r="T51" s="59">
        <f t="shared" si="34"/>
        <v>132.73290587325937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6.6</v>
      </c>
      <c r="AI51" s="13">
        <f>IF('Données projet'!$A$62&gt;35,AI50+AH51-AQ50,IF(A51&lt;'Données projet'!$A$62,$AF$205^A51,IF(A51='Données projet'!$A$62,'Données projet'!$B$62,AI50+AH51-AQ50)))</f>
        <v>201.80000000000007</v>
      </c>
      <c r="AJ51" s="13">
        <f>AI51*VLOOKUP('Données projet'!$B$10,Paramètres!$A$1:$I$89,3,0)*VLOOKUP('Données projet'!$B$10,Paramètres!$A$1:$I$89,5,0)</f>
        <v>132.21936000000005</v>
      </c>
      <c r="AK51" s="13">
        <f t="shared" si="35"/>
        <v>34.508681932648301</v>
      </c>
      <c r="AL51" s="20">
        <f t="shared" si="4"/>
        <v>290.3846730326959</v>
      </c>
      <c r="AM51" s="59">
        <f t="shared" si="5"/>
        <v>583.71800636602916</v>
      </c>
      <c r="AN51" s="59">
        <f ca="1">AVERAGE(OFFSET($AM$3,0,0,'Données projet'!$E$10+1,1))-AVERAGE(OFFSET($H$3,0,0,'Données projet'!$E$10+1,1))</f>
        <v>244.43587473734613</v>
      </c>
      <c r="AO51" s="59">
        <f t="shared" si="36"/>
        <v>256.80261402149375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4.2838532701767544</v>
      </c>
      <c r="AW51" s="21">
        <f>EXP(-LN(2)/2)*AW50+(1-EXP(-LN(2)/2))/(LN(2)/2)*AQ51*AT51*VLOOKUP('Données projet'!$B$10,Paramètres!$A$1:$I$89,3,0)*0.475*44/12</f>
        <v>1.9900518273158696</v>
      </c>
      <c r="AX51" s="21">
        <f t="shared" si="6"/>
        <v>6.2739050974926238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17.8</v>
      </c>
      <c r="BD51" s="12">
        <f>IF('Données projet'!$A$88&gt;35,BD50+BC51-BL50,IF(A51&lt;'Données projet'!$A$88,$BA$205^A51,IF(A51='Données projet'!$A$88,'Données projet'!$B$88,BD50+BC51-BL50)))</f>
        <v>593.39999999999986</v>
      </c>
      <c r="BE51" s="13">
        <f>BD51*VLOOKUP('Données projet'!$B$11,Paramètres!$A$1:$I$89,3,0)*VLOOKUP('Données projet'!$B$11,Paramètres!$A$1:$I$89,5,0)</f>
        <v>331.71059999999994</v>
      </c>
      <c r="BF51" s="13">
        <f t="shared" si="37"/>
        <v>77.784851407016433</v>
      </c>
      <c r="BG51" s="20">
        <f t="shared" si="7"/>
        <v>713.20457786722011</v>
      </c>
      <c r="BH51" s="59">
        <f t="shared" si="8"/>
        <v>1006.5379112005535</v>
      </c>
      <c r="BI51" s="59">
        <f ca="1">AVERAGE(OFFSET($BH$3,0,0,'Données projet'!$E$11+1,1))-AVERAGE(OFFSET($H$3,0,0,'Données projet'!$E$11+1,1))</f>
        <v>430.60186171079067</v>
      </c>
      <c r="BJ51" s="59">
        <f t="shared" si="38"/>
        <v>533.76627289533985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61.321577804206747</v>
      </c>
      <c r="BQ51" s="21">
        <f>EXP(-LN(2)/25)*BQ50+(1-EXP(-LN(2)/25))/(LN(2)/25)*Calculateur!BL51*Calculateur!BN51*VLOOKUP('Données projet'!$B$11,Paramètres!$A$1:$I$89,3,0)*0.475*44/12</f>
        <v>20.095552436471358</v>
      </c>
      <c r="BR51" s="21">
        <f>EXP(-LN(2)/2)*BR50+(1-EXP(-LN(2)/2))/(LN(2)/2)*BL51*BO51*VLOOKUP('Données projet'!$B$11,Paramètres!$A$1:$I$89,3,0)*0.475*44/12</f>
        <v>2.403133833520561</v>
      </c>
      <c r="BS51" s="22">
        <f t="shared" si="9"/>
        <v>83.820264074198661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10.101538461538462</v>
      </c>
      <c r="BY51" s="12">
        <f>IF('Données projet'!$A$114&gt;35,BY50+BX51-CG50,IF(A51&lt;'Données projet'!$A$114,$BV$205^A51,IF(A51='Données projet'!$A$114,'Données projet'!$B$114,BY50+BX51-CG50)))</f>
        <v>221.4046153846154</v>
      </c>
      <c r="BZ51" s="13">
        <f>BY51*VLOOKUP('Données projet'!$B$12,Paramètres!$A$1:$I$89,3,0)*VLOOKUP('Données projet'!$B$12,Paramètres!$A$1:$I$89,5,0)</f>
        <v>132.39996000000002</v>
      </c>
      <c r="CA51" s="13">
        <f t="shared" si="39"/>
        <v>34.550327833957148</v>
      </c>
      <c r="CB51" s="20">
        <f t="shared" si="10"/>
        <v>290.77175131080872</v>
      </c>
      <c r="CC51" s="59">
        <f t="shared" si="11"/>
        <v>584.10508464414204</v>
      </c>
      <c r="CD51" s="59">
        <f ca="1">AVERAGE(OFFSET($CC$3,0,0,'Données projet'!$E$12+1,1))-AVERAGE(OFFSET($H$3,0,0,'Données projet'!$E$12+1,1))</f>
        <v>215.89467197072673</v>
      </c>
      <c r="CE51" s="59">
        <f t="shared" si="40"/>
        <v>188.21397398859534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17.854300712448126</v>
      </c>
      <c r="CL51" s="21">
        <f>EXP(-LN(2)/25)*CL50+(1-EXP(-LN(2)/25))/(LN(2)/25)*Calculateur!CG51*Calculateur!CI51*VLOOKUP('Données projet'!$B$12,Paramètres!$A$1:$I$89,3,0)*0.475*44/12</f>
        <v>9.316109089770336</v>
      </c>
      <c r="CM51" s="21">
        <f>EXP(-LN(2)/2)*CM50+(1-EXP(-LN(2)/2))/(LN(2)/2)*CG51*CJ51*VLOOKUP('Données projet'!$B$12,Paramètres!$A$1:$I$89,3,0)*0.475*44/12</f>
        <v>0.28969566030306559</v>
      </c>
      <c r="CN51" s="22">
        <f t="shared" si="12"/>
        <v>27.460105462521526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3.5192307692307692</v>
      </c>
      <c r="CT51" s="12">
        <f>IF('Données projet'!$A$140&gt;35,CT50+CS51-DB50,IF(A51&lt;'Données projet'!$A$140,$CQ$205^A51,IF(A51='Données projet'!$A$140,'Données projet'!$B$140,CT50+CS51-DB50)))</f>
        <v>120.08974358974365</v>
      </c>
      <c r="CU51" s="17">
        <f>CT51*VLOOKUP('Données projet'!$B$13,Paramètres!$A$1:$I$89,3,0)*VLOOKUP('Données projet'!$B$13,Paramètres!$A$1:$I$89,5,0)</f>
        <v>121.77100000000007</v>
      </c>
      <c r="CV51" s="13">
        <f t="shared" si="41"/>
        <v>32.087703105620797</v>
      </c>
      <c r="CW51" s="20">
        <f t="shared" si="13"/>
        <v>267.970574575623</v>
      </c>
      <c r="CX51" s="59">
        <f t="shared" si="14"/>
        <v>561.30390790895626</v>
      </c>
      <c r="CY51" s="59">
        <f ca="1">AVERAGE(OFFSET($CX$3,0,0,'Données projet'!$E$13+1,1))-AVERAGE(OFFSET($H$3,0,0,'Données projet'!$E$13+1,1))</f>
        <v>342.82846711287749</v>
      </c>
      <c r="CZ51" s="59">
        <f t="shared" si="42"/>
        <v>152.87724741106297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5.6</v>
      </c>
      <c r="DO51" s="12">
        <f>IF('Données projet'!$A$166&gt;35,DO50+DN51-DW50,IF(A51&lt;'Données projet'!$A$166,$DL$205^A51,IF(A51='Données projet'!$A$166,'Données projet'!$B$166,DO50+DN51-DW50)))</f>
        <v>162.79999999999995</v>
      </c>
      <c r="DP51" s="17">
        <f>DO51*VLOOKUP('Données projet'!$B$14,Paramètres!$A$1:$I$89,3,0)*VLOOKUP('Données projet'!$B$14,Paramètres!$A$1:$I$89,5,0)</f>
        <v>119.36495999999997</v>
      </c>
      <c r="DQ51" s="13">
        <f t="shared" si="43"/>
        <v>31.526840934707504</v>
      </c>
      <c r="DR51" s="20">
        <f t="shared" si="16"/>
        <v>262.8032199612822</v>
      </c>
      <c r="DS51" s="59">
        <f t="shared" si="17"/>
        <v>556.13655329461551</v>
      </c>
      <c r="DT51" s="59">
        <f ca="1">AVERAGE(OFFSET($DS$3,0,0,'Données projet'!$E$14+1,1))-AVERAGE(OFFSET($H$3,0,0,'Données projet'!$E$14+1,1))</f>
        <v>208.48147873805715</v>
      </c>
      <c r="DU51" s="59">
        <f t="shared" si="44"/>
        <v>209.50570914630686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1.3173136118484754</v>
      </c>
      <c r="EB51" s="21">
        <f>EXP(-LN(2)/25)*EB50+(1-EXP(-LN(2)/25))/(LN(2)/25)*Calculateur!DW51*Calculateur!DY51*VLOOKUP('Données projet'!$B$14,Paramètres!$A$1:$I$89,3,0)*0.475*44/12</f>
        <v>5.3569979365999583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6.6743115484484337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11.642307692307696</v>
      </c>
      <c r="EJ51" s="12">
        <f>IF('Données projet'!$A$192&gt;35,EJ50+EI51-ER50,IF(A51&lt;'Données projet'!$A$192,$EG$205^A51,IF(A51='Données projet'!$A$192,'Données projet'!$B$192,EJ50+EI51-ER50)))</f>
        <v>285.24615384615379</v>
      </c>
      <c r="EK51" s="17">
        <f>EJ51*VLOOKUP('Données projet'!$B$15,Paramètres!$A$1:$I$89,3,0)*VLOOKUP('Données projet'!$B$15,Paramètres!$A$1:$I$89,5,0)</f>
        <v>170.5772</v>
      </c>
      <c r="EL51" s="13">
        <f t="shared" si="45"/>
        <v>43.219271671345155</v>
      </c>
      <c r="EM51" s="20">
        <f t="shared" si="19"/>
        <v>372.36218816092611</v>
      </c>
      <c r="EN51" s="59">
        <f t="shared" si="20"/>
        <v>665.69552149425942</v>
      </c>
      <c r="EO51" s="59">
        <f ca="1">AVERAGE(OFFSET($EN$3,0,0,'Données projet'!$E$15+1,1))-AVERAGE(OFFSET($H$3,0,0,'Données projet'!$E$15+1,1))</f>
        <v>247.31680974612766</v>
      </c>
      <c r="EP51" s="59">
        <f t="shared" si="46"/>
        <v>257.13949761071882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35.778777312734384</v>
      </c>
      <c r="EW51" s="21">
        <f>EXP(-LN(2)/25)*EW50+(1-EXP(-LN(2)/25))/(LN(2)/25)*Calculateur!ER51*Calculateur!ET51*VLOOKUP('Données projet'!$B$15,Paramètres!$A$1:$I$89,3,0)*0.475*44/12</f>
        <v>16.827364414305769</v>
      </c>
      <c r="EX51" s="21">
        <f>EXP(-LN(2)/2)*EX50+(1-EXP(-LN(2)/2))/(LN(2)/2)*ER51*EU51*VLOOKUP('Données projet'!$B$15,Paramètres!$A$1:$I$89,3,0)*0.475*44/12</f>
        <v>1.5397214830982378</v>
      </c>
      <c r="EY51" s="22">
        <f t="shared" si="21"/>
        <v>54.145863210138394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8.7141599999999926</v>
      </c>
      <c r="D52" s="11">
        <f t="shared" si="32"/>
        <v>3.1212987822666025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18.272287242797557</v>
      </c>
      <c r="H52" s="67">
        <f t="shared" si="1"/>
        <v>277.28009071244765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10.407692307692306</v>
      </c>
      <c r="N52" s="13">
        <f>IF('Données projet'!$A$36&gt;35,N51+M52-V51,IF(A52&lt;'Données projet'!$A$36,$K$205^A52,IF(A52='Données projet'!$A$36,'Données projet'!$B$36,N51+M52-V51)))</f>
        <v>301.02307692307687</v>
      </c>
      <c r="O52" s="13">
        <f>N52*VLOOKUP('Données projet'!$B$9,Paramètres!$A$1:$I$89,3,0)*VLOOKUP('Données projet'!$B$9,Paramètres!$A$1:$I$89,5,0)</f>
        <v>140.87879999999998</v>
      </c>
      <c r="P52" s="13">
        <f t="shared" si="33"/>
        <v>36.498252857280519</v>
      </c>
      <c r="Q52" s="20">
        <f t="shared" si="53"/>
        <v>308.93170039309683</v>
      </c>
      <c r="R52" s="59">
        <f t="shared" si="0"/>
        <v>602.26503372643015</v>
      </c>
      <c r="S52" s="59">
        <f ca="1">AVERAGE(OFFSET($R$3,0,0,'Données projet'!$E$9+1,1))-AVERAGE(OFFSET($H$3,0,0,'Données projet'!$E$9+1,1))</f>
        <v>223.99456146593315</v>
      </c>
      <c r="T52" s="59">
        <f t="shared" si="34"/>
        <v>132.73290587325937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6.6</v>
      </c>
      <c r="AI52" s="13">
        <f>IF('Données projet'!$A$62&gt;35,AI51+AH52-AQ51,IF(A52&lt;'Données projet'!$A$62,$AF$205^A52,IF(A52='Données projet'!$A$62,'Données projet'!$B$62,AI51+AH52-AQ51)))</f>
        <v>208.40000000000006</v>
      </c>
      <c r="AJ52" s="13">
        <f>AI52*VLOOKUP('Données projet'!$B$10,Paramètres!$A$1:$I$89,3,0)*VLOOKUP('Données projet'!$B$10,Paramètres!$A$1:$I$89,5,0)</f>
        <v>136.54368000000002</v>
      </c>
      <c r="AK52" s="13">
        <f t="shared" si="35"/>
        <v>35.504062844328153</v>
      </c>
      <c r="AL52" s="20">
        <f t="shared" si="4"/>
        <v>299.64981878720488</v>
      </c>
      <c r="AM52" s="59">
        <f t="shared" si="5"/>
        <v>592.98315212053819</v>
      </c>
      <c r="AN52" s="59">
        <f ca="1">AVERAGE(OFFSET($AM$3,0,0,'Données projet'!$E$10+1,1))-AVERAGE(OFFSET($H$3,0,0,'Données projet'!$E$10+1,1))</f>
        <v>244.43587473734613</v>
      </c>
      <c r="AO52" s="59">
        <f t="shared" si="36"/>
        <v>256.80261402149375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4.1667110772257185</v>
      </c>
      <c r="AW52" s="21">
        <f>EXP(-LN(2)/2)*AW51+(1-EXP(-LN(2)/2))/(LN(2)/2)*AQ52*AT52*VLOOKUP('Données projet'!$B$10,Paramètres!$A$1:$I$89,3,0)*0.475*44/12</f>
        <v>1.4071791420077318</v>
      </c>
      <c r="AX52" s="21">
        <f t="shared" si="6"/>
        <v>5.5738902192334505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17.8</v>
      </c>
      <c r="BD52" s="12">
        <f>IF('Données projet'!$A$88&gt;35,BD51+BC52-BL51,IF(A52&lt;'Données projet'!$A$88,$BA$205^A52,IF(A52='Données projet'!$A$88,'Données projet'!$B$88,BD51+BC52-BL51)))</f>
        <v>611.19999999999982</v>
      </c>
      <c r="BE52" s="13">
        <f>BD52*VLOOKUP('Données projet'!$B$11,Paramètres!$A$1:$I$89,3,0)*VLOOKUP('Données projet'!$B$11,Paramètres!$A$1:$I$89,5,0)</f>
        <v>341.66079999999988</v>
      </c>
      <c r="BF52" s="13">
        <f t="shared" si="37"/>
        <v>79.842980844864144</v>
      </c>
      <c r="BG52" s="20">
        <f t="shared" si="7"/>
        <v>734.11908497147158</v>
      </c>
      <c r="BH52" s="59">
        <f t="shared" si="8"/>
        <v>1027.452418304805</v>
      </c>
      <c r="BI52" s="59">
        <f ca="1">AVERAGE(OFFSET($BH$3,0,0,'Données projet'!$E$11+1,1))-AVERAGE(OFFSET($H$3,0,0,'Données projet'!$E$11+1,1))</f>
        <v>430.60186171079067</v>
      </c>
      <c r="BJ52" s="59">
        <f t="shared" si="38"/>
        <v>533.76627289533985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60.119099065935529</v>
      </c>
      <c r="BQ52" s="21">
        <f>EXP(-LN(2)/25)*BQ51+(1-EXP(-LN(2)/25))/(LN(2)/25)*Calculateur!BL52*Calculateur!BN52*VLOOKUP('Données projet'!$B$11,Paramètres!$A$1:$I$89,3,0)*0.475*44/12</f>
        <v>19.546038498316875</v>
      </c>
      <c r="BR52" s="21">
        <f>EXP(-LN(2)/2)*BR51+(1-EXP(-LN(2)/2))/(LN(2)/2)*BL52*BO52*VLOOKUP('Données projet'!$B$11,Paramètres!$A$1:$I$89,3,0)*0.475*44/12</f>
        <v>1.6992722297812126</v>
      </c>
      <c r="BS52" s="22">
        <f t="shared" si="9"/>
        <v>81.36440979403362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10.101538461538462</v>
      </c>
      <c r="BY52" s="12">
        <f>IF('Données projet'!$A$114&gt;35,BY51+BX52-CG51,IF(A52&lt;'Données projet'!$A$114,$BV$205^A52,IF(A52='Données projet'!$A$114,'Données projet'!$B$114,BY51+BX52-CG51)))</f>
        <v>231.50615384615386</v>
      </c>
      <c r="BZ52" s="13">
        <f>BY52*VLOOKUP('Données projet'!$B$12,Paramètres!$A$1:$I$89,3,0)*VLOOKUP('Données projet'!$B$12,Paramètres!$A$1:$I$89,5,0)</f>
        <v>138.44068000000001</v>
      </c>
      <c r="CA52" s="13">
        <f t="shared" si="39"/>
        <v>35.939554654027752</v>
      </c>
      <c r="CB52" s="20">
        <f t="shared" si="10"/>
        <v>303.71224202243167</v>
      </c>
      <c r="CC52" s="59">
        <f t="shared" si="11"/>
        <v>597.04557535576498</v>
      </c>
      <c r="CD52" s="59">
        <f ca="1">AVERAGE(OFFSET($CC$3,0,0,'Données projet'!$E$12+1,1))-AVERAGE(OFFSET($H$3,0,0,'Données projet'!$E$12+1,1))</f>
        <v>215.89467197072673</v>
      </c>
      <c r="CE52" s="59">
        <f t="shared" si="40"/>
        <v>188.21397398859534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17.50418876552515</v>
      </c>
      <c r="CL52" s="21">
        <f>EXP(-LN(2)/25)*CL51+(1-EXP(-LN(2)/25))/(LN(2)/25)*Calculateur!CG52*Calculateur!CI52*VLOOKUP('Données projet'!$B$12,Paramètres!$A$1:$I$89,3,0)*0.475*44/12</f>
        <v>9.061359596797681</v>
      </c>
      <c r="CM52" s="21">
        <f>EXP(-LN(2)/2)*CM51+(1-EXP(-LN(2)/2))/(LN(2)/2)*CG52*CJ52*VLOOKUP('Données projet'!$B$12,Paramètres!$A$1:$I$89,3,0)*0.475*44/12</f>
        <v>0.20484576588061221</v>
      </c>
      <c r="CN52" s="22">
        <f t="shared" si="12"/>
        <v>26.770394128203442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3.5192307692307692</v>
      </c>
      <c r="CT52" s="12">
        <f>IF('Données projet'!$A$140&gt;35,CT51+CS52-DB51,IF(A52&lt;'Données projet'!$A$140,$CQ$205^A52,IF(A52='Données projet'!$A$140,'Données projet'!$B$140,CT51+CS52-DB51)))</f>
        <v>123.60897435897442</v>
      </c>
      <c r="CU52" s="17">
        <f>CT52*VLOOKUP('Données projet'!$B$13,Paramètres!$A$1:$I$89,3,0)*VLOOKUP('Données projet'!$B$13,Paramètres!$A$1:$I$89,5,0)</f>
        <v>125.33950000000007</v>
      </c>
      <c r="CV52" s="13">
        <f t="shared" si="41"/>
        <v>32.917177130755782</v>
      </c>
      <c r="CW52" s="20">
        <f t="shared" si="13"/>
        <v>275.63037933606648</v>
      </c>
      <c r="CX52" s="59">
        <f t="shared" si="14"/>
        <v>568.9637126693998</v>
      </c>
      <c r="CY52" s="59">
        <f ca="1">AVERAGE(OFFSET($CX$3,0,0,'Données projet'!$E$13+1,1))-AVERAGE(OFFSET($H$3,0,0,'Données projet'!$E$13+1,1))</f>
        <v>342.82846711287749</v>
      </c>
      <c r="CZ52" s="59">
        <f t="shared" si="42"/>
        <v>152.87724741106297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5.6</v>
      </c>
      <c r="DO52" s="12">
        <f>IF('Données projet'!$A$166&gt;35,DO51+DN52-DW51,IF(A52&lt;'Données projet'!$A$166,$DL$205^A52,IF(A52='Données projet'!$A$166,'Données projet'!$B$166,DO51+DN52-DW51)))</f>
        <v>168.39999999999995</v>
      </c>
      <c r="DP52" s="17">
        <f>DO52*VLOOKUP('Données projet'!$B$14,Paramètres!$A$1:$I$89,3,0)*VLOOKUP('Données projet'!$B$14,Paramètres!$A$1:$I$89,5,0)</f>
        <v>123.47087999999995</v>
      </c>
      <c r="DQ52" s="13">
        <f t="shared" si="43"/>
        <v>32.483176766344855</v>
      </c>
      <c r="DR52" s="20">
        <f t="shared" si="16"/>
        <v>271.61998220138389</v>
      </c>
      <c r="DS52" s="59">
        <f t="shared" si="17"/>
        <v>564.95331553471715</v>
      </c>
      <c r="DT52" s="59">
        <f ca="1">AVERAGE(OFFSET($DS$3,0,0,'Données projet'!$E$14+1,1))-AVERAGE(OFFSET($H$3,0,0,'Données projet'!$E$14+1,1))</f>
        <v>208.48147873805715</v>
      </c>
      <c r="DU52" s="59">
        <f t="shared" si="44"/>
        <v>209.50570914630686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1.2914818954020928</v>
      </c>
      <c r="EB52" s="21">
        <f>EXP(-LN(2)/25)*EB51+(1-EXP(-LN(2)/25))/(LN(2)/25)*Calculateur!DW52*Calculateur!DY52*VLOOKUP('Données projet'!$B$14,Paramètres!$A$1:$I$89,3,0)*0.475*44/12</f>
        <v>5.2105105463113546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6.5019924417134476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11.642307692307696</v>
      </c>
      <c r="EJ52" s="12">
        <f>IF('Données projet'!$A$192&gt;35,EJ51+EI52-ER51,IF(A52&lt;'Données projet'!$A$192,$EG$205^A52,IF(A52='Données projet'!$A$192,'Données projet'!$B$192,EJ51+EI52-ER51)))</f>
        <v>296.88846153846146</v>
      </c>
      <c r="EK52" s="17">
        <f>EJ52*VLOOKUP('Données projet'!$B$15,Paramètres!$A$1:$I$89,3,0)*VLOOKUP('Données projet'!$B$15,Paramètres!$A$1:$I$89,5,0)</f>
        <v>177.53929999999997</v>
      </c>
      <c r="EL52" s="13">
        <f t="shared" si="45"/>
        <v>44.77428794630201</v>
      </c>
      <c r="EM52" s="20">
        <f t="shared" si="19"/>
        <v>387.19616567314262</v>
      </c>
      <c r="EN52" s="59">
        <f t="shared" si="20"/>
        <v>680.52949900647593</v>
      </c>
      <c r="EO52" s="59">
        <f ca="1">AVERAGE(OFFSET($EN$3,0,0,'Données projet'!$E$15+1,1))-AVERAGE(OFFSET($H$3,0,0,'Données projet'!$E$15+1,1))</f>
        <v>247.31680974612766</v>
      </c>
      <c r="EP52" s="59">
        <f t="shared" si="46"/>
        <v>257.13949761071882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35.077177312530992</v>
      </c>
      <c r="EW52" s="21">
        <f>EXP(-LN(2)/25)*EW51+(1-EXP(-LN(2)/25))/(LN(2)/25)*Calculateur!ER52*Calculateur!ET52*VLOOKUP('Données projet'!$B$15,Paramètres!$A$1:$I$89,3,0)*0.475*44/12</f>
        <v>16.367219249483941</v>
      </c>
      <c r="EX52" s="21">
        <f>EXP(-LN(2)/2)*EX51+(1-EXP(-LN(2)/2))/(LN(2)/2)*ER52*EU52*VLOOKUP('Données projet'!$B$15,Paramètres!$A$1:$I$89,3,0)*0.475*44/12</f>
        <v>1.088747501837372</v>
      </c>
      <c r="EY52" s="22">
        <f t="shared" si="21"/>
        <v>52.533144063852305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8.8919999999999924</v>
      </c>
      <c r="D53" s="11">
        <f t="shared" si="32"/>
        <v>3.1775177294642658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18.633641406892195</v>
      </c>
      <c r="H53" s="67">
        <f t="shared" si="1"/>
        <v>277.68774337881695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10.407692307692306</v>
      </c>
      <c r="N53" s="13">
        <f>IF('Données projet'!$A$36&gt;35,N52+M53-V52,IF(A53&lt;'Données projet'!$A$36,$K$205^A53,IF(A53='Données projet'!$A$36,'Données projet'!$B$36,N52+M53-V52)))</f>
        <v>311.43076923076916</v>
      </c>
      <c r="O53" s="13">
        <f>N53*VLOOKUP('Données projet'!$B$9,Paramètres!$A$1:$I$89,3,0)*VLOOKUP('Données projet'!$B$9,Paramètres!$A$1:$I$89,5,0)</f>
        <v>145.74959999999999</v>
      </c>
      <c r="P53" s="13">
        <f t="shared" si="33"/>
        <v>37.611056965444213</v>
      </c>
      <c r="Q53" s="20">
        <f t="shared" si="53"/>
        <v>319.3531442148153</v>
      </c>
      <c r="R53" s="59">
        <f t="shared" si="0"/>
        <v>612.68647754814856</v>
      </c>
      <c r="S53" s="59">
        <f ca="1">AVERAGE(OFFSET($R$3,0,0,'Données projet'!$E$9+1,1))-AVERAGE(OFFSET($H$3,0,0,'Données projet'!$E$9+1,1))</f>
        <v>223.99456146593315</v>
      </c>
      <c r="T53" s="59">
        <f t="shared" si="34"/>
        <v>132.73290587325937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215</v>
      </c>
      <c r="AG53" s="12">
        <f>VLOOKUP(A53,'Données projet'!$A$61:$I$81,9,0)</f>
        <v>6.6</v>
      </c>
      <c r="AH53" s="12">
        <f t="array" ref="AH53">INDEX(AG:AG,MIN(IF(ISNUMBER(AG53:AG249),ROW(AG53:AG249),"")))</f>
        <v>6.6</v>
      </c>
      <c r="AI53" s="13">
        <f>IF('Données projet'!$A$62&gt;35,AI52+AH53-AQ52,IF(A53&lt;'Données projet'!$A$62,$AF$205^A53,IF(A53='Données projet'!$A$62,'Données projet'!$B$62,AI52+AH53-AQ52)))</f>
        <v>215.00000000000006</v>
      </c>
      <c r="AJ53" s="13">
        <f>AI53*VLOOKUP('Données projet'!$B$10,Paramètres!$A$1:$I$89,3,0)*VLOOKUP('Données projet'!$B$10,Paramètres!$A$1:$I$89,5,0)</f>
        <v>140.86800000000005</v>
      </c>
      <c r="AK53" s="13">
        <f t="shared" si="35"/>
        <v>36.495780519346958</v>
      </c>
      <c r="AL53" s="20">
        <f t="shared" si="4"/>
        <v>308.90858440452939</v>
      </c>
      <c r="AM53" s="59">
        <f t="shared" si="5"/>
        <v>602.24191773786265</v>
      </c>
      <c r="AN53" s="59">
        <f ca="1">AVERAGE(OFFSET($AM$3,0,0,'Données projet'!$E$10+1,1))-AVERAGE(OFFSET($H$3,0,0,'Données projet'!$E$10+1,1))</f>
        <v>244.43587473734613</v>
      </c>
      <c r="AO53" s="59">
        <f t="shared" si="36"/>
        <v>256.80261402149375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0.129</v>
      </c>
      <c r="AT53" s="16">
        <f>IF(ISNA(VLOOKUP(A53,'Données projet'!$A$61:$I$81,7,0)),0%,VLOOKUP(A53,'Données projet'!$A$61:$I$81,7,0))</f>
        <v>0.3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6.2863885607307726</v>
      </c>
      <c r="AW53" s="21">
        <f>EXP(-LN(2)/2)*AW52+(1-EXP(-LN(2)/2))/(LN(2)/2)*AQ53*AT53*VLOOKUP('Données projet'!$B$10,Paramètres!$A$1:$I$89,3,0)*0.475*44/12</f>
        <v>5.4460575216939775</v>
      </c>
      <c r="AX53" s="21">
        <f t="shared" si="6"/>
        <v>11.732446082424751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629</v>
      </c>
      <c r="BB53" s="12">
        <f>VLOOKUP(A53,'Données projet'!$A$87:$I$107,9,0)</f>
        <v>17.8</v>
      </c>
      <c r="BC53" s="12">
        <f t="array" ref="BC53">INDEX(BB:BB,MIN(IF(ISNUMBER(BB53:BB249),ROW(BB53:BB249),"")))</f>
        <v>17.8</v>
      </c>
      <c r="BD53" s="12">
        <f>IF('Données projet'!$A$88&gt;35,BD52+BC53-BL52,IF(A53&lt;'Données projet'!$A$88,$BA$205^A53,IF(A53='Données projet'!$A$88,'Données projet'!$B$88,BD52+BC53-BL52)))</f>
        <v>628.99999999999977</v>
      </c>
      <c r="BE53" s="13">
        <f>BD53*VLOOKUP('Données projet'!$B$11,Paramètres!$A$1:$I$89,3,0)*VLOOKUP('Données projet'!$B$11,Paramètres!$A$1:$I$89,5,0)</f>
        <v>351.61099999999988</v>
      </c>
      <c r="BF53" s="13">
        <f t="shared" si="37"/>
        <v>81.89414415728541</v>
      </c>
      <c r="BG53" s="20">
        <f t="shared" si="7"/>
        <v>755.02145940727178</v>
      </c>
      <c r="BH53" s="59">
        <f t="shared" si="8"/>
        <v>1048.354792740605</v>
      </c>
      <c r="BI53" s="59">
        <f ca="1">AVERAGE(OFFSET($BH$3,0,0,'Données projet'!$E$11+1,1))-AVERAGE(OFFSET($H$3,0,0,'Données projet'!$E$11+1,1))</f>
        <v>430.60186171079067</v>
      </c>
      <c r="BJ53" s="59">
        <f t="shared" si="38"/>
        <v>533.76627289533985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48</v>
      </c>
      <c r="BM53" s="16">
        <f>IF(ISNA(VLOOKUP(A53,'Données projet'!$A$87:$I$107,5,0)),0%,VLOOKUP(A53,'Données projet'!$A$87:$I$107,5,0)*VLOOKUP('Données projet'!$B$11,Paramètres!$A$1:$I$89,7,0))</f>
        <v>0.38500000000000001</v>
      </c>
      <c r="BN53" s="16">
        <f>IF(ISNA(VLOOKUP(A53,'Données projet'!$A$87:$I$107,6,0)),0%,VLOOKUP(A53,'Données projet'!$A$87:$I$107,6,0)*VLOOKUP('Données projet'!$B$11,Paramètres!$A$1:$I$89,7,0))</f>
        <v>9.240000000000001E-2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72.64403552759839</v>
      </c>
      <c r="BQ53" s="21">
        <f>EXP(-LN(2)/25)*BQ52+(1-EXP(-LN(2)/25))/(LN(2)/25)*Calculateur!BL53*Calculateur!BN53*VLOOKUP('Données projet'!$B$11,Paramètres!$A$1:$I$89,3,0)*0.475*44/12</f>
        <v>22.287521792675662</v>
      </c>
      <c r="BR53" s="21">
        <f>EXP(-LN(2)/2)*BR52+(1-EXP(-LN(2)/2))/(LN(2)/2)*BL53*BO53*VLOOKUP('Données projet'!$B$11,Paramètres!$A$1:$I$89,3,0)*0.475*44/12</f>
        <v>5.2117344417146576</v>
      </c>
      <c r="BS53" s="22">
        <f t="shared" si="9"/>
        <v>100.14329176198871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241.60769230769233</v>
      </c>
      <c r="BW53" s="12">
        <f>VLOOKUP(A53,'Données projet'!$A$113:$I$133,9,0)</f>
        <v>10.101538461538462</v>
      </c>
      <c r="BX53" s="12">
        <f t="array" ref="BX53">INDEX(BW:BW,MIN(IF(ISNUMBER(BW53:BW249),ROW(BW53:BW249),"")))</f>
        <v>10.101538461538462</v>
      </c>
      <c r="BY53" s="12">
        <f>IF('Données projet'!$A$114&gt;35,BY52+BX53-CG52,IF(A53&lt;'Données projet'!$A$114,$BV$205^A53,IF(A53='Données projet'!$A$114,'Données projet'!$B$114,BY52+BX53-CG52)))</f>
        <v>241.60769230769233</v>
      </c>
      <c r="BZ53" s="13">
        <f>BY53*VLOOKUP('Données projet'!$B$12,Paramètres!$A$1:$I$89,3,0)*VLOOKUP('Données projet'!$B$12,Paramètres!$A$1:$I$89,5,0)</f>
        <v>144.48140000000004</v>
      </c>
      <c r="CA53" s="13">
        <f t="shared" si="39"/>
        <v>37.321741124084674</v>
      </c>
      <c r="CB53" s="20">
        <f t="shared" si="10"/>
        <v>316.64047079111418</v>
      </c>
      <c r="CC53" s="59">
        <f t="shared" si="11"/>
        <v>609.9738041244475</v>
      </c>
      <c r="CD53" s="59">
        <f ca="1">AVERAGE(OFFSET($CC$3,0,0,'Données projet'!$E$12+1,1))-AVERAGE(OFFSET($H$3,0,0,'Données projet'!$E$12+1,1))</f>
        <v>215.89467197072673</v>
      </c>
      <c r="CE53" s="59">
        <f t="shared" si="40"/>
        <v>188.21397398859534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55.676923076923075</v>
      </c>
      <c r="CH53" s="16">
        <f>IF(ISNA(VLOOKUP(A53,'Données projet'!$A$113:$I$133,5,0)),0%,VLOOKUP(A53,'Données projet'!$A$113:$I$133,5,0)*VLOOKUP('Données projet'!$B$12,Paramètres!$A$1:$I$89,7,0))</f>
        <v>0.315</v>
      </c>
      <c r="CI53" s="16">
        <f>IF(ISNA(VLOOKUP(A53,'Données projet'!$A$113:$I$133,6,0)),0%,VLOOKUP(A53,'Données projet'!$A$113:$I$133,6,0)*VLOOKUP('Données projet'!$B$12,Paramètres!$A$1:$I$89,7,0))</f>
        <v>7.5600000000000001E-2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31.073767243089179</v>
      </c>
      <c r="CL53" s="21">
        <f>EXP(-LN(2)/25)*CL52+(1-EXP(-LN(2)/25))/(LN(2)/25)*Calculateur!CG53*Calculateur!CI53*VLOOKUP('Données projet'!$B$12,Paramètres!$A$1:$I$89,3,0)*0.475*44/12</f>
        <v>12.1395070060479</v>
      </c>
      <c r="CM53" s="21">
        <f>EXP(-LN(2)/2)*CM52+(1-EXP(-LN(2)/2))/(LN(2)/2)*CG53*CJ53*VLOOKUP('Données projet'!$B$12,Paramètres!$A$1:$I$89,3,0)*0.475*44/12</f>
        <v>5.1209109529098447</v>
      </c>
      <c r="CN53" s="22">
        <f t="shared" si="12"/>
        <v>48.334185202046925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3.5192307692307692</v>
      </c>
      <c r="CT53" s="12">
        <f>IF('Données projet'!$A$140&gt;35,CT52+CS53-DB52,IF(A53&lt;'Données projet'!$A$140,$CQ$205^A53,IF(A53='Données projet'!$A$140,'Données projet'!$B$140,CT52+CS53-DB52)))</f>
        <v>127.1282051282052</v>
      </c>
      <c r="CU53" s="17">
        <f>CT53*VLOOKUP('Données projet'!$B$13,Paramètres!$A$1:$I$89,3,0)*VLOOKUP('Données projet'!$B$13,Paramètres!$A$1:$I$89,5,0)</f>
        <v>128.90800000000007</v>
      </c>
      <c r="CV53" s="13">
        <f t="shared" si="41"/>
        <v>33.743906448257633</v>
      </c>
      <c r="CW53" s="20">
        <f t="shared" si="13"/>
        <v>283.28540373071547</v>
      </c>
      <c r="CX53" s="59">
        <f t="shared" si="14"/>
        <v>576.61873706404879</v>
      </c>
      <c r="CY53" s="59">
        <f ca="1">AVERAGE(OFFSET($CX$3,0,0,'Données projet'!$E$13+1,1))-AVERAGE(OFFSET($H$3,0,0,'Données projet'!$E$13+1,1))</f>
        <v>342.82846711287749</v>
      </c>
      <c r="CZ53" s="59">
        <f t="shared" si="42"/>
        <v>152.87724741106297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174</v>
      </c>
      <c r="DM53" s="12">
        <f>VLOOKUP(A53,'Données projet'!$A$165:$I$185,9,0)</f>
        <v>5.6</v>
      </c>
      <c r="DN53" s="12">
        <f t="array" ref="DN53">INDEX(DM:DM,MIN(IF(ISNUMBER(DM53:DM249),ROW(DM53:DM249),"")))</f>
        <v>5.6</v>
      </c>
      <c r="DO53" s="12">
        <f>IF('Données projet'!$A$166&gt;35,DO52+DN53-DW52,IF(A53&lt;'Données projet'!$A$166,$DL$205^A53,IF(A53='Données projet'!$A$166,'Données projet'!$B$166,DO52+DN53-DW52)))</f>
        <v>173.99999999999994</v>
      </c>
      <c r="DP53" s="17">
        <f>DO53*VLOOKUP('Données projet'!$B$14,Paramètres!$A$1:$I$89,3,0)*VLOOKUP('Données projet'!$B$14,Paramètres!$A$1:$I$89,5,0)</f>
        <v>127.57679999999996</v>
      </c>
      <c r="DQ53" s="13">
        <f t="shared" si="43"/>
        <v>33.435817264319823</v>
      </c>
      <c r="DR53" s="20">
        <f t="shared" si="16"/>
        <v>280.43030840202363</v>
      </c>
      <c r="DS53" s="59">
        <f t="shared" si="17"/>
        <v>573.76364173535694</v>
      </c>
      <c r="DT53" s="59">
        <f ca="1">AVERAGE(OFFSET($DS$3,0,0,'Données projet'!$E$14+1,1))-AVERAGE(OFFSET($H$3,0,0,'Données projet'!$E$14+1,1))</f>
        <v>208.48147873805715</v>
      </c>
      <c r="DU53" s="59">
        <f t="shared" si="44"/>
        <v>209.50570914630686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13</v>
      </c>
      <c r="DX53" s="16">
        <f>IF(ISNA(VLOOKUP(A53,'Données projet'!$A$165:$I$185,5,0)),0%,VLOOKUP(A53,'Données projet'!$A$165:$I$185,5,0)*VLOOKUP('Données projet'!$B$14,Paramètres!$A$1:$I$89,7,0))</f>
        <v>9.8900000000000002E-2</v>
      </c>
      <c r="DY53" s="16">
        <f>IF(ISNA(VLOOKUP(A53,'Données projet'!$A$165:$I$185,6,0)),0%,VLOOKUP(A53,'Données projet'!$A$165:$I$185,6,0)*VLOOKUP('Données projet'!$B$14,Paramètres!$A$1:$I$89,7,0))</f>
        <v>0.1978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2.308256278498547</v>
      </c>
      <c r="EB53" s="21">
        <f>EXP(-LN(2)/25)*EB52+(1-EXP(-LN(2)/25))/(LN(2)/25)*Calculateur!DW53*Calculateur!DY53*VLOOKUP('Données projet'!$B$14,Paramètres!$A$1:$I$89,3,0)*0.475*44/12</f>
        <v>7.1440216860509977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9.4522779645495447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11.642307692307696</v>
      </c>
      <c r="EJ53" s="12">
        <f>IF('Données projet'!$A$192&gt;35,EJ52+EI53-ER52,IF(A53&lt;'Données projet'!$A$192,$EG$205^A53,IF(A53='Données projet'!$A$192,'Données projet'!$B$192,EJ52+EI53-ER52)))</f>
        <v>308.53076923076912</v>
      </c>
      <c r="EK53" s="17">
        <f>EJ53*VLOOKUP('Données projet'!$B$15,Paramètres!$A$1:$I$89,3,0)*VLOOKUP('Données projet'!$B$15,Paramètres!$A$1:$I$89,5,0)</f>
        <v>184.50139999999996</v>
      </c>
      <c r="EL53" s="13">
        <f t="shared" si="45"/>
        <v>46.322220516606542</v>
      </c>
      <c r="EM53" s="20">
        <f t="shared" si="19"/>
        <v>402.01780573308969</v>
      </c>
      <c r="EN53" s="59">
        <f t="shared" si="20"/>
        <v>695.351139066423</v>
      </c>
      <c r="EO53" s="59">
        <f ca="1">AVERAGE(OFFSET($EN$3,0,0,'Données projet'!$E$15+1,1))-AVERAGE(OFFSET($H$3,0,0,'Données projet'!$E$15+1,1))</f>
        <v>247.31680974612766</v>
      </c>
      <c r="EP53" s="59">
        <f t="shared" si="46"/>
        <v>257.13949761071882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34.389335260397843</v>
      </c>
      <c r="EW53" s="21">
        <f>EXP(-LN(2)/25)*EW52+(1-EXP(-LN(2)/25))/(LN(2)/25)*Calculateur!ER53*Calculateur!ET53*VLOOKUP('Données projet'!$B$15,Paramètres!$A$1:$I$89,3,0)*0.475*44/12</f>
        <v>15.919656778392151</v>
      </c>
      <c r="EX53" s="21">
        <f>EXP(-LN(2)/2)*EX52+(1-EXP(-LN(2)/2))/(LN(2)/2)*ER53*EU53*VLOOKUP('Données projet'!$B$15,Paramètres!$A$1:$I$89,3,0)*0.475*44/12</f>
        <v>0.76986074154911888</v>
      </c>
      <c r="EY53" s="22">
        <f t="shared" si="21"/>
        <v>51.078852780339112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9.0698399999999921</v>
      </c>
      <c r="D54" s="11">
        <f t="shared" si="32"/>
        <v>3.2336059419632983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18.994793734960872</v>
      </c>
      <c r="H54" s="67">
        <f t="shared" si="1"/>
        <v>278.0951683489194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321.8384615384615</v>
      </c>
      <c r="L54" s="12">
        <f>VLOOKUP(A54,'Données projet'!$A$35:$I$55,9,0)</f>
        <v>10.407692307692306</v>
      </c>
      <c r="M54" s="12">
        <f t="array" ref="M54">INDEX(L:L,MIN(IF(ISNUMBER(L54:L250),ROW(L54:L250),"")))</f>
        <v>10.407692307692306</v>
      </c>
      <c r="N54" s="13">
        <f>IF('Données projet'!$A$36&gt;35,N53+M54-V53,IF(A54&lt;'Données projet'!$A$36,$K$205^A54,IF(A54='Données projet'!$A$36,'Données projet'!$B$36,N53+M54-V53)))</f>
        <v>321.83846153846144</v>
      </c>
      <c r="O54" s="13">
        <f>N54*VLOOKUP('Données projet'!$B$9,Paramètres!$A$1:$I$89,3,0)*VLOOKUP('Données projet'!$B$9,Paramètres!$A$1:$I$89,5,0)</f>
        <v>150.62039999999996</v>
      </c>
      <c r="P54" s="13">
        <f t="shared" si="33"/>
        <v>38.719539861211025</v>
      </c>
      <c r="Q54" s="20">
        <f t="shared" si="53"/>
        <v>329.76706192494242</v>
      </c>
      <c r="R54" s="59">
        <f t="shared" si="0"/>
        <v>623.10039525827574</v>
      </c>
      <c r="S54" s="59">
        <f ca="1">AVERAGE(OFFSET($R$3,0,0,'Données projet'!$E$9+1,1))-AVERAGE(OFFSET($H$3,0,0,'Données projet'!$E$9+1,1))</f>
        <v>223.99456146593315</v>
      </c>
      <c r="T54" s="59">
        <f t="shared" si="34"/>
        <v>132.73290587325937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100.30769230769231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0.30800000000000005</v>
      </c>
      <c r="Y54" s="16">
        <f>IF(ISNA(VLOOKUP(A54,'Données projet'!$A$35:$I$55,7,0)),0%,VLOOKUP(A54,'Données projet'!$A$35:$I$55,7,0))</f>
        <v>0.44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19.104945668379624</v>
      </c>
      <c r="AB54" s="21">
        <f>EXP(-LN(2)/2)*AB53+(1-EXP(-LN(2)/2))/(LN(2)/2)*V54*Y54*VLOOKUP('Données projet'!$B$9,Paramètres!$A$1:$I$89,3,0)*0.475*44/12</f>
        <v>23.386665709036262</v>
      </c>
      <c r="AC54" s="22">
        <f t="shared" si="3"/>
        <v>42.491611377415886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6.4</v>
      </c>
      <c r="AI54" s="13">
        <f>IF('Données projet'!$A$62&gt;35,AI53+AH54-AQ53,IF(A54&lt;'Données projet'!$A$62,$AF$205^A54,IF(A54='Données projet'!$A$62,'Données projet'!$B$62,AI53+AH54-AQ53)))</f>
        <v>197.40000000000006</v>
      </c>
      <c r="AJ54" s="13">
        <f>AI54*VLOOKUP('Données projet'!$B$10,Paramètres!$A$1:$I$89,3,0)*VLOOKUP('Données projet'!$B$10,Paramètres!$A$1:$I$89,5,0)</f>
        <v>129.33648000000005</v>
      </c>
      <c r="AK54" s="13">
        <f t="shared" si="35"/>
        <v>33.84299371090448</v>
      </c>
      <c r="AL54" s="20">
        <f t="shared" si="4"/>
        <v>284.20425004649206</v>
      </c>
      <c r="AM54" s="59">
        <f t="shared" si="5"/>
        <v>577.53758337982538</v>
      </c>
      <c r="AN54" s="59">
        <f ca="1">AVERAGE(OFFSET($AM$3,0,0,'Données projet'!$E$10+1,1))-AVERAGE(OFFSET($H$3,0,0,'Données projet'!$E$10+1,1))</f>
        <v>244.43587473734613</v>
      </c>
      <c r="AO54" s="59">
        <f t="shared" si="36"/>
        <v>256.80261402149375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6.1144869349507829</v>
      </c>
      <c r="AW54" s="21">
        <f>EXP(-LN(2)/2)*AW53+(1-EXP(-LN(2)/2))/(LN(2)/2)*AQ54*AT54*VLOOKUP('Données projet'!$B$10,Paramètres!$A$1:$I$89,3,0)*0.475*44/12</f>
        <v>3.8509442043218147</v>
      </c>
      <c r="AX54" s="21">
        <f t="shared" si="6"/>
        <v>9.9654311392725976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13.8</v>
      </c>
      <c r="BD54" s="12">
        <f>IF('Données projet'!$A$88&gt;35,BD53+BC54-BL53,IF(A54&lt;'Données projet'!$A$88,$BA$205^A54,IF(A54='Données projet'!$A$88,'Données projet'!$B$88,BD53+BC54-BL53)))</f>
        <v>594.79999999999973</v>
      </c>
      <c r="BE54" s="13">
        <f>BD54*VLOOKUP('Données projet'!$B$11,Paramètres!$A$1:$I$89,3,0)*VLOOKUP('Données projet'!$B$11,Paramètres!$A$1:$I$89,5,0)</f>
        <v>332.49319999999983</v>
      </c>
      <c r="BF54" s="13">
        <f t="shared" si="37"/>
        <v>77.946984490524827</v>
      </c>
      <c r="BG54" s="20">
        <f t="shared" si="7"/>
        <v>714.84998798766367</v>
      </c>
      <c r="BH54" s="59">
        <f t="shared" si="8"/>
        <v>1008.183321320997</v>
      </c>
      <c r="BI54" s="59">
        <f ca="1">AVERAGE(OFFSET($BH$3,0,0,'Données projet'!$E$11+1,1))-AVERAGE(OFFSET($H$3,0,0,'Données projet'!$E$11+1,1))</f>
        <v>430.60186171079067</v>
      </c>
      <c r="BJ54" s="59">
        <f t="shared" si="38"/>
        <v>533.76627289533985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71.219530299388765</v>
      </c>
      <c r="BQ54" s="21">
        <f>EXP(-LN(2)/25)*BQ53+(1-EXP(-LN(2)/25))/(LN(2)/25)*Calculateur!BL54*Calculateur!BN54*VLOOKUP('Données projet'!$B$11,Paramètres!$A$1:$I$89,3,0)*0.475*44/12</f>
        <v>21.678068337205115</v>
      </c>
      <c r="BR54" s="21">
        <f>EXP(-LN(2)/2)*BR53+(1-EXP(-LN(2)/2))/(LN(2)/2)*BL54*BO54*VLOOKUP('Données projet'!$B$11,Paramètres!$A$1:$I$89,3,0)*0.475*44/12</f>
        <v>3.6852527654799201</v>
      </c>
      <c r="BS54" s="22">
        <f t="shared" si="9"/>
        <v>96.5828514020738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8.9376923076922985</v>
      </c>
      <c r="BY54" s="12">
        <f>IF('Données projet'!$A$114&gt;35,BY53+BX54-CG53,IF(A54&lt;'Données projet'!$A$114,$BV$205^A54,IF(A54='Données projet'!$A$114,'Données projet'!$B$114,BY53+BX54-CG53)))</f>
        <v>194.86846153846153</v>
      </c>
      <c r="BZ54" s="13">
        <f>BY54*VLOOKUP('Données projet'!$B$12,Paramètres!$A$1:$I$89,3,0)*VLOOKUP('Données projet'!$B$12,Paramètres!$A$1:$I$89,5,0)</f>
        <v>116.53134</v>
      </c>
      <c r="CA54" s="13">
        <f t="shared" si="39"/>
        <v>30.864615448954051</v>
      </c>
      <c r="CB54" s="20">
        <f t="shared" si="10"/>
        <v>256.7146224069283</v>
      </c>
      <c r="CC54" s="59">
        <f t="shared" si="11"/>
        <v>550.04795574026161</v>
      </c>
      <c r="CD54" s="59">
        <f ca="1">AVERAGE(OFFSET($CC$3,0,0,'Données projet'!$E$12+1,1))-AVERAGE(OFFSET($H$3,0,0,'Données projet'!$E$12+1,1))</f>
        <v>215.89467197072673</v>
      </c>
      <c r="CE54" s="59">
        <f t="shared" si="40"/>
        <v>188.21397398859534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30.464429620578752</v>
      </c>
      <c r="CL54" s="21">
        <f>EXP(-LN(2)/25)*CL53+(1-EXP(-LN(2)/25))/(LN(2)/25)*Calculateur!CG54*Calculateur!CI54*VLOOKUP('Données projet'!$B$12,Paramètres!$A$1:$I$89,3,0)*0.475*44/12</f>
        <v>11.807551548578592</v>
      </c>
      <c r="CM54" s="21">
        <f>EXP(-LN(2)/2)*CM53+(1-EXP(-LN(2)/2))/(LN(2)/2)*CG54*CJ54*VLOOKUP('Données projet'!$B$12,Paramètres!$A$1:$I$89,3,0)*0.475*44/12</f>
        <v>3.6210308606550163</v>
      </c>
      <c r="CN54" s="22">
        <f t="shared" si="12"/>
        <v>45.893012029812361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3.5192307692307692</v>
      </c>
      <c r="CT54" s="12">
        <f>IF('Données projet'!$A$140&gt;35,CT53+CS54-DB53,IF(A54&lt;'Données projet'!$A$140,$CQ$205^A54,IF(A54='Données projet'!$A$140,'Données projet'!$B$140,CT53+CS54-DB53)))</f>
        <v>130.64743589743597</v>
      </c>
      <c r="CU54" s="17">
        <f>CT54*VLOOKUP('Données projet'!$B$13,Paramètres!$A$1:$I$89,3,0)*VLOOKUP('Données projet'!$B$13,Paramètres!$A$1:$I$89,5,0)</f>
        <v>132.47650000000007</v>
      </c>
      <c r="CV54" s="13">
        <f t="shared" si="41"/>
        <v>34.567975768111623</v>
      </c>
      <c r="CW54" s="20">
        <f t="shared" si="13"/>
        <v>290.93579529612788</v>
      </c>
      <c r="CX54" s="59">
        <f t="shared" si="14"/>
        <v>584.26912862946119</v>
      </c>
      <c r="CY54" s="59">
        <f ca="1">AVERAGE(OFFSET($CX$3,0,0,'Données projet'!$E$13+1,1))-AVERAGE(OFFSET($H$3,0,0,'Données projet'!$E$13+1,1))</f>
        <v>342.82846711287749</v>
      </c>
      <c r="CZ54" s="59">
        <f t="shared" si="42"/>
        <v>152.87724741106297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4.8</v>
      </c>
      <c r="DO54" s="12">
        <f>IF('Données projet'!$A$166&gt;35,DO53+DN54-DW53,IF(A54&lt;'Données projet'!$A$166,$DL$205^A54,IF(A54='Données projet'!$A$166,'Données projet'!$B$166,DO53+DN54-DW53)))</f>
        <v>165.79999999999995</v>
      </c>
      <c r="DP54" s="17">
        <f>DO54*VLOOKUP('Données projet'!$B$14,Paramètres!$A$1:$I$89,3,0)*VLOOKUP('Données projet'!$B$14,Paramètres!$A$1:$I$89,5,0)</f>
        <v>121.56455999999996</v>
      </c>
      <c r="DQ54" s="13">
        <f t="shared" si="43"/>
        <v>32.039631659036409</v>
      </c>
      <c r="DR54" s="20">
        <f t="shared" si="16"/>
        <v>267.52730047282165</v>
      </c>
      <c r="DS54" s="59">
        <f t="shared" si="17"/>
        <v>560.86063380615496</v>
      </c>
      <c r="DT54" s="59">
        <f ca="1">AVERAGE(OFFSET($DS$3,0,0,'Données projet'!$E$14+1,1))-AVERAGE(OFFSET($H$3,0,0,'Données projet'!$E$14+1,1))</f>
        <v>208.48147873805715</v>
      </c>
      <c r="DU54" s="59">
        <f t="shared" si="44"/>
        <v>209.50570914630686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2.2629927807745021</v>
      </c>
      <c r="EB54" s="21">
        <f>EXP(-LN(2)/25)*EB53+(1-EXP(-LN(2)/25))/(LN(2)/25)*Calculateur!DW54*Calculateur!DY54*VLOOKUP('Données projet'!$B$14,Paramètres!$A$1:$I$89,3,0)*0.475*44/12</f>
        <v>6.9486680373581606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9.2116608181326622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11.642307692307696</v>
      </c>
      <c r="EJ54" s="12">
        <f>IF('Données projet'!$A$192&gt;35,EJ53+EI54-ER53,IF(A54&lt;'Données projet'!$A$192,$EG$205^A54,IF(A54='Données projet'!$A$192,'Données projet'!$B$192,EJ53+EI54-ER53)))</f>
        <v>320.17307692307679</v>
      </c>
      <c r="EK54" s="17">
        <f>EJ54*VLOOKUP('Données projet'!$B$15,Paramètres!$A$1:$I$89,3,0)*VLOOKUP('Données projet'!$B$15,Paramètres!$A$1:$I$89,5,0)</f>
        <v>191.46349999999995</v>
      </c>
      <c r="EL54" s="13">
        <f t="shared" si="45"/>
        <v>47.863367286908087</v>
      </c>
      <c r="EM54" s="20">
        <f t="shared" si="19"/>
        <v>416.82762719136485</v>
      </c>
      <c r="EN54" s="59">
        <f t="shared" si="20"/>
        <v>710.16096052469811</v>
      </c>
      <c r="EO54" s="59">
        <f ca="1">AVERAGE(OFFSET($EN$3,0,0,'Données projet'!$E$15+1,1))-AVERAGE(OFFSET($H$3,0,0,'Données projet'!$E$15+1,1))</f>
        <v>247.31680974612766</v>
      </c>
      <c r="EP54" s="59">
        <f t="shared" si="46"/>
        <v>257.13949761071882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33.7149813713648</v>
      </c>
      <c r="EW54" s="21">
        <f>EXP(-LN(2)/25)*EW53+(1-EXP(-LN(2)/25))/(LN(2)/25)*Calculateur!ER54*Calculateur!ET54*VLOOKUP('Données projet'!$B$15,Paramètres!$A$1:$I$89,3,0)*0.475*44/12</f>
        <v>15.484332926608651</v>
      </c>
      <c r="EX54" s="21">
        <f>EXP(-LN(2)/2)*EX53+(1-EXP(-LN(2)/2))/(LN(2)/2)*ER54*EU54*VLOOKUP('Données projet'!$B$15,Paramètres!$A$1:$I$89,3,0)*0.475*44/12</f>
        <v>0.54437375091868601</v>
      </c>
      <c r="EY54" s="22">
        <f t="shared" si="21"/>
        <v>49.743688048892139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9.2476799999999919</v>
      </c>
      <c r="D55" s="11">
        <f t="shared" si="32"/>
        <v>3.2895662786782052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19.35574864076634</v>
      </c>
      <c r="H55" s="67">
        <f t="shared" si="1"/>
        <v>278.50237060203119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10.763461538461542</v>
      </c>
      <c r="N55" s="13">
        <f>IF('Données projet'!$A$36&gt;35,N54+M55-V54,IF(A55&lt;'Données projet'!$A$36,$K$205^A55,IF(A55='Données projet'!$A$36,'Données projet'!$B$36,N54+M55-V54)))</f>
        <v>232.29423076923064</v>
      </c>
      <c r="O55" s="13">
        <f>N55*VLOOKUP('Données projet'!$B$9,Paramètres!$A$1:$I$89,3,0)*VLOOKUP('Données projet'!$B$9,Paramètres!$A$1:$I$89,5,0)</f>
        <v>108.71369999999995</v>
      </c>
      <c r="P55" s="13">
        <f t="shared" si="33"/>
        <v>29.027715101649999</v>
      </c>
      <c r="Q55" s="20">
        <f t="shared" si="53"/>
        <v>239.89963130204032</v>
      </c>
      <c r="R55" s="59">
        <f t="shared" si="0"/>
        <v>533.23296463537361</v>
      </c>
      <c r="S55" s="59">
        <f ca="1">AVERAGE(OFFSET($R$3,0,0,'Données projet'!$E$9+1,1))-AVERAGE(OFFSET($H$3,0,0,'Données projet'!$E$9+1,1))</f>
        <v>223.99456146593315</v>
      </c>
      <c r="T55" s="59">
        <f t="shared" si="34"/>
        <v>132.73290587325937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18.582519924392354</v>
      </c>
      <c r="AB55" s="21">
        <f>EXP(-LN(2)/2)*AB54+(1-EXP(-LN(2)/2))/(LN(2)/2)*V55*Y55*VLOOKUP('Données projet'!$B$9,Paramètres!$A$1:$I$89,3,0)*0.475*44/12</f>
        <v>16.536869912202441</v>
      </c>
      <c r="AC55" s="22">
        <f t="shared" si="3"/>
        <v>35.119389836594792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6.4</v>
      </c>
      <c r="AI55" s="13">
        <f>IF('Données projet'!$A$62&gt;35,AI54+AH55-AQ54,IF(A55&lt;'Données projet'!$A$62,$AF$205^A55,IF(A55='Données projet'!$A$62,'Données projet'!$B$62,AI54+AH55-AQ54)))</f>
        <v>203.80000000000007</v>
      </c>
      <c r="AJ55" s="13">
        <f>AI55*VLOOKUP('Données projet'!$B$10,Paramètres!$A$1:$I$89,3,0)*VLOOKUP('Données projet'!$B$10,Paramètres!$A$1:$I$89,5,0)</f>
        <v>133.52976000000007</v>
      </c>
      <c r="AK55" s="13">
        <f t="shared" si="35"/>
        <v>34.810707184454238</v>
      </c>
      <c r="AL55" s="20">
        <f t="shared" si="4"/>
        <v>293.19298034625791</v>
      </c>
      <c r="AM55" s="59">
        <f t="shared" si="5"/>
        <v>586.52631367959123</v>
      </c>
      <c r="AN55" s="59">
        <f ca="1">AVERAGE(OFFSET($AM$3,0,0,'Données projet'!$E$10+1,1))-AVERAGE(OFFSET($H$3,0,0,'Données projet'!$E$10+1,1))</f>
        <v>244.43587473734613</v>
      </c>
      <c r="AO55" s="59">
        <f t="shared" si="36"/>
        <v>256.80261402149375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5.9472859681676606</v>
      </c>
      <c r="AW55" s="21">
        <f>EXP(-LN(2)/2)*AW54+(1-EXP(-LN(2)/2))/(LN(2)/2)*AQ55*AT55*VLOOKUP('Données projet'!$B$10,Paramètres!$A$1:$I$89,3,0)*0.475*44/12</f>
        <v>2.7230287608469892</v>
      </c>
      <c r="AX55" s="21">
        <f t="shared" si="6"/>
        <v>8.6703147290146489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13.8</v>
      </c>
      <c r="BD55" s="12">
        <f>IF('Données projet'!$A$88&gt;35,BD54+BC55-BL54,IF(A55&lt;'Données projet'!$A$88,$BA$205^A55,IF(A55='Données projet'!$A$88,'Données projet'!$B$88,BD54+BC55-BL54)))</f>
        <v>608.59999999999968</v>
      </c>
      <c r="BE55" s="13">
        <f>BD55*VLOOKUP('Données projet'!$B$11,Paramètres!$A$1:$I$89,3,0)*VLOOKUP('Données projet'!$B$11,Paramètres!$A$1:$I$89,5,0)</f>
        <v>340.20739999999984</v>
      </c>
      <c r="BF55" s="13">
        <f t="shared" si="37"/>
        <v>79.542795053996059</v>
      </c>
      <c r="BG55" s="20">
        <f t="shared" si="7"/>
        <v>731.06492305237623</v>
      </c>
      <c r="BH55" s="59">
        <f t="shared" si="8"/>
        <v>1024.3982563857096</v>
      </c>
      <c r="BI55" s="59">
        <f ca="1">AVERAGE(OFFSET($BH$3,0,0,'Données projet'!$E$11+1,1))-AVERAGE(OFFSET($H$3,0,0,'Données projet'!$E$11+1,1))</f>
        <v>430.60186171079067</v>
      </c>
      <c r="BJ55" s="59">
        <f t="shared" si="38"/>
        <v>533.76627289533985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69.822958749841931</v>
      </c>
      <c r="BQ55" s="21">
        <f>EXP(-LN(2)/25)*BQ54+(1-EXP(-LN(2)/25))/(LN(2)/25)*Calculateur!BL55*Calculateur!BN55*VLOOKUP('Données projet'!$B$11,Paramètres!$A$1:$I$89,3,0)*0.475*44/12</f>
        <v>21.085280418524174</v>
      </c>
      <c r="BR55" s="21">
        <f>EXP(-LN(2)/2)*BR54+(1-EXP(-LN(2)/2))/(LN(2)/2)*BL55*BO55*VLOOKUP('Données projet'!$B$11,Paramètres!$A$1:$I$89,3,0)*0.475*44/12</f>
        <v>2.6058672208573292</v>
      </c>
      <c r="BS55" s="22">
        <f t="shared" si="9"/>
        <v>93.514106389223443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8.9376923076922985</v>
      </c>
      <c r="BY55" s="12">
        <f>IF('Données projet'!$A$114&gt;35,BY54+BX55-CG54,IF(A55&lt;'Données projet'!$A$114,$BV$205^A55,IF(A55='Données projet'!$A$114,'Données projet'!$B$114,BY54+BX55-CG54)))</f>
        <v>203.80615384615382</v>
      </c>
      <c r="BZ55" s="13">
        <f>BY55*VLOOKUP('Données projet'!$B$12,Paramètres!$A$1:$I$89,3,0)*VLOOKUP('Données projet'!$B$12,Paramètres!$A$1:$I$89,5,0)</f>
        <v>121.87607999999999</v>
      </c>
      <c r="CA55" s="13">
        <f t="shared" si="39"/>
        <v>32.112168303032924</v>
      </c>
      <c r="CB55" s="20">
        <f t="shared" si="10"/>
        <v>268.19619912778234</v>
      </c>
      <c r="CC55" s="59">
        <f t="shared" si="11"/>
        <v>561.52953246111565</v>
      </c>
      <c r="CD55" s="59">
        <f ca="1">AVERAGE(OFFSET($CC$3,0,0,'Données projet'!$E$12+1,1))-AVERAGE(OFFSET($H$3,0,0,'Données projet'!$E$12+1,1))</f>
        <v>215.89467197072673</v>
      </c>
      <c r="CE55" s="59">
        <f t="shared" si="40"/>
        <v>188.21397398859534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29.867040737186503</v>
      </c>
      <c r="CL55" s="21">
        <f>EXP(-LN(2)/25)*CL54+(1-EXP(-LN(2)/25))/(LN(2)/25)*Calculateur!CG55*Calculateur!CI55*VLOOKUP('Données projet'!$B$12,Paramètres!$A$1:$I$89,3,0)*0.475*44/12</f>
        <v>11.484673430550561</v>
      </c>
      <c r="CM55" s="21">
        <f>EXP(-LN(2)/2)*CM54+(1-EXP(-LN(2)/2))/(LN(2)/2)*CG55*CJ55*VLOOKUP('Données projet'!$B$12,Paramètres!$A$1:$I$89,3,0)*0.475*44/12</f>
        <v>2.5604554764549228</v>
      </c>
      <c r="CN55" s="22">
        <f t="shared" si="12"/>
        <v>43.912169644191991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3.5192307692307692</v>
      </c>
      <c r="CT55" s="12">
        <f>IF('Données projet'!$A$140&gt;35,CT54+CS55-DB54,IF(A55&lt;'Données projet'!$A$140,$CQ$205^A55,IF(A55='Données projet'!$A$140,'Données projet'!$B$140,CT54+CS55-DB54)))</f>
        <v>134.16666666666674</v>
      </c>
      <c r="CU55" s="17">
        <f>CT55*VLOOKUP('Données projet'!$B$13,Paramètres!$A$1:$I$89,3,0)*VLOOKUP('Données projet'!$B$13,Paramètres!$A$1:$I$89,5,0)</f>
        <v>136.04500000000007</v>
      </c>
      <c r="CV55" s="13">
        <f t="shared" si="41"/>
        <v>35.389464976859308</v>
      </c>
      <c r="CW55" s="20">
        <f t="shared" si="13"/>
        <v>298.58169316803009</v>
      </c>
      <c r="CX55" s="59">
        <f t="shared" si="14"/>
        <v>591.9150265013634</v>
      </c>
      <c r="CY55" s="59">
        <f ca="1">AVERAGE(OFFSET($CX$3,0,0,'Données projet'!$E$13+1,1))-AVERAGE(OFFSET($H$3,0,0,'Données projet'!$E$13+1,1))</f>
        <v>342.82846711287749</v>
      </c>
      <c r="CZ55" s="59">
        <f t="shared" si="42"/>
        <v>152.87724741106297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4.8</v>
      </c>
      <c r="DO55" s="12">
        <f>IF('Données projet'!$A$166&gt;35,DO54+DN55-DW54,IF(A55&lt;'Données projet'!$A$166,$DL$205^A55,IF(A55='Données projet'!$A$166,'Données projet'!$B$166,DO54+DN55-DW54)))</f>
        <v>170.59999999999997</v>
      </c>
      <c r="DP55" s="17">
        <f>DO55*VLOOKUP('Données projet'!$B$14,Paramètres!$A$1:$I$89,3,0)*VLOOKUP('Données projet'!$B$14,Paramètres!$A$1:$I$89,5,0)</f>
        <v>125.08391999999996</v>
      </c>
      <c r="DQ55" s="13">
        <f t="shared" si="43"/>
        <v>32.857861551507696</v>
      </c>
      <c r="DR55" s="20">
        <f t="shared" si="16"/>
        <v>275.08193620220914</v>
      </c>
      <c r="DS55" s="59">
        <f t="shared" si="17"/>
        <v>568.41526953554239</v>
      </c>
      <c r="DT55" s="59">
        <f ca="1">AVERAGE(OFFSET($DS$3,0,0,'Données projet'!$E$14+1,1))-AVERAGE(OFFSET($H$3,0,0,'Données projet'!$E$14+1,1))</f>
        <v>208.48147873805715</v>
      </c>
      <c r="DU55" s="59">
        <f t="shared" si="44"/>
        <v>209.50570914630686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2.2186168726328179</v>
      </c>
      <c r="EB55" s="21">
        <f>EXP(-LN(2)/25)*EB54+(1-EXP(-LN(2)/25))/(LN(2)/25)*Calculateur!DW55*Calculateur!DY55*VLOOKUP('Données projet'!$B$14,Paramètres!$A$1:$I$89,3,0)*0.475*44/12</f>
        <v>6.7586563444620307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8.977273217094849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331.81538461538463</v>
      </c>
      <c r="EH55" s="12">
        <f>VLOOKUP(A55,'Données projet'!$A$191:$I$211,9,0)</f>
        <v>11.642307692307696</v>
      </c>
      <c r="EI55" s="12">
        <f t="array" ref="EI55">INDEX(EH:EH,MIN(IF(ISNUMBER(EH55:EH251),ROW(EH55:EH251),"")))</f>
        <v>11.642307692307696</v>
      </c>
      <c r="EJ55" s="12">
        <f>IF('Données projet'!$A$192&gt;35,EJ54+EI55-ER54,IF(A55&lt;'Données projet'!$A$192,$EG$205^A55,IF(A55='Données projet'!$A$192,'Données projet'!$B$192,EJ54+EI55-ER54)))</f>
        <v>331.81538461538446</v>
      </c>
      <c r="EK55" s="17">
        <f>EJ55*VLOOKUP('Données projet'!$B$15,Paramètres!$A$1:$I$89,3,0)*VLOOKUP('Données projet'!$B$15,Paramètres!$A$1:$I$89,5,0)</f>
        <v>198.42559999999995</v>
      </c>
      <c r="EL55" s="13">
        <f t="shared" si="45"/>
        <v>49.398003268862659</v>
      </c>
      <c r="EM55" s="20">
        <f t="shared" si="19"/>
        <v>431.62610902660231</v>
      </c>
      <c r="EN55" s="59">
        <f t="shared" si="20"/>
        <v>724.95944235993557</v>
      </c>
      <c r="EO55" s="59">
        <f ca="1">AVERAGE(OFFSET($EN$3,0,0,'Données projet'!$E$15+1,1))-AVERAGE(OFFSET($H$3,0,0,'Données projet'!$E$15+1,1))</f>
        <v>247.31680974612766</v>
      </c>
      <c r="EP55" s="59">
        <f t="shared" si="46"/>
        <v>257.13949761071882</v>
      </c>
      <c r="EQ55" s="15">
        <f>IF(ISNA(VLOOKUP(A55,'Données projet'!$A$191:$I$211,3,0)),0,VLOOKUP(A55,'Données projet'!$A$191:$I$211,3,0))</f>
        <v>6</v>
      </c>
      <c r="ER55" s="15">
        <f>IF(ISNA(VLOOKUP(A55,'Données projet'!$A$191:$I$211,4,0)),0,VLOOKUP(A55,'Données projet'!$A$191:$I$211,4,0))</f>
        <v>61.784615384615378</v>
      </c>
      <c r="ES55" s="16">
        <f>IF(ISNA(VLOOKUP(A55,'Données projet'!$A$191:$I$211,5,0)),0%,VLOOKUP(A55,'Données projet'!$A$191:$I$211,5,0)*VLOOKUP('Données projet'!$B$15,Paramètres!$A$1:$I$89,7,0))</f>
        <v>0.315</v>
      </c>
      <c r="ET55" s="16">
        <f>IF(ISNA(VLOOKUP(A55,'Données projet'!$A$191:$I$211,6,0)),0%,VLOOKUP(A55,'Données projet'!$A$191:$I$211,6,0)*VLOOKUP('Données projet'!$B$15,Paramètres!$A$1:$I$89,7,0))</f>
        <v>7.5600000000000001E-2</v>
      </c>
      <c r="EU55" s="16">
        <f>IF(ISNA(VLOOKUP(A55,'Données projet'!$A$191:$I$211,7,0)),0%,VLOOKUP(A55,'Données projet'!$A$191:$I$211,7,0))</f>
        <v>0.13200000000000001</v>
      </c>
      <c r="EV55" s="21">
        <f>EXP(-LN(2)/35)*EV54+(1-EXP(-LN(2)/35))/(LN(2)/35)*ER55*ES55*VLOOKUP('Données projet'!$B$15,Paramètres!$A$1:$I$89,3,0)*0.475*44/12</f>
        <v>48.492896458905406</v>
      </c>
      <c r="EW55" s="21">
        <f>EXP(-LN(2)/25)*EW54+(1-EXP(-LN(2)/25))/(LN(2)/25)*Calculateur!ER55*Calculateur!ET55*VLOOKUP('Données projet'!$B$15,Paramètres!$A$1:$I$89,3,0)*0.475*44/12</f>
        <v>18.751694445407118</v>
      </c>
      <c r="EX55" s="21">
        <f>EXP(-LN(2)/2)*EX54+(1-EXP(-LN(2)/2))/(LN(2)/2)*ER55*EU55*VLOOKUP('Données projet'!$B$15,Paramètres!$A$1:$I$89,3,0)*0.475*44/12</f>
        <v>5.906861705672978</v>
      </c>
      <c r="EY55" s="22">
        <f t="shared" si="21"/>
        <v>73.151452609985512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9.4255199999999917</v>
      </c>
      <c r="D56" s="11">
        <f t="shared" si="32"/>
        <v>3.3454014822743274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19.716510358598953</v>
      </c>
      <c r="H56" s="67">
        <f t="shared" si="1"/>
        <v>278.90935491496111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10.763461538461542</v>
      </c>
      <c r="N56" s="13">
        <f>IF('Données projet'!$A$36&gt;35,N55+M56-V55,IF(A56&lt;'Données projet'!$A$36,$K$205^A56,IF(A56='Données projet'!$A$36,'Données projet'!$B$36,N55+M56-V55)))</f>
        <v>243.05769230769218</v>
      </c>
      <c r="O56" s="13">
        <f>N56*VLOOKUP('Données projet'!$B$9,Paramètres!$A$1:$I$89,3,0)*VLOOKUP('Données projet'!$B$9,Paramètres!$A$1:$I$89,5,0)</f>
        <v>113.75099999999993</v>
      </c>
      <c r="P56" s="13">
        <f t="shared" si="33"/>
        <v>30.213017355661915</v>
      </c>
      <c r="Q56" s="20">
        <f t="shared" si="53"/>
        <v>250.73733022777768</v>
      </c>
      <c r="R56" s="59">
        <f t="shared" si="0"/>
        <v>544.07066356111102</v>
      </c>
      <c r="S56" s="59">
        <f ca="1">AVERAGE(OFFSET($R$3,0,0,'Données projet'!$E$9+1,1))-AVERAGE(OFFSET($H$3,0,0,'Données projet'!$E$9+1,1))</f>
        <v>223.99456146593315</v>
      </c>
      <c r="T56" s="59">
        <f t="shared" si="34"/>
        <v>132.73290587325937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18.074379939847592</v>
      </c>
      <c r="AB56" s="21">
        <f>EXP(-LN(2)/2)*AB55+(1-EXP(-LN(2)/2))/(LN(2)/2)*V56*Y56*VLOOKUP('Données projet'!$B$9,Paramètres!$A$1:$I$89,3,0)*0.475*44/12</f>
        <v>11.693332854518134</v>
      </c>
      <c r="AC56" s="22">
        <f t="shared" si="3"/>
        <v>29.767712794365728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6.4</v>
      </c>
      <c r="AI56" s="13">
        <f>IF('Données projet'!$A$62&gt;35,AI55+AH56-AQ55,IF(A56&lt;'Données projet'!$A$62,$AF$205^A56,IF(A56='Données projet'!$A$62,'Données projet'!$B$62,AI55+AH56-AQ55)))</f>
        <v>210.20000000000007</v>
      </c>
      <c r="AJ56" s="13">
        <f>AI56*VLOOKUP('Données projet'!$B$10,Paramètres!$A$1:$I$89,3,0)*VLOOKUP('Données projet'!$B$10,Paramètres!$A$1:$I$89,5,0)</f>
        <v>137.72304000000005</v>
      </c>
      <c r="AK56" s="13">
        <f t="shared" si="35"/>
        <v>35.774889172094717</v>
      </c>
      <c r="AL56" s="20">
        <f t="shared" si="4"/>
        <v>302.1755599747317</v>
      </c>
      <c r="AM56" s="59">
        <f t="shared" si="5"/>
        <v>595.50889330806501</v>
      </c>
      <c r="AN56" s="59">
        <f ca="1">AVERAGE(OFFSET($AM$3,0,0,'Données projet'!$E$10+1,1))-AVERAGE(OFFSET($H$3,0,0,'Données projet'!$E$10+1,1))</f>
        <v>244.43587473734613</v>
      </c>
      <c r="AO56" s="59">
        <f t="shared" si="36"/>
        <v>256.80261402149375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5.7846571206139394</v>
      </c>
      <c r="AW56" s="21">
        <f>EXP(-LN(2)/2)*AW55+(1-EXP(-LN(2)/2))/(LN(2)/2)*AQ56*AT56*VLOOKUP('Données projet'!$B$10,Paramètres!$A$1:$I$89,3,0)*0.475*44/12</f>
        <v>1.9254721021609078</v>
      </c>
      <c r="AX56" s="21">
        <f t="shared" si="6"/>
        <v>7.7101292227748477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13.8</v>
      </c>
      <c r="BD56" s="12">
        <f>IF('Données projet'!$A$88&gt;35,BD55+BC56-BL55,IF(A56&lt;'Données projet'!$A$88,$BA$205^A56,IF(A56='Données projet'!$A$88,'Données projet'!$B$88,BD55+BC56-BL55)))</f>
        <v>622.39999999999964</v>
      </c>
      <c r="BE56" s="13">
        <f>BD56*VLOOKUP('Données projet'!$B$11,Paramètres!$A$1:$I$89,3,0)*VLOOKUP('Données projet'!$B$11,Paramètres!$A$1:$I$89,5,0)</f>
        <v>347.92159999999978</v>
      </c>
      <c r="BF56" s="13">
        <f t="shared" si="37"/>
        <v>81.134398856989449</v>
      </c>
      <c r="BG56" s="20">
        <f t="shared" si="7"/>
        <v>747.27253134258956</v>
      </c>
      <c r="BH56" s="59">
        <f t="shared" si="8"/>
        <v>1040.6058646759229</v>
      </c>
      <c r="BI56" s="59">
        <f ca="1">AVERAGE(OFFSET($BH$3,0,0,'Données projet'!$E$11+1,1))-AVERAGE(OFFSET($H$3,0,0,'Données projet'!$E$11+1,1))</f>
        <v>430.60186171079067</v>
      </c>
      <c r="BJ56" s="59">
        <f t="shared" si="38"/>
        <v>533.76627289533985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68.453773116557173</v>
      </c>
      <c r="BQ56" s="21">
        <f>EXP(-LN(2)/25)*BQ55+(1-EXP(-LN(2)/25))/(LN(2)/25)*Calculateur!BL56*Calculateur!BN56*VLOOKUP('Données projet'!$B$11,Paramètres!$A$1:$I$89,3,0)*0.475*44/12</f>
        <v>20.508702316652926</v>
      </c>
      <c r="BR56" s="21">
        <f>EXP(-LN(2)/2)*BR55+(1-EXP(-LN(2)/2))/(LN(2)/2)*BL56*BO56*VLOOKUP('Données projet'!$B$11,Paramètres!$A$1:$I$89,3,0)*0.475*44/12</f>
        <v>1.8426263827399603</v>
      </c>
      <c r="BS56" s="22">
        <f t="shared" si="9"/>
        <v>90.805101815950067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8.9376923076922985</v>
      </c>
      <c r="BY56" s="12">
        <f>IF('Données projet'!$A$114&gt;35,BY55+BX56-CG55,IF(A56&lt;'Données projet'!$A$114,$BV$205^A56,IF(A56='Données projet'!$A$114,'Données projet'!$B$114,BY55+BX56-CG55)))</f>
        <v>212.74384615384611</v>
      </c>
      <c r="BZ56" s="13">
        <f>BY56*VLOOKUP('Données projet'!$B$12,Paramètres!$A$1:$I$89,3,0)*VLOOKUP('Données projet'!$B$12,Paramètres!$A$1:$I$89,5,0)</f>
        <v>127.22081999999997</v>
      </c>
      <c r="CA56" s="13">
        <f t="shared" si="39"/>
        <v>33.353366983355436</v>
      </c>
      <c r="CB56" s="20">
        <f t="shared" si="10"/>
        <v>279.6667089960107</v>
      </c>
      <c r="CC56" s="59">
        <f t="shared" si="11"/>
        <v>573.00004232934407</v>
      </c>
      <c r="CD56" s="59">
        <f ca="1">AVERAGE(OFFSET($CC$3,0,0,'Données projet'!$E$12+1,1))-AVERAGE(OFFSET($H$3,0,0,'Données projet'!$E$12+1,1))</f>
        <v>215.89467197072673</v>
      </c>
      <c r="CE56" s="59">
        <f t="shared" si="40"/>
        <v>188.21397398859534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29.281366285426337</v>
      </c>
      <c r="CL56" s="21">
        <f>EXP(-LN(2)/25)*CL55+(1-EXP(-LN(2)/25))/(LN(2)/25)*Calculateur!CG56*Calculateur!CI56*VLOOKUP('Données projet'!$B$12,Paramètres!$A$1:$I$89,3,0)*0.475*44/12</f>
        <v>11.170624431639428</v>
      </c>
      <c r="CM56" s="21">
        <f>EXP(-LN(2)/2)*CM55+(1-EXP(-LN(2)/2))/(LN(2)/2)*CG56*CJ56*VLOOKUP('Données projet'!$B$12,Paramètres!$A$1:$I$89,3,0)*0.475*44/12</f>
        <v>1.8105154303275084</v>
      </c>
      <c r="CN56" s="22">
        <f t="shared" si="12"/>
        <v>42.262506147393275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3.5192307692307692</v>
      </c>
      <c r="CT56" s="12">
        <f>IF('Données projet'!$A$140&gt;35,CT55+CS56-DB55,IF(A56&lt;'Données projet'!$A$140,$CQ$205^A56,IF(A56='Données projet'!$A$140,'Données projet'!$B$140,CT55+CS56-DB55)))</f>
        <v>137.68589743589752</v>
      </c>
      <c r="CU56" s="17">
        <f>CT56*VLOOKUP('Données projet'!$B$13,Paramètres!$A$1:$I$89,3,0)*VLOOKUP('Données projet'!$B$13,Paramètres!$A$1:$I$89,5,0)</f>
        <v>139.6135000000001</v>
      </c>
      <c r="CV56" s="13">
        <f t="shared" si="41"/>
        <v>36.208449531467757</v>
      </c>
      <c r="CW56" s="20">
        <f t="shared" si="13"/>
        <v>306.22322876730647</v>
      </c>
      <c r="CX56" s="59">
        <f t="shared" si="14"/>
        <v>599.55656210063978</v>
      </c>
      <c r="CY56" s="59">
        <f ca="1">AVERAGE(OFFSET($CX$3,0,0,'Données projet'!$E$13+1,1))-AVERAGE(OFFSET($H$3,0,0,'Données projet'!$E$13+1,1))</f>
        <v>342.82846711287749</v>
      </c>
      <c r="CZ56" s="59">
        <f t="shared" si="42"/>
        <v>152.87724741106297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4.8</v>
      </c>
      <c r="DO56" s="12">
        <f>IF('Données projet'!$A$166&gt;35,DO55+DN56-DW55,IF(A56&lt;'Données projet'!$A$166,$DL$205^A56,IF(A56='Données projet'!$A$166,'Données projet'!$B$166,DO55+DN56-DW55)))</f>
        <v>175.39999999999998</v>
      </c>
      <c r="DP56" s="17">
        <f>DO56*VLOOKUP('Données projet'!$B$14,Paramètres!$A$1:$I$89,3,0)*VLOOKUP('Données projet'!$B$14,Paramètres!$A$1:$I$89,5,0)</f>
        <v>128.60327999999998</v>
      </c>
      <c r="DQ56" s="13">
        <f t="shared" si="43"/>
        <v>33.673415727367775</v>
      </c>
      <c r="DR56" s="20">
        <f t="shared" si="16"/>
        <v>282.63191172516548</v>
      </c>
      <c r="DS56" s="59">
        <f t="shared" si="17"/>
        <v>575.96524505849879</v>
      </c>
      <c r="DT56" s="59">
        <f ca="1">AVERAGE(OFFSET($DS$3,0,0,'Données projet'!$E$14+1,1))-AVERAGE(OFFSET($H$3,0,0,'Données projet'!$E$14+1,1))</f>
        <v>208.48147873805715</v>
      </c>
      <c r="DU56" s="59">
        <f t="shared" si="44"/>
        <v>209.50570914630686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2.1751111489831612</v>
      </c>
      <c r="EB56" s="21">
        <f>EXP(-LN(2)/25)*EB55+(1-EXP(-LN(2)/25))/(LN(2)/25)*Calculateur!DW56*Calculateur!DY56*VLOOKUP('Données projet'!$B$14,Paramètres!$A$1:$I$89,3,0)*0.475*44/12</f>
        <v>6.5738405313004264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8.7489516802835876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10.433653846153845</v>
      </c>
      <c r="EJ56" s="12">
        <f>IF('Données projet'!$A$192&gt;35,EJ55+EI56-ER55,IF(A56&lt;'Données projet'!$A$192,$EG$205^A56,IF(A56='Données projet'!$A$192,'Données projet'!$B$192,EJ55+EI56-ER55)))</f>
        <v>280.46442307692291</v>
      </c>
      <c r="EK56" s="17">
        <f>EJ56*VLOOKUP('Données projet'!$B$15,Paramètres!$A$1:$I$89,3,0)*VLOOKUP('Données projet'!$B$15,Paramètres!$A$1:$I$89,5,0)</f>
        <v>167.71772499999992</v>
      </c>
      <c r="EL56" s="13">
        <f t="shared" si="45"/>
        <v>42.578468510426184</v>
      </c>
      <c r="EM56" s="20">
        <f t="shared" si="19"/>
        <v>366.26587036399206</v>
      </c>
      <c r="EN56" s="59">
        <f t="shared" si="20"/>
        <v>659.59920369732538</v>
      </c>
      <c r="EO56" s="59">
        <f ca="1">AVERAGE(OFFSET($EN$3,0,0,'Données projet'!$E$15+1,1))-AVERAGE(OFFSET($H$3,0,0,'Données projet'!$E$15+1,1))</f>
        <v>247.31680974612766</v>
      </c>
      <c r="EP56" s="59">
        <f t="shared" si="46"/>
        <v>257.13949761071882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47.541980337092554</v>
      </c>
      <c r="EW56" s="21">
        <f>EXP(-LN(2)/25)*EW55+(1-EXP(-LN(2)/25))/(LN(2)/25)*Calculateur!ER56*Calculateur!ET56*VLOOKUP('Données projet'!$B$15,Paramètres!$A$1:$I$89,3,0)*0.475*44/12</f>
        <v>18.238928374688708</v>
      </c>
      <c r="EX56" s="21">
        <f>EXP(-LN(2)/2)*EX55+(1-EXP(-LN(2)/2))/(LN(2)/2)*ER56*EU56*VLOOKUP('Données projet'!$B$15,Paramètres!$A$1:$I$89,3,0)*0.475*44/12</f>
        <v>4.1767819676124995</v>
      </c>
      <c r="EY56" s="22">
        <f t="shared" si="21"/>
        <v>69.957690679393764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9.6033599999999915</v>
      </c>
      <c r="D57" s="11">
        <f t="shared" si="32"/>
        <v>3.4011141859974146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20.077082953820561</v>
      </c>
      <c r="H57" s="67">
        <f t="shared" si="1"/>
        <v>279.31612587394551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10.763461538461542</v>
      </c>
      <c r="N57" s="13">
        <f>IF('Données projet'!$A$36&gt;35,N56+M57-V56,IF(A57&lt;'Données projet'!$A$36,$K$205^A57,IF(A57='Données projet'!$A$36,'Données projet'!$B$36,N56+M57-V56)))</f>
        <v>253.82115384615372</v>
      </c>
      <c r="O57" s="13">
        <f>N57*VLOOKUP('Données projet'!$B$9,Paramètres!$A$1:$I$89,3,0)*VLOOKUP('Données projet'!$B$9,Paramètres!$A$1:$I$89,5,0)</f>
        <v>118.78829999999994</v>
      </c>
      <c r="P57" s="13">
        <f t="shared" si="33"/>
        <v>31.392223457890381</v>
      </c>
      <c r="Q57" s="20">
        <f t="shared" si="53"/>
        <v>261.56441168915899</v>
      </c>
      <c r="R57" s="59">
        <f t="shared" si="0"/>
        <v>554.89774502249224</v>
      </c>
      <c r="S57" s="59">
        <f ca="1">AVERAGE(OFFSET($R$3,0,0,'Données projet'!$E$9+1,1))-AVERAGE(OFFSET($H$3,0,0,'Données projet'!$E$9+1,1))</f>
        <v>223.99456146593315</v>
      </c>
      <c r="T57" s="59">
        <f t="shared" si="34"/>
        <v>132.73290587325937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17.580135069902127</v>
      </c>
      <c r="AB57" s="21">
        <f>EXP(-LN(2)/2)*AB56+(1-EXP(-LN(2)/2))/(LN(2)/2)*V57*Y57*VLOOKUP('Données projet'!$B$9,Paramètres!$A$1:$I$89,3,0)*0.475*44/12</f>
        <v>8.2684349561012223</v>
      </c>
      <c r="AC57" s="22">
        <f t="shared" si="3"/>
        <v>25.848570026003351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6.4</v>
      </c>
      <c r="AI57" s="13">
        <f>IF('Données projet'!$A$62&gt;35,AI56+AH57-AQ56,IF(A57&lt;'Données projet'!$A$62,$AF$205^A57,IF(A57='Données projet'!$A$62,'Données projet'!$B$62,AI56+AH57-AQ56)))</f>
        <v>216.60000000000008</v>
      </c>
      <c r="AJ57" s="13">
        <f>AI57*VLOOKUP('Données projet'!$B$10,Paramètres!$A$1:$I$89,3,0)*VLOOKUP('Données projet'!$B$10,Paramètres!$A$1:$I$89,5,0)</f>
        <v>141.91632000000007</v>
      </c>
      <c r="AK57" s="13">
        <f t="shared" si="35"/>
        <v>36.735659538535245</v>
      </c>
      <c r="AL57" s="20">
        <f t="shared" si="4"/>
        <v>311.15219769628237</v>
      </c>
      <c r="AM57" s="59">
        <f t="shared" si="5"/>
        <v>604.48553102961569</v>
      </c>
      <c r="AN57" s="59">
        <f ca="1">AVERAGE(OFFSET($AM$3,0,0,'Données projet'!$E$10+1,1))-AVERAGE(OFFSET($H$3,0,0,'Données projet'!$E$10+1,1))</f>
        <v>244.43587473734613</v>
      </c>
      <c r="AO57" s="59">
        <f t="shared" si="36"/>
        <v>256.80261402149375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5.6264753674488546</v>
      </c>
      <c r="AW57" s="21">
        <f>EXP(-LN(2)/2)*AW56+(1-EXP(-LN(2)/2))/(LN(2)/2)*AQ57*AT57*VLOOKUP('Données projet'!$B$10,Paramètres!$A$1:$I$89,3,0)*0.475*44/12</f>
        <v>1.3615143804234948</v>
      </c>
      <c r="AX57" s="21">
        <f t="shared" si="6"/>
        <v>6.9879897478723496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13.8</v>
      </c>
      <c r="BD57" s="12">
        <f>IF('Données projet'!$A$88&gt;35,BD56+BC57-BL56,IF(A57&lt;'Données projet'!$A$88,$BA$205^A57,IF(A57='Données projet'!$A$88,'Données projet'!$B$88,BD56+BC57-BL56)))</f>
        <v>636.19999999999959</v>
      </c>
      <c r="BE57" s="13">
        <f>BD57*VLOOKUP('Données projet'!$B$11,Paramètres!$A$1:$I$89,3,0)*VLOOKUP('Données projet'!$B$11,Paramètres!$A$1:$I$89,5,0)</f>
        <v>355.63579999999973</v>
      </c>
      <c r="BF57" s="13">
        <f t="shared" si="37"/>
        <v>82.721899912765039</v>
      </c>
      <c r="BG57" s="20">
        <f t="shared" si="7"/>
        <v>763.47299401473185</v>
      </c>
      <c r="BH57" s="59">
        <f t="shared" si="8"/>
        <v>1056.8063273480652</v>
      </c>
      <c r="BI57" s="59">
        <f ca="1">AVERAGE(OFFSET($BH$3,0,0,'Données projet'!$E$11+1,1))-AVERAGE(OFFSET($H$3,0,0,'Données projet'!$E$11+1,1))</f>
        <v>430.60186171079067</v>
      </c>
      <c r="BJ57" s="59">
        <f t="shared" si="38"/>
        <v>533.76627289533985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67.11143637842035</v>
      </c>
      <c r="BQ57" s="21">
        <f>EXP(-LN(2)/25)*BQ56+(1-EXP(-LN(2)/25))/(LN(2)/25)*Calculateur!BL57*Calculateur!BN57*VLOOKUP('Données projet'!$B$11,Paramètres!$A$1:$I$89,3,0)*0.475*44/12</f>
        <v>19.947890773298269</v>
      </c>
      <c r="BR57" s="21">
        <f>EXP(-LN(2)/2)*BR56+(1-EXP(-LN(2)/2))/(LN(2)/2)*BL57*BO57*VLOOKUP('Données projet'!$B$11,Paramètres!$A$1:$I$89,3,0)*0.475*44/12</f>
        <v>1.3029336104286648</v>
      </c>
      <c r="BS57" s="22">
        <f t="shared" si="9"/>
        <v>88.362260762147287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8.9376923076922985</v>
      </c>
      <c r="BY57" s="12">
        <f>IF('Données projet'!$A$114&gt;35,BY56+BX57-CG56,IF(A57&lt;'Données projet'!$A$114,$BV$205^A57,IF(A57='Données projet'!$A$114,'Données projet'!$B$114,BY56+BX57-CG56)))</f>
        <v>221.68153846153839</v>
      </c>
      <c r="BZ57" s="13">
        <f>BY57*VLOOKUP('Données projet'!$B$12,Paramètres!$A$1:$I$89,3,0)*VLOOKUP('Données projet'!$B$12,Paramètres!$A$1:$I$89,5,0)</f>
        <v>132.56555999999998</v>
      </c>
      <c r="CA57" s="13">
        <f t="shared" si="39"/>
        <v>34.588508962227628</v>
      </c>
      <c r="CB57" s="20">
        <f t="shared" si="10"/>
        <v>291.12667010921308</v>
      </c>
      <c r="CC57" s="59">
        <f t="shared" si="11"/>
        <v>584.46000344254639</v>
      </c>
      <c r="CD57" s="59">
        <f ca="1">AVERAGE(OFFSET($CC$3,0,0,'Données projet'!$E$12+1,1))-AVERAGE(OFFSET($H$3,0,0,'Données projet'!$E$12+1,1))</f>
        <v>215.89467197072673</v>
      </c>
      <c r="CE57" s="59">
        <f t="shared" si="40"/>
        <v>188.21397398859534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28.707176552439044</v>
      </c>
      <c r="CL57" s="21">
        <f>EXP(-LN(2)/25)*CL56+(1-EXP(-LN(2)/25))/(LN(2)/25)*Calculateur!CG57*Calculateur!CI57*VLOOKUP('Données projet'!$B$12,Paramètres!$A$1:$I$89,3,0)*0.475*44/12</f>
        <v>10.865163119118639</v>
      </c>
      <c r="CM57" s="21">
        <f>EXP(-LN(2)/2)*CM56+(1-EXP(-LN(2)/2))/(LN(2)/2)*CG57*CJ57*VLOOKUP('Données projet'!$B$12,Paramètres!$A$1:$I$89,3,0)*0.475*44/12</f>
        <v>1.2802277382274614</v>
      </c>
      <c r="CN57" s="22">
        <f t="shared" si="12"/>
        <v>40.852567409785145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3.5192307692307692</v>
      </c>
      <c r="CT57" s="12">
        <f>IF('Données projet'!$A$140&gt;35,CT56+CS57-DB56,IF(A57&lt;'Données projet'!$A$140,$CQ$205^A57,IF(A57='Données projet'!$A$140,'Données projet'!$B$140,CT56+CS57-DB56)))</f>
        <v>141.20512820512829</v>
      </c>
      <c r="CU57" s="17">
        <f>CT57*VLOOKUP('Données projet'!$B$13,Paramètres!$A$1:$I$89,3,0)*VLOOKUP('Données projet'!$B$13,Paramètres!$A$1:$I$89,5,0)</f>
        <v>143.1820000000001</v>
      </c>
      <c r="CV57" s="13">
        <f t="shared" si="41"/>
        <v>37.025000811796531</v>
      </c>
      <c r="CW57" s="20">
        <f t="shared" si="13"/>
        <v>313.86052641387914</v>
      </c>
      <c r="CX57" s="59">
        <f t="shared" si="14"/>
        <v>607.1938597472124</v>
      </c>
      <c r="CY57" s="59">
        <f ca="1">AVERAGE(OFFSET($CX$3,0,0,'Données projet'!$E$13+1,1))-AVERAGE(OFFSET($H$3,0,0,'Données projet'!$E$13+1,1))</f>
        <v>342.82846711287749</v>
      </c>
      <c r="CZ57" s="59">
        <f t="shared" si="42"/>
        <v>152.87724741106297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4.8</v>
      </c>
      <c r="DO57" s="12">
        <f>IF('Données projet'!$A$166&gt;35,DO56+DN57-DW56,IF(A57&lt;'Données projet'!$A$166,$DL$205^A57,IF(A57='Données projet'!$A$166,'Données projet'!$B$166,DO56+DN57-DW56)))</f>
        <v>180.2</v>
      </c>
      <c r="DP57" s="17">
        <f>DO57*VLOOKUP('Données projet'!$B$14,Paramètres!$A$1:$I$89,3,0)*VLOOKUP('Données projet'!$B$14,Paramètres!$A$1:$I$89,5,0)</f>
        <v>132.12263999999999</v>
      </c>
      <c r="DQ57" s="13">
        <f t="shared" si="43"/>
        <v>34.486375824149697</v>
      </c>
      <c r="DR57" s="20">
        <f t="shared" si="16"/>
        <v>290.17736922706069</v>
      </c>
      <c r="DS57" s="59">
        <f t="shared" si="17"/>
        <v>583.51070256039407</v>
      </c>
      <c r="DT57" s="59">
        <f ca="1">AVERAGE(OFFSET($DS$3,0,0,'Données projet'!$E$14+1,1))-AVERAGE(OFFSET($H$3,0,0,'Données projet'!$E$14+1,1))</f>
        <v>208.48147873805715</v>
      </c>
      <c r="DU57" s="59">
        <f t="shared" si="44"/>
        <v>209.50570914630686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2.1324585460384027</v>
      </c>
      <c r="EB57" s="21">
        <f>EXP(-LN(2)/25)*EB56+(1-EXP(-LN(2)/25))/(LN(2)/25)*Calculateur!DW57*Calculateur!DY57*VLOOKUP('Données projet'!$B$14,Paramètres!$A$1:$I$89,3,0)*0.475*44/12</f>
        <v>6.3940785162687677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8.5265370623071703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10.433653846153845</v>
      </c>
      <c r="EJ57" s="12">
        <f>IF('Données projet'!$A$192&gt;35,EJ56+EI57-ER56,IF(A57&lt;'Données projet'!$A$192,$EG$205^A57,IF(A57='Données projet'!$A$192,'Données projet'!$B$192,EJ56+EI57-ER56)))</f>
        <v>290.89807692307676</v>
      </c>
      <c r="EK57" s="17">
        <f>EJ57*VLOOKUP('Données projet'!$B$15,Paramètres!$A$1:$I$89,3,0)*VLOOKUP('Données projet'!$B$15,Paramètres!$A$1:$I$89,5,0)</f>
        <v>173.95704999999992</v>
      </c>
      <c r="EL57" s="13">
        <f t="shared" si="45"/>
        <v>43.975080818549294</v>
      </c>
      <c r="EM57" s="20">
        <f t="shared" si="19"/>
        <v>379.56512784230654</v>
      </c>
      <c r="EN57" s="59">
        <f t="shared" si="20"/>
        <v>672.8984611756398</v>
      </c>
      <c r="EO57" s="59">
        <f ca="1">AVERAGE(OFFSET($EN$3,0,0,'Données projet'!$E$15+1,1))-AVERAGE(OFFSET($H$3,0,0,'Données projet'!$E$15+1,1))</f>
        <v>247.31680974612766</v>
      </c>
      <c r="EP57" s="59">
        <f t="shared" si="46"/>
        <v>257.13949761071882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46.609711100426885</v>
      </c>
      <c r="EW57" s="21">
        <f>EXP(-LN(2)/25)*EW56+(1-EXP(-LN(2)/25))/(LN(2)/25)*Calculateur!ER57*Calculateur!ET57*VLOOKUP('Données projet'!$B$15,Paramètres!$A$1:$I$89,3,0)*0.475*44/12</f>
        <v>17.740183919139287</v>
      </c>
      <c r="EX57" s="21">
        <f>EXP(-LN(2)/2)*EX56+(1-EXP(-LN(2)/2))/(LN(2)/2)*ER57*EU57*VLOOKUP('Données projet'!$B$15,Paramètres!$A$1:$I$89,3,0)*0.475*44/12</f>
        <v>2.9534308528364894</v>
      </c>
      <c r="EY57" s="22">
        <f t="shared" si="21"/>
        <v>67.303325872402667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9.7811999999999912</v>
      </c>
      <c r="D58" s="11">
        <f t="shared" si="32"/>
        <v>3.4567069199829872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20.437470332605304</v>
      </c>
      <c r="H58" s="67">
        <f t="shared" si="1"/>
        <v>279.72268788563701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10.763461538461542</v>
      </c>
      <c r="N58" s="13">
        <f>IF('Données projet'!$A$36&gt;35,N57+M58-V57,IF(A58&lt;'Données projet'!$A$36,$K$205^A58,IF(A58='Données projet'!$A$36,'Données projet'!$B$36,N57+M58-V57)))</f>
        <v>264.58461538461529</v>
      </c>
      <c r="O58" s="13">
        <f>N58*VLOOKUP('Données projet'!$B$9,Paramètres!$A$1:$I$89,3,0)*VLOOKUP('Données projet'!$B$9,Paramètres!$A$1:$I$89,5,0)</f>
        <v>123.82559999999997</v>
      </c>
      <c r="P58" s="13">
        <f t="shared" si="33"/>
        <v>32.565621475657444</v>
      </c>
      <c r="Q58" s="20">
        <f t="shared" si="53"/>
        <v>272.38137740343666</v>
      </c>
      <c r="R58" s="59">
        <f t="shared" si="0"/>
        <v>565.71471073677003</v>
      </c>
      <c r="S58" s="59">
        <f ca="1">AVERAGE(OFFSET($R$3,0,0,'Données projet'!$E$9+1,1))-AVERAGE(OFFSET($H$3,0,0,'Données projet'!$E$9+1,1))</f>
        <v>223.99456146593315</v>
      </c>
      <c r="T58" s="59">
        <f t="shared" si="34"/>
        <v>132.73290587325937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17.099405351916531</v>
      </c>
      <c r="AB58" s="21">
        <f>EXP(-LN(2)/2)*AB57+(1-EXP(-LN(2)/2))/(LN(2)/2)*V58*Y58*VLOOKUP('Données projet'!$B$9,Paramètres!$A$1:$I$89,3,0)*0.475*44/12</f>
        <v>5.846666427259068</v>
      </c>
      <c r="AC58" s="22">
        <f t="shared" si="3"/>
        <v>22.946071779175597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223</v>
      </c>
      <c r="AG58" s="12">
        <f>VLOOKUP(A58,'Données projet'!$A$61:$I$81,9,0)</f>
        <v>6.4</v>
      </c>
      <c r="AH58" s="12">
        <f t="array" ref="AH58">INDEX(AG:AG,MIN(IF(ISNUMBER(AG58:AG254),ROW(AG58:AG254),"")))</f>
        <v>6.4</v>
      </c>
      <c r="AI58" s="13">
        <f>IF('Données projet'!$A$62&gt;35,AI57+AH58-AQ57,IF(A58&lt;'Données projet'!$A$62,$AF$205^A58,IF(A58='Données projet'!$A$62,'Données projet'!$B$62,AI57+AH58-AQ57)))</f>
        <v>223.00000000000009</v>
      </c>
      <c r="AJ58" s="13">
        <f>AI58*VLOOKUP('Données projet'!$B$10,Paramètres!$A$1:$I$89,3,0)*VLOOKUP('Données projet'!$B$10,Paramètres!$A$1:$I$89,5,0)</f>
        <v>146.10960000000006</v>
      </c>
      <c r="AK58" s="13">
        <f t="shared" si="35"/>
        <v>37.693130662388469</v>
      </c>
      <c r="AL58" s="20">
        <f t="shared" si="4"/>
        <v>320.12308923699328</v>
      </c>
      <c r="AM58" s="59">
        <f t="shared" si="5"/>
        <v>613.45642257032659</v>
      </c>
      <c r="AN58" s="59">
        <f ca="1">AVERAGE(OFFSET($AM$3,0,0,'Données projet'!$E$10+1,1))-AVERAGE(OFFSET($H$3,0,0,'Données projet'!$E$10+1,1))</f>
        <v>244.43587473734613</v>
      </c>
      <c r="AO58" s="59">
        <f t="shared" si="36"/>
        <v>256.80261402149375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23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0.129</v>
      </c>
      <c r="AT58" s="16">
        <f>IF(ISNA(VLOOKUP(A58,'Données projet'!$A$61:$I$81,7,0)),0%,VLOOKUP(A58,'Données projet'!$A$61:$I$81,7,0))</f>
        <v>0.3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7.6131681689625221</v>
      </c>
      <c r="AW58" s="21">
        <f>EXP(-LN(2)/2)*AW57+(1-EXP(-LN(2)/2))/(LN(2)/2)*AQ58*AT58*VLOOKUP('Données projet'!$B$10,Paramètres!$A$1:$I$89,3,0)*0.475*44/12</f>
        <v>5.2283080087816618</v>
      </c>
      <c r="AX58" s="21">
        <f t="shared" si="6"/>
        <v>12.841476177744184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650</v>
      </c>
      <c r="BB58" s="12">
        <f>VLOOKUP(A58,'Données projet'!$A$87:$I$107,9,0)</f>
        <v>13.8</v>
      </c>
      <c r="BC58" s="12">
        <f t="array" ref="BC58">INDEX(BB:BB,MIN(IF(ISNUMBER(BB58:BB254),ROW(BB58:BB254),"")))</f>
        <v>13.8</v>
      </c>
      <c r="BD58" s="12">
        <f>IF('Données projet'!$A$88&gt;35,BD57+BC58-BL57,IF(A58&lt;'Données projet'!$A$88,$BA$205^A58,IF(A58='Données projet'!$A$88,'Données projet'!$B$88,BD57+BC58-BL57)))</f>
        <v>649.99999999999955</v>
      </c>
      <c r="BE58" s="13">
        <f>BD58*VLOOKUP('Données projet'!$B$11,Paramètres!$A$1:$I$89,3,0)*VLOOKUP('Données projet'!$B$11,Paramètres!$A$1:$I$89,5,0)</f>
        <v>363.34999999999974</v>
      </c>
      <c r="BF58" s="13">
        <f t="shared" si="37"/>
        <v>84.305397464498199</v>
      </c>
      <c r="BG58" s="20">
        <f t="shared" si="7"/>
        <v>779.66648391733395</v>
      </c>
      <c r="BH58" s="59">
        <f t="shared" si="8"/>
        <v>1072.9998172506673</v>
      </c>
      <c r="BI58" s="59">
        <f ca="1">AVERAGE(OFFSET($BH$3,0,0,'Données projet'!$E$11+1,1))-AVERAGE(OFFSET($H$3,0,0,'Données projet'!$E$11+1,1))</f>
        <v>430.60186171079067</v>
      </c>
      <c r="BJ58" s="59">
        <f t="shared" si="38"/>
        <v>533.76627289533985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35</v>
      </c>
      <c r="BM58" s="16">
        <f>IF(ISNA(VLOOKUP(A58,'Données projet'!$A$87:$I$107,5,0)),0%,VLOOKUP(A58,'Données projet'!$A$87:$I$107,5,0)*VLOOKUP('Données projet'!$B$11,Paramètres!$A$1:$I$89,7,0))</f>
        <v>0.38500000000000001</v>
      </c>
      <c r="BN58" s="16">
        <f>IF(ISNA(VLOOKUP(A58,'Données projet'!$A$87:$I$107,6,0)),0%,VLOOKUP(A58,'Données projet'!$A$87:$I$107,6,0)*VLOOKUP('Données projet'!$B$11,Paramètres!$A$1:$I$89,7,0))</f>
        <v>9.240000000000001E-2</v>
      </c>
      <c r="BO58" s="16">
        <f>IF(ISNA(VLOOKUP(A58,'Données projet'!$A$87:$I$107,7,0)),0%,VLOOKUP(A58,'Données projet'!$A$87:$I$107,7,0))</f>
        <v>0.13200000000000001</v>
      </c>
      <c r="BP58" s="21">
        <f>EXP(-LN(2)/35)*BP57+(1-EXP(-LN(2)/35))/(LN(2)/35)*BL58*BM58*VLOOKUP('Données projet'!$B$11,Paramètres!$A$1:$I$89,3,0)*0.475*44/12</f>
        <v>75.787801969683557</v>
      </c>
      <c r="BQ58" s="21">
        <f>EXP(-LN(2)/25)*BQ57+(1-EXP(-LN(2)/25))/(LN(2)/25)*Calculateur!BL58*Calculateur!BN58*VLOOKUP('Données projet'!$B$11,Paramètres!$A$1:$I$89,3,0)*0.475*44/12</f>
        <v>21.791143319300659</v>
      </c>
      <c r="BR58" s="21">
        <f>EXP(-LN(2)/2)*BR57+(1-EXP(-LN(2)/2))/(LN(2)/2)*BL58*BO58*VLOOKUP('Données projet'!$B$11,Paramètres!$A$1:$I$89,3,0)*0.475*44/12</f>
        <v>3.8453936783158809</v>
      </c>
      <c r="BS58" s="22">
        <f t="shared" si="9"/>
        <v>101.4243389673001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8.9376923076922985</v>
      </c>
      <c r="BY58" s="12">
        <f>IF('Données projet'!$A$114&gt;35,BY57+BX58-CG57,IF(A58&lt;'Données projet'!$A$114,$BV$205^A58,IF(A58='Données projet'!$A$114,'Données projet'!$B$114,BY57+BX58-CG57)))</f>
        <v>230.61923076923068</v>
      </c>
      <c r="BZ58" s="13">
        <f>BY58*VLOOKUP('Données projet'!$B$12,Paramètres!$A$1:$I$89,3,0)*VLOOKUP('Données projet'!$B$12,Paramètres!$A$1:$I$89,5,0)</f>
        <v>137.91029999999995</v>
      </c>
      <c r="CA58" s="13">
        <f t="shared" si="39"/>
        <v>35.81786636755119</v>
      </c>
      <c r="CB58" s="20">
        <f t="shared" si="10"/>
        <v>302.57655642348487</v>
      </c>
      <c r="CC58" s="59">
        <f t="shared" si="11"/>
        <v>595.90988975681819</v>
      </c>
      <c r="CD58" s="59">
        <f ca="1">AVERAGE(OFFSET($CC$3,0,0,'Données projet'!$E$12+1,1))-AVERAGE(OFFSET($H$3,0,0,'Données projet'!$E$12+1,1))</f>
        <v>215.89467197072673</v>
      </c>
      <c r="CE58" s="59">
        <f t="shared" si="40"/>
        <v>188.21397398859534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28.144246329894479</v>
      </c>
      <c r="CL58" s="21">
        <f>EXP(-LN(2)/25)*CL57+(1-EXP(-LN(2)/25))/(LN(2)/25)*Calculateur!CG58*Calculateur!CI58*VLOOKUP('Données projet'!$B$12,Paramètres!$A$1:$I$89,3,0)*0.475*44/12</f>
        <v>10.568054662252244</v>
      </c>
      <c r="CM58" s="21">
        <f>EXP(-LN(2)/2)*CM57+(1-EXP(-LN(2)/2))/(LN(2)/2)*CG58*CJ58*VLOOKUP('Données projet'!$B$12,Paramètres!$A$1:$I$89,3,0)*0.475*44/12</f>
        <v>0.9052577151637542</v>
      </c>
      <c r="CN58" s="22">
        <f t="shared" si="12"/>
        <v>39.617558707310479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3.5192307692307692</v>
      </c>
      <c r="CT58" s="12">
        <f>IF('Données projet'!$A$140&gt;35,CT57+CS58-DB57,IF(A58&lt;'Données projet'!$A$140,$CQ$205^A58,IF(A58='Données projet'!$A$140,'Données projet'!$B$140,CT57+CS58-DB57)))</f>
        <v>144.72435897435906</v>
      </c>
      <c r="CU58" s="17">
        <f>CT58*VLOOKUP('Données projet'!$B$13,Paramètres!$A$1:$I$89,3,0)*VLOOKUP('Données projet'!$B$13,Paramètres!$A$1:$I$89,5,0)</f>
        <v>146.7505000000001</v>
      </c>
      <c r="CV58" s="13">
        <f t="shared" si="41"/>
        <v>37.839186436937808</v>
      </c>
      <c r="CW58" s="20">
        <f t="shared" si="13"/>
        <v>321.49370387766686</v>
      </c>
      <c r="CX58" s="59">
        <f t="shared" si="14"/>
        <v>614.82703721100017</v>
      </c>
      <c r="CY58" s="59">
        <f ca="1">AVERAGE(OFFSET($CX$3,0,0,'Données projet'!$E$13+1,1))-AVERAGE(OFFSET($H$3,0,0,'Données projet'!$E$13+1,1))</f>
        <v>342.82846711287749</v>
      </c>
      <c r="CZ58" s="59">
        <f t="shared" si="42"/>
        <v>152.87724741106297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185</v>
      </c>
      <c r="DM58" s="12">
        <f>VLOOKUP(A58,'Données projet'!$A$165:$I$185,9,0)</f>
        <v>4.8</v>
      </c>
      <c r="DN58" s="12">
        <f t="array" ref="DN58">INDEX(DM:DM,MIN(IF(ISNUMBER(DM58:DM254),ROW(DM58:DM254),"")))</f>
        <v>4.8</v>
      </c>
      <c r="DO58" s="12">
        <f>IF('Données projet'!$A$166&gt;35,DO57+DN58-DW57,IF(A58&lt;'Données projet'!$A$166,$DL$205^A58,IF(A58='Données projet'!$A$166,'Données projet'!$B$166,DO57+DN58-DW57)))</f>
        <v>185</v>
      </c>
      <c r="DP58" s="17">
        <f>DO58*VLOOKUP('Données projet'!$B$14,Paramètres!$A$1:$I$89,3,0)*VLOOKUP('Données projet'!$B$14,Paramètres!$A$1:$I$89,5,0)</f>
        <v>135.642</v>
      </c>
      <c r="DQ58" s="13">
        <f t="shared" si="43"/>
        <v>35.296818882581498</v>
      </c>
      <c r="DR58" s="20">
        <f t="shared" si="16"/>
        <v>297.71844288716278</v>
      </c>
      <c r="DS58" s="59">
        <f t="shared" si="17"/>
        <v>591.05177622049609</v>
      </c>
      <c r="DT58" s="59">
        <f ca="1">AVERAGE(OFFSET($DS$3,0,0,'Données projet'!$E$14+1,1))-AVERAGE(OFFSET($H$3,0,0,'Données projet'!$E$14+1,1))</f>
        <v>208.48147873805715</v>
      </c>
      <c r="DU58" s="59">
        <f t="shared" si="44"/>
        <v>209.50570914630686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11</v>
      </c>
      <c r="DX58" s="16">
        <f>IF(ISNA(VLOOKUP(A58,'Données projet'!$A$165:$I$185,5,0)),0%,VLOOKUP(A58,'Données projet'!$A$165:$I$185,5,0)*VLOOKUP('Données projet'!$B$14,Paramètres!$A$1:$I$89,7,0))</f>
        <v>0.15479999999999999</v>
      </c>
      <c r="DY58" s="16">
        <f>IF(ISNA(VLOOKUP(A58,'Données projet'!$A$165:$I$185,6,0)),0%,VLOOKUP(A58,'Données projet'!$A$165:$I$185,6,0)*VLOOKUP('Données projet'!$B$14,Paramètres!$A$1:$I$89,7,0))</f>
        <v>0.15479999999999999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3.4708143209572881</v>
      </c>
      <c r="EB58" s="21">
        <f>EXP(-LN(2)/25)*EB57+(1-EXP(-LN(2)/25))/(LN(2)/25)*Calculateur!DW58*Calculateur!DY58*VLOOKUP('Données projet'!$B$14,Paramètres!$A$1:$I$89,3,0)*0.475*44/12</f>
        <v>7.5939698263298814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11.06478414728717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10.433653846153845</v>
      </c>
      <c r="EJ58" s="12">
        <f>IF('Données projet'!$A$192&gt;35,EJ57+EI58-ER57,IF(A58&lt;'Données projet'!$A$192,$EG$205^A58,IF(A58='Données projet'!$A$192,'Données projet'!$B$192,EJ57+EI58-ER57)))</f>
        <v>301.3317307692306</v>
      </c>
      <c r="EK58" s="17">
        <f>EJ58*VLOOKUP('Données projet'!$B$15,Paramètres!$A$1:$I$89,3,0)*VLOOKUP('Données projet'!$B$15,Paramètres!$A$1:$I$89,5,0)</f>
        <v>180.1963749999999</v>
      </c>
      <c r="EL58" s="13">
        <f t="shared" si="45"/>
        <v>45.365873213127998</v>
      </c>
      <c r="EM58" s="20">
        <f t="shared" si="19"/>
        <v>392.85424897119771</v>
      </c>
      <c r="EN58" s="59">
        <f t="shared" si="20"/>
        <v>686.18758230453102</v>
      </c>
      <c r="EO58" s="59">
        <f ca="1">AVERAGE(OFFSET($EN$3,0,0,'Données projet'!$E$15+1,1))-AVERAGE(OFFSET($H$3,0,0,'Données projet'!$E$15+1,1))</f>
        <v>247.31680974612766</v>
      </c>
      <c r="EP58" s="59">
        <f t="shared" si="46"/>
        <v>257.13949761071882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45.695723094864142</v>
      </c>
      <c r="EW58" s="21">
        <f>EXP(-LN(2)/25)*EW57+(1-EXP(-LN(2)/25))/(LN(2)/25)*Calculateur!ER58*Calculateur!ET58*VLOOKUP('Données projet'!$B$15,Paramètres!$A$1:$I$89,3,0)*0.475*44/12</f>
        <v>17.255077656954697</v>
      </c>
      <c r="EX58" s="21">
        <f>EXP(-LN(2)/2)*EX57+(1-EXP(-LN(2)/2))/(LN(2)/2)*ER58*EU58*VLOOKUP('Données projet'!$B$15,Paramètres!$A$1:$I$89,3,0)*0.475*44/12</f>
        <v>2.0883909838062502</v>
      </c>
      <c r="EY58" s="22">
        <f t="shared" si="21"/>
        <v>65.039191735625096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9.959039999999991</v>
      </c>
      <c r="D59" s="11">
        <f t="shared" si="32"/>
        <v>3.512182117093861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20.797676250951916</v>
      </c>
      <c r="H59" s="67">
        <f t="shared" si="1"/>
        <v>280.1290451872718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10.763461538461542</v>
      </c>
      <c r="N59" s="13">
        <f>IF('Données projet'!$A$36&gt;35,N58+M59-V58,IF(A59&lt;'Données projet'!$A$36,$K$205^A59,IF(A59='Données projet'!$A$36,'Données projet'!$B$36,N58+M59-V58)))</f>
        <v>275.34807692307686</v>
      </c>
      <c r="O59" s="13">
        <f>N59*VLOOKUP('Données projet'!$B$9,Paramètres!$A$1:$I$89,3,0)*VLOOKUP('Données projet'!$B$9,Paramètres!$A$1:$I$89,5,0)</f>
        <v>128.86289999999997</v>
      </c>
      <c r="P59" s="13">
        <f t="shared" si="33"/>
        <v>33.733474712413404</v>
      </c>
      <c r="Q59" s="20">
        <f t="shared" si="53"/>
        <v>283.18868595745323</v>
      </c>
      <c r="R59" s="59">
        <f t="shared" si="0"/>
        <v>576.5220192907866</v>
      </c>
      <c r="S59" s="59">
        <f ca="1">AVERAGE(OFFSET($R$3,0,0,'Données projet'!$E$9+1,1))-AVERAGE(OFFSET($H$3,0,0,'Données projet'!$E$9+1,1))</f>
        <v>223.99456146593315</v>
      </c>
      <c r="T59" s="59">
        <f t="shared" si="34"/>
        <v>132.73290587325937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16.631821213349728</v>
      </c>
      <c r="AB59" s="21">
        <f>EXP(-LN(2)/2)*AB58+(1-EXP(-LN(2)/2))/(LN(2)/2)*V59*Y59*VLOOKUP('Données projet'!$B$9,Paramètres!$A$1:$I$89,3,0)*0.475*44/12</f>
        <v>4.134217478050612</v>
      </c>
      <c r="AC59" s="22">
        <f t="shared" si="3"/>
        <v>20.76603869140034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5.8</v>
      </c>
      <c r="AI59" s="13">
        <f>IF('Données projet'!$A$62&gt;35,AI58+AH59-AQ58,IF(A59&lt;'Données projet'!$A$62,$AF$205^A59,IF(A59='Données projet'!$A$62,'Données projet'!$B$62,AI58+AH59-AQ58)))</f>
        <v>205.8000000000001</v>
      </c>
      <c r="AJ59" s="13">
        <f>AI59*VLOOKUP('Données projet'!$B$10,Paramètres!$A$1:$I$89,3,0)*VLOOKUP('Données projet'!$B$10,Paramètres!$A$1:$I$89,5,0)</f>
        <v>134.84016000000005</v>
      </c>
      <c r="AK59" s="13">
        <f t="shared" si="35"/>
        <v>35.112387625030664</v>
      </c>
      <c r="AL59" s="20">
        <f t="shared" si="4"/>
        <v>296.00068711359518</v>
      </c>
      <c r="AM59" s="59">
        <f t="shared" si="5"/>
        <v>589.33402044692843</v>
      </c>
      <c r="AN59" s="59">
        <f ca="1">AVERAGE(OFFSET($AM$3,0,0,'Données projet'!$E$10+1,1))-AVERAGE(OFFSET($H$3,0,0,'Données projet'!$E$10+1,1))</f>
        <v>244.43587473734613</v>
      </c>
      <c r="AO59" s="59">
        <f t="shared" si="36"/>
        <v>256.80261402149375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7.4049856850231279</v>
      </c>
      <c r="AW59" s="21">
        <f>EXP(-LN(2)/2)*AW58+(1-EXP(-LN(2)/2))/(LN(2)/2)*AQ59*AT59*VLOOKUP('Données projet'!$B$10,Paramètres!$A$1:$I$89,3,0)*0.475*44/12</f>
        <v>3.6969720471414487</v>
      </c>
      <c r="AX59" s="21">
        <f t="shared" si="6"/>
        <v>11.101957732164577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10.199999999999999</v>
      </c>
      <c r="BD59" s="12">
        <f>IF('Données projet'!$A$88&gt;35,BD58+BC59-BL58,IF(A59&lt;'Données projet'!$A$88,$BA$205^A59,IF(A59='Données projet'!$A$88,'Données projet'!$B$88,BD58+BC59-BL58)))</f>
        <v>625.19999999999959</v>
      </c>
      <c r="BE59" s="13">
        <f>BD59*VLOOKUP('Données projet'!$B$11,Paramètres!$A$1:$I$89,3,0)*VLOOKUP('Données projet'!$B$11,Paramètres!$A$1:$I$89,5,0)</f>
        <v>349.48679999999979</v>
      </c>
      <c r="BF59" s="13">
        <f t="shared" si="37"/>
        <v>81.45682900536228</v>
      </c>
      <c r="BG59" s="20">
        <f t="shared" si="7"/>
        <v>750.56015385100557</v>
      </c>
      <c r="BH59" s="59">
        <f t="shared" si="8"/>
        <v>1043.8934871843389</v>
      </c>
      <c r="BI59" s="59">
        <f ca="1">AVERAGE(OFFSET($BH$3,0,0,'Données projet'!$E$11+1,1))-AVERAGE(OFFSET($H$3,0,0,'Données projet'!$E$11+1,1))</f>
        <v>430.60186171079067</v>
      </c>
      <c r="BJ59" s="59">
        <f t="shared" si="38"/>
        <v>533.76627289533985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74.30164939905282</v>
      </c>
      <c r="BQ59" s="21">
        <f>EXP(-LN(2)/25)*BQ58+(1-EXP(-LN(2)/25))/(LN(2)/25)*Calculateur!BL59*Calculateur!BN59*VLOOKUP('Données projet'!$B$11,Paramètres!$A$1:$I$89,3,0)*0.475*44/12</f>
        <v>21.19526335928796</v>
      </c>
      <c r="BR59" s="21">
        <f>EXP(-LN(2)/2)*BR58+(1-EXP(-LN(2)/2))/(LN(2)/2)*BL59*BO59*VLOOKUP('Données projet'!$B$11,Paramètres!$A$1:$I$89,3,0)*0.475*44/12</f>
        <v>2.719103946269041</v>
      </c>
      <c r="BS59" s="22">
        <f t="shared" si="9"/>
        <v>98.216016704609828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8.9376923076922985</v>
      </c>
      <c r="BY59" s="12">
        <f>IF('Données projet'!$A$114&gt;35,BY58+BX59-CG58,IF(A59&lt;'Données projet'!$A$114,$BV$205^A59,IF(A59='Données projet'!$A$114,'Données projet'!$B$114,BY58+BX59-CG58)))</f>
        <v>239.55692307692297</v>
      </c>
      <c r="BZ59" s="13">
        <f>BY59*VLOOKUP('Données projet'!$B$12,Paramètres!$A$1:$I$89,3,0)*VLOOKUP('Données projet'!$B$12,Paramètres!$A$1:$I$89,5,0)</f>
        <v>143.25503999999995</v>
      </c>
      <c r="CA59" s="13">
        <f t="shared" si="39"/>
        <v>37.041689040099591</v>
      </c>
      <c r="CB59" s="20">
        <f t="shared" si="10"/>
        <v>314.01680307817338</v>
      </c>
      <c r="CC59" s="59">
        <f t="shared" si="11"/>
        <v>607.3501364115067</v>
      </c>
      <c r="CD59" s="59">
        <f ca="1">AVERAGE(OFFSET($CC$3,0,0,'Données projet'!$E$12+1,1))-AVERAGE(OFFSET($H$3,0,0,'Données projet'!$E$12+1,1))</f>
        <v>215.89467197072673</v>
      </c>
      <c r="CE59" s="59">
        <f t="shared" si="40"/>
        <v>188.21397398859534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27.592354825660479</v>
      </c>
      <c r="CL59" s="21">
        <f>EXP(-LN(2)/25)*CL58+(1-EXP(-LN(2)/25))/(LN(2)/25)*Calculateur!CG59*Calculateur!CI59*VLOOKUP('Données projet'!$B$12,Paramètres!$A$1:$I$89,3,0)*0.475*44/12</f>
        <v>10.279070651763115</v>
      </c>
      <c r="CM59" s="21">
        <f>EXP(-LN(2)/2)*CM58+(1-EXP(-LN(2)/2))/(LN(2)/2)*CG59*CJ59*VLOOKUP('Données projet'!$B$12,Paramètres!$A$1:$I$89,3,0)*0.475*44/12</f>
        <v>0.64011386911373069</v>
      </c>
      <c r="CN59" s="22">
        <f t="shared" si="12"/>
        <v>38.511539346537326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3.5192307692307692</v>
      </c>
      <c r="CT59" s="12">
        <f>IF('Données projet'!$A$140&gt;35,CT58+CS59-DB58,IF(A59&lt;'Données projet'!$A$140,$CQ$205^A59,IF(A59='Données projet'!$A$140,'Données projet'!$B$140,CT58+CS59-DB58)))</f>
        <v>148.24358974358984</v>
      </c>
      <c r="CU59" s="17">
        <f>CT59*VLOOKUP('Données projet'!$B$13,Paramètres!$A$1:$I$89,3,0)*VLOOKUP('Données projet'!$B$13,Paramètres!$A$1:$I$89,5,0)</f>
        <v>150.3190000000001</v>
      </c>
      <c r="CV59" s="13">
        <f t="shared" si="41"/>
        <v>38.651070549920533</v>
      </c>
      <c r="CW59" s="20">
        <f t="shared" si="13"/>
        <v>329.12287287444514</v>
      </c>
      <c r="CX59" s="59">
        <f t="shared" si="14"/>
        <v>622.45620620777845</v>
      </c>
      <c r="CY59" s="59">
        <f ca="1">AVERAGE(OFFSET($CX$3,0,0,'Données projet'!$E$13+1,1))-AVERAGE(OFFSET($H$3,0,0,'Données projet'!$E$13+1,1))</f>
        <v>342.82846711287749</v>
      </c>
      <c r="CZ59" s="59">
        <f t="shared" si="42"/>
        <v>152.87724741106297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4</v>
      </c>
      <c r="DO59" s="12">
        <f>IF('Données projet'!$A$166&gt;35,DO58+DN59-DW58,IF(A59&lt;'Données projet'!$A$166,$DL$205^A59,IF(A59='Données projet'!$A$166,'Données projet'!$B$166,DO58+DN59-DW58)))</f>
        <v>178</v>
      </c>
      <c r="DP59" s="17">
        <f>DO59*VLOOKUP('Données projet'!$B$14,Paramètres!$A$1:$I$89,3,0)*VLOOKUP('Données projet'!$B$14,Paramètres!$A$1:$I$89,5,0)</f>
        <v>130.50960000000001</v>
      </c>
      <c r="DQ59" s="13">
        <f t="shared" si="43"/>
        <v>34.11408610445698</v>
      </c>
      <c r="DR59" s="20">
        <f t="shared" si="16"/>
        <v>286.71958663192925</v>
      </c>
      <c r="DS59" s="59">
        <f t="shared" si="17"/>
        <v>580.05291996526262</v>
      </c>
      <c r="DT59" s="59">
        <f ca="1">AVERAGE(OFFSET($DS$3,0,0,'Données projet'!$E$14+1,1))-AVERAGE(OFFSET($H$3,0,0,'Données projet'!$E$14+1,1))</f>
        <v>208.48147873805715</v>
      </c>
      <c r="DU59" s="59">
        <f t="shared" si="44"/>
        <v>209.50570914630686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3.4027537691110163</v>
      </c>
      <c r="EB59" s="21">
        <f>EXP(-LN(2)/25)*EB58+(1-EXP(-LN(2)/25))/(LN(2)/25)*Calculateur!DW59*Calculateur!DY59*VLOOKUP('Données projet'!$B$14,Paramètres!$A$1:$I$89,3,0)*0.475*44/12</f>
        <v>7.386312322079374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10.78906609119039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10.433653846153845</v>
      </c>
      <c r="EJ59" s="12">
        <f>IF('Données projet'!$A$192&gt;35,EJ58+EI59-ER58,IF(A59&lt;'Données projet'!$A$192,$EG$205^A59,IF(A59='Données projet'!$A$192,'Données projet'!$B$192,EJ58+EI59-ER58)))</f>
        <v>311.76538461538445</v>
      </c>
      <c r="EK59" s="17">
        <f>EJ59*VLOOKUP('Données projet'!$B$15,Paramètres!$A$1:$I$89,3,0)*VLOOKUP('Données projet'!$B$15,Paramètres!$A$1:$I$89,5,0)</f>
        <v>186.43569999999991</v>
      </c>
      <c r="EL59" s="13">
        <f t="shared" si="45"/>
        <v>46.751070304344388</v>
      </c>
      <c r="EM59" s="20">
        <f t="shared" si="19"/>
        <v>406.13362494673294</v>
      </c>
      <c r="EN59" s="59">
        <f t="shared" si="20"/>
        <v>699.46695828006625</v>
      </c>
      <c r="EO59" s="59">
        <f ca="1">AVERAGE(OFFSET($EN$3,0,0,'Données projet'!$E$15+1,1))-AVERAGE(OFFSET($H$3,0,0,'Données projet'!$E$15+1,1))</f>
        <v>247.31680974612766</v>
      </c>
      <c r="EP59" s="59">
        <f t="shared" si="46"/>
        <v>257.13949761071882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44.799657836612852</v>
      </c>
      <c r="EW59" s="21">
        <f>EXP(-LN(2)/25)*EW58+(1-EXP(-LN(2)/25))/(LN(2)/25)*Calculateur!ER59*Calculateur!ET59*VLOOKUP('Données projet'!$B$15,Paramètres!$A$1:$I$89,3,0)*0.475*44/12</f>
        <v>16.783236651020175</v>
      </c>
      <c r="EX59" s="21">
        <f>EXP(-LN(2)/2)*EX58+(1-EXP(-LN(2)/2))/(LN(2)/2)*ER59*EU59*VLOOKUP('Données projet'!$B$15,Paramètres!$A$1:$I$89,3,0)*0.475*44/12</f>
        <v>1.4767154264182449</v>
      </c>
      <c r="EY59" s="22">
        <f t="shared" si="21"/>
        <v>63.059609914051272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10.136879999999991</v>
      </c>
      <c r="D60" s="11">
        <f t="shared" si="32"/>
        <v>3.5675421183288853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21.157704323034061</v>
      </c>
      <c r="H60" s="67">
        <f t="shared" si="1"/>
        <v>280.53520185608949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10.763461538461542</v>
      </c>
      <c r="N60" s="13">
        <f>IF('Données projet'!$A$36&gt;35,N59+M60-V59,IF(A60&lt;'Données projet'!$A$36,$K$205^A60,IF(A60='Données projet'!$A$36,'Données projet'!$B$36,N59+M60-V59)))</f>
        <v>286.11153846153843</v>
      </c>
      <c r="O60" s="13">
        <f>N60*VLOOKUP('Données projet'!$B$9,Paramètres!$A$1:$I$89,3,0)*VLOOKUP('Données projet'!$B$9,Paramètres!$A$1:$I$89,5,0)</f>
        <v>133.90019999999998</v>
      </c>
      <c r="P60" s="13">
        <f t="shared" si="33"/>
        <v>34.89602472081711</v>
      </c>
      <c r="Q60" s="20">
        <f t="shared" si="53"/>
        <v>293.98675805542308</v>
      </c>
      <c r="R60" s="59">
        <f t="shared" si="0"/>
        <v>587.3200913887564</v>
      </c>
      <c r="S60" s="59">
        <f ca="1">AVERAGE(OFFSET($R$3,0,0,'Données projet'!$E$9+1,1))-AVERAGE(OFFSET($H$3,0,0,'Données projet'!$E$9+1,1))</f>
        <v>223.99456146593315</v>
      </c>
      <c r="T60" s="59">
        <f t="shared" si="34"/>
        <v>132.73290587325937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16.177023187641215</v>
      </c>
      <c r="AB60" s="21">
        <f>EXP(-LN(2)/2)*AB59+(1-EXP(-LN(2)/2))/(LN(2)/2)*V60*Y60*VLOOKUP('Données projet'!$B$9,Paramètres!$A$1:$I$89,3,0)*0.475*44/12</f>
        <v>2.9233332136295345</v>
      </c>
      <c r="AC60" s="22">
        <f t="shared" si="3"/>
        <v>19.100356401270748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5.8</v>
      </c>
      <c r="AI60" s="13">
        <f>IF('Données projet'!$A$62&gt;35,AI59+AH60-AQ59,IF(A60&lt;'Données projet'!$A$62,$AF$205^A60,IF(A60='Données projet'!$A$62,'Données projet'!$B$62,AI59+AH60-AQ59)))</f>
        <v>211.60000000000011</v>
      </c>
      <c r="AJ60" s="13">
        <f>AI60*VLOOKUP('Données projet'!$B$10,Paramètres!$A$1:$I$89,3,0)*VLOOKUP('Données projet'!$B$10,Paramètres!$A$1:$I$89,5,0)</f>
        <v>138.64032000000006</v>
      </c>
      <c r="AK60" s="13">
        <f t="shared" si="35"/>
        <v>35.985345198165817</v>
      </c>
      <c r="AL60" s="20">
        <f t="shared" si="4"/>
        <v>304.13970022013888</v>
      </c>
      <c r="AM60" s="59">
        <f t="shared" si="5"/>
        <v>597.47303355347219</v>
      </c>
      <c r="AN60" s="59">
        <f ca="1">AVERAGE(OFFSET($AM$3,0,0,'Données projet'!$E$10+1,1))-AVERAGE(OFFSET($H$3,0,0,'Données projet'!$E$10+1,1))</f>
        <v>244.43587473734613</v>
      </c>
      <c r="AO60" s="59">
        <f t="shared" si="36"/>
        <v>256.80261402149375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7.2024959620548978</v>
      </c>
      <c r="AW60" s="21">
        <f>EXP(-LN(2)/2)*AW59+(1-EXP(-LN(2)/2))/(LN(2)/2)*AQ60*AT60*VLOOKUP('Données projet'!$B$10,Paramètres!$A$1:$I$89,3,0)*0.475*44/12</f>
        <v>2.6141540043908313</v>
      </c>
      <c r="AX60" s="21">
        <f t="shared" si="6"/>
        <v>9.8166499664457287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10.199999999999999</v>
      </c>
      <c r="BD60" s="12">
        <f>IF('Données projet'!$A$88&gt;35,BD59+BC60-BL59,IF(A60&lt;'Données projet'!$A$88,$BA$205^A60,IF(A60='Données projet'!$A$88,'Données projet'!$B$88,BD59+BC60-BL59)))</f>
        <v>635.39999999999964</v>
      </c>
      <c r="BE60" s="13">
        <f>BD60*VLOOKUP('Données projet'!$B$11,Paramètres!$A$1:$I$89,3,0)*VLOOKUP('Données projet'!$B$11,Paramètres!$A$1:$I$89,5,0)</f>
        <v>355.18859999999984</v>
      </c>
      <c r="BF60" s="13">
        <f t="shared" si="37"/>
        <v>82.629981116726043</v>
      </c>
      <c r="BG60" s="20">
        <f t="shared" si="7"/>
        <v>762.53402877829774</v>
      </c>
      <c r="BH60" s="59">
        <f t="shared" si="8"/>
        <v>1055.8673621116311</v>
      </c>
      <c r="BI60" s="59">
        <f ca="1">AVERAGE(OFFSET($BH$3,0,0,'Données projet'!$E$11+1,1))-AVERAGE(OFFSET($H$3,0,0,'Données projet'!$E$11+1,1))</f>
        <v>430.60186171079067</v>
      </c>
      <c r="BJ60" s="59">
        <f t="shared" si="38"/>
        <v>533.76627289533985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72.844639373868603</v>
      </c>
      <c r="BQ60" s="21">
        <f>EXP(-LN(2)/25)*BQ59+(1-EXP(-LN(2)/25))/(LN(2)/25)*Calculateur!BL60*Calculateur!BN60*VLOOKUP('Données projet'!$B$11,Paramètres!$A$1:$I$89,3,0)*0.475*44/12</f>
        <v>20.615677768117774</v>
      </c>
      <c r="BR60" s="21">
        <f>EXP(-LN(2)/2)*BR59+(1-EXP(-LN(2)/2))/(LN(2)/2)*BL60*BO60*VLOOKUP('Données projet'!$B$11,Paramètres!$A$1:$I$89,3,0)*0.475*44/12</f>
        <v>1.9226968391579407</v>
      </c>
      <c r="BS60" s="22">
        <f t="shared" si="9"/>
        <v>95.383013981144316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8.9376923076922985</v>
      </c>
      <c r="BY60" s="12">
        <f>IF('Données projet'!$A$114&gt;35,BY59+BX60-CG59,IF(A60&lt;'Données projet'!$A$114,$BV$205^A60,IF(A60='Données projet'!$A$114,'Données projet'!$B$114,BY59+BX60-CG59)))</f>
        <v>248.49461538461526</v>
      </c>
      <c r="BZ60" s="13">
        <f>BY60*VLOOKUP('Données projet'!$B$12,Paramètres!$A$1:$I$89,3,0)*VLOOKUP('Données projet'!$B$12,Paramètres!$A$1:$I$89,5,0)</f>
        <v>148.59977999999992</v>
      </c>
      <c r="CA60" s="13">
        <f t="shared" si="39"/>
        <v>38.260207121707339</v>
      </c>
      <c r="CB60" s="20">
        <f t="shared" si="10"/>
        <v>325.44781090364017</v>
      </c>
      <c r="CC60" s="59">
        <f t="shared" si="11"/>
        <v>618.78114423697343</v>
      </c>
      <c r="CD60" s="59">
        <f ca="1">AVERAGE(OFFSET($CC$3,0,0,'Données projet'!$E$12+1,1))-AVERAGE(OFFSET($H$3,0,0,'Données projet'!$E$12+1,1))</f>
        <v>215.89467197072673</v>
      </c>
      <c r="CE60" s="59">
        <f t="shared" si="40"/>
        <v>188.21397398859534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27.051285577203927</v>
      </c>
      <c r="CL60" s="21">
        <f>EXP(-LN(2)/25)*CL59+(1-EXP(-LN(2)/25))/(LN(2)/25)*Calculateur!CG60*Calculateur!CI60*VLOOKUP('Données projet'!$B$12,Paramètres!$A$1:$I$89,3,0)*0.475*44/12</f>
        <v>9.9979889242378199</v>
      </c>
      <c r="CM60" s="21">
        <f>EXP(-LN(2)/2)*CM59+(1-EXP(-LN(2)/2))/(LN(2)/2)*CG60*CJ60*VLOOKUP('Données projet'!$B$12,Paramètres!$A$1:$I$89,3,0)*0.475*44/12</f>
        <v>0.4526288575818771</v>
      </c>
      <c r="CN60" s="22">
        <f t="shared" si="12"/>
        <v>37.501903359023622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3.5192307692307692</v>
      </c>
      <c r="CT60" s="12">
        <f>IF('Données projet'!$A$140&gt;35,CT59+CS60-DB59,IF(A60&lt;'Données projet'!$A$140,$CQ$205^A60,IF(A60='Données projet'!$A$140,'Données projet'!$B$140,CT59+CS60-DB59)))</f>
        <v>151.76282051282061</v>
      </c>
      <c r="CU60" s="17">
        <f>CT60*VLOOKUP('Données projet'!$B$13,Paramètres!$A$1:$I$89,3,0)*VLOOKUP('Données projet'!$B$13,Paramètres!$A$1:$I$89,5,0)</f>
        <v>153.8875000000001</v>
      </c>
      <c r="CV60" s="13">
        <f t="shared" si="41"/>
        <v>39.460714074617854</v>
      </c>
      <c r="CW60" s="20">
        <f t="shared" si="13"/>
        <v>336.74813951329293</v>
      </c>
      <c r="CX60" s="59">
        <f t="shared" si="14"/>
        <v>630.08147284662618</v>
      </c>
      <c r="CY60" s="59">
        <f ca="1">AVERAGE(OFFSET($CX$3,0,0,'Données projet'!$E$13+1,1))-AVERAGE(OFFSET($H$3,0,0,'Données projet'!$E$13+1,1))</f>
        <v>342.82846711287749</v>
      </c>
      <c r="CZ60" s="59">
        <f t="shared" si="42"/>
        <v>152.87724741106297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4</v>
      </c>
      <c r="DO60" s="12">
        <f>IF('Données projet'!$A$166&gt;35,DO59+DN60-DW59,IF(A60&lt;'Données projet'!$A$166,$DL$205^A60,IF(A60='Données projet'!$A$166,'Données projet'!$B$166,DO59+DN60-DW59)))</f>
        <v>182</v>
      </c>
      <c r="DP60" s="17">
        <f>DO60*VLOOKUP('Données projet'!$B$14,Paramètres!$A$1:$I$89,3,0)*VLOOKUP('Données projet'!$B$14,Paramètres!$A$1:$I$89,5,0)</f>
        <v>133.44239999999999</v>
      </c>
      <c r="DQ60" s="13">
        <f t="shared" si="43"/>
        <v>34.790582936930463</v>
      </c>
      <c r="DR60" s="20">
        <f t="shared" si="16"/>
        <v>293.00577861515382</v>
      </c>
      <c r="DS60" s="59">
        <f t="shared" si="17"/>
        <v>586.33911194848713</v>
      </c>
      <c r="DT60" s="59">
        <f ca="1">AVERAGE(OFFSET($DS$3,0,0,'Données projet'!$E$14+1,1))-AVERAGE(OFFSET($H$3,0,0,'Données projet'!$E$14+1,1))</f>
        <v>208.48147873805715</v>
      </c>
      <c r="DU60" s="59">
        <f t="shared" si="44"/>
        <v>209.50570914630686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3.3360278431736123</v>
      </c>
      <c r="EB60" s="21">
        <f>EXP(-LN(2)/25)*EB59+(1-EXP(-LN(2)/25))/(LN(2)/25)*Calculateur!DW60*Calculateur!DY60*VLOOKUP('Données projet'!$B$14,Paramètres!$A$1:$I$89,3,0)*0.475*44/12</f>
        <v>7.1843332232028301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10.520361066376442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10.433653846153845</v>
      </c>
      <c r="EJ60" s="12">
        <f>IF('Données projet'!$A$192&gt;35,EJ59+EI60-ER59,IF(A60&lt;'Données projet'!$A$192,$EG$205^A60,IF(A60='Données projet'!$A$192,'Données projet'!$B$192,EJ59+EI60-ER59)))</f>
        <v>322.19903846153829</v>
      </c>
      <c r="EK60" s="17">
        <f>EJ60*VLOOKUP('Données projet'!$B$15,Paramètres!$A$1:$I$89,3,0)*VLOOKUP('Données projet'!$B$15,Paramètres!$A$1:$I$89,5,0)</f>
        <v>192.67502499999992</v>
      </c>
      <c r="EL60" s="13">
        <f t="shared" si="45"/>
        <v>48.130880815569739</v>
      </c>
      <c r="EM60" s="20">
        <f t="shared" si="19"/>
        <v>419.40361929545043</v>
      </c>
      <c r="EN60" s="59">
        <f t="shared" si="20"/>
        <v>712.73695262878368</v>
      </c>
      <c r="EO60" s="59">
        <f ca="1">AVERAGE(OFFSET($EN$3,0,0,'Données projet'!$E$15+1,1))-AVERAGE(OFFSET($H$3,0,0,'Données projet'!$E$15+1,1))</f>
        <v>247.31680974612766</v>
      </c>
      <c r="EP60" s="59">
        <f t="shared" si="46"/>
        <v>257.13949761071882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43.921163871530027</v>
      </c>
      <c r="EW60" s="21">
        <f>EXP(-LN(2)/25)*EW59+(1-EXP(-LN(2)/25))/(LN(2)/25)*Calculateur!ER60*Calculateur!ET60*VLOOKUP('Données projet'!$B$15,Paramètres!$A$1:$I$89,3,0)*0.475*44/12</f>
        <v>16.32429816220597</v>
      </c>
      <c r="EX60" s="21">
        <f>EXP(-LN(2)/2)*EX59+(1-EXP(-LN(2)/2))/(LN(2)/2)*ER60*EU60*VLOOKUP('Données projet'!$B$15,Paramètres!$A$1:$I$89,3,0)*0.475*44/12</f>
        <v>1.0441954919031251</v>
      </c>
      <c r="EY60" s="22">
        <f t="shared" si="21"/>
        <v>61.289657525639122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10.314719999999991</v>
      </c>
      <c r="D61" s="11">
        <f t="shared" si="32"/>
        <v>3.6227891778413976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21.517558028948113</v>
      </c>
      <c r="H61" s="67">
        <f t="shared" si="1"/>
        <v>280.94116181807379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10.763461538461542</v>
      </c>
      <c r="N61" s="13">
        <f>IF('Données projet'!$A$36&gt;35,N60+M61-V60,IF(A61&lt;'Données projet'!$A$36,$K$205^A61,IF(A61='Données projet'!$A$36,'Données projet'!$B$36,N60+M61-V60)))</f>
        <v>296.875</v>
      </c>
      <c r="O61" s="13">
        <f>N61*VLOOKUP('Données projet'!$B$9,Paramètres!$A$1:$I$89,3,0)*VLOOKUP('Données projet'!$B$9,Paramètres!$A$1:$I$89,5,0)</f>
        <v>138.9375</v>
      </c>
      <c r="P61" s="13">
        <f t="shared" si="33"/>
        <v>36.053493849661677</v>
      </c>
      <c r="Q61" s="20">
        <f t="shared" si="53"/>
        <v>304.77598095482739</v>
      </c>
      <c r="R61" s="59">
        <f t="shared" si="0"/>
        <v>598.1093142881607</v>
      </c>
      <c r="S61" s="59">
        <f ca="1">AVERAGE(OFFSET($R$3,0,0,'Données projet'!$E$9+1,1))-AVERAGE(OFFSET($H$3,0,0,'Données projet'!$E$9+1,1))</f>
        <v>223.99456146593315</v>
      </c>
      <c r="T61" s="59">
        <f t="shared" si="34"/>
        <v>132.73290587325937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15.734661637862489</v>
      </c>
      <c r="AB61" s="21">
        <f>EXP(-LN(2)/2)*AB60+(1-EXP(-LN(2)/2))/(LN(2)/2)*V61*Y61*VLOOKUP('Données projet'!$B$9,Paramètres!$A$1:$I$89,3,0)*0.475*44/12</f>
        <v>2.067108739025306</v>
      </c>
      <c r="AC61" s="22">
        <f t="shared" si="3"/>
        <v>17.801770376887795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5.8</v>
      </c>
      <c r="AI61" s="13">
        <f>IF('Données projet'!$A$62&gt;35,AI60+AH61-AQ60,IF(A61&lt;'Données projet'!$A$62,$AF$205^A61,IF(A61='Données projet'!$A$62,'Données projet'!$B$62,AI60+AH61-AQ60)))</f>
        <v>217.40000000000012</v>
      </c>
      <c r="AJ61" s="13">
        <f>AI61*VLOOKUP('Données projet'!$B$10,Paramètres!$A$1:$I$89,3,0)*VLOOKUP('Données projet'!$B$10,Paramètres!$A$1:$I$89,5,0)</f>
        <v>142.44048000000009</v>
      </c>
      <c r="AK61" s="13">
        <f t="shared" si="35"/>
        <v>36.855521628538284</v>
      </c>
      <c r="AL61" s="20">
        <f t="shared" si="4"/>
        <v>312.27386950303764</v>
      </c>
      <c r="AM61" s="59">
        <f t="shared" si="5"/>
        <v>605.60720283637102</v>
      </c>
      <c r="AN61" s="59">
        <f ca="1">AVERAGE(OFFSET($AM$3,0,0,'Données projet'!$E$10+1,1))-AVERAGE(OFFSET($H$3,0,0,'Données projet'!$E$10+1,1))</f>
        <v>244.43587473734613</v>
      </c>
      <c r="AO61" s="59">
        <f t="shared" si="36"/>
        <v>256.80261402149375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7.0055433312097053</v>
      </c>
      <c r="AW61" s="21">
        <f>EXP(-LN(2)/2)*AW60+(1-EXP(-LN(2)/2))/(LN(2)/2)*AQ61*AT61*VLOOKUP('Données projet'!$B$10,Paramètres!$A$1:$I$89,3,0)*0.475*44/12</f>
        <v>1.8484860235707248</v>
      </c>
      <c r="AX61" s="21">
        <f t="shared" si="6"/>
        <v>8.8540293547804296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10.199999999999999</v>
      </c>
      <c r="BD61" s="12">
        <f>IF('Données projet'!$A$88&gt;35,BD60+BC61-BL60,IF(A61&lt;'Données projet'!$A$88,$BA$205^A61,IF(A61='Données projet'!$A$88,'Données projet'!$B$88,BD60+BC61-BL60)))</f>
        <v>645.59999999999968</v>
      </c>
      <c r="BE61" s="13">
        <f>BD61*VLOOKUP('Données projet'!$B$11,Paramètres!$A$1:$I$89,3,0)*VLOOKUP('Données projet'!$B$11,Paramètres!$A$1:$I$89,5,0)</f>
        <v>360.89039999999977</v>
      </c>
      <c r="BF61" s="13">
        <f t="shared" si="37"/>
        <v>83.800943075865291</v>
      </c>
      <c r="BG61" s="20">
        <f t="shared" si="7"/>
        <v>774.50408919046504</v>
      </c>
      <c r="BH61" s="59">
        <f t="shared" si="8"/>
        <v>1067.8374225237983</v>
      </c>
      <c r="BI61" s="59">
        <f ca="1">AVERAGE(OFFSET($BH$3,0,0,'Données projet'!$E$11+1,1))-AVERAGE(OFFSET($H$3,0,0,'Données projet'!$E$11+1,1))</f>
        <v>430.60186171079067</v>
      </c>
      <c r="BJ61" s="59">
        <f t="shared" si="38"/>
        <v>533.76627289533985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71.416200426589882</v>
      </c>
      <c r="BQ61" s="21">
        <f>EXP(-LN(2)/25)*BQ60+(1-EXP(-LN(2)/25))/(LN(2)/25)*Calculateur!BL61*Calculateur!BN61*VLOOKUP('Données projet'!$B$11,Paramètres!$A$1:$I$89,3,0)*0.475*44/12</f>
        <v>20.051940975417217</v>
      </c>
      <c r="BR61" s="21">
        <f>EXP(-LN(2)/2)*BR60+(1-EXP(-LN(2)/2))/(LN(2)/2)*BL61*BO61*VLOOKUP('Données projet'!$B$11,Paramètres!$A$1:$I$89,3,0)*0.475*44/12</f>
        <v>1.3595519731345207</v>
      </c>
      <c r="BS61" s="22">
        <f t="shared" si="9"/>
        <v>92.827693375141607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8.9376923076922985</v>
      </c>
      <c r="BY61" s="12">
        <f>IF('Données projet'!$A$114&gt;35,BY60+BX61-CG60,IF(A61&lt;'Données projet'!$A$114,$BV$205^A61,IF(A61='Données projet'!$A$114,'Données projet'!$B$114,BY60+BX61-CG60)))</f>
        <v>257.43230769230757</v>
      </c>
      <c r="BZ61" s="13">
        <f>BY61*VLOOKUP('Données projet'!$B$12,Paramètres!$A$1:$I$89,3,0)*VLOOKUP('Données projet'!$B$12,Paramètres!$A$1:$I$89,5,0)</f>
        <v>153.94451999999993</v>
      </c>
      <c r="CA61" s="13">
        <f t="shared" si="39"/>
        <v>39.473633260634188</v>
      </c>
      <c r="CB61" s="20">
        <f t="shared" si="10"/>
        <v>336.86995026227106</v>
      </c>
      <c r="CC61" s="59">
        <f t="shared" si="11"/>
        <v>630.20328359560438</v>
      </c>
      <c r="CD61" s="59">
        <f ca="1">AVERAGE(OFFSET($CC$3,0,0,'Données projet'!$E$12+1,1))-AVERAGE(OFFSET($H$3,0,0,'Données projet'!$E$12+1,1))</f>
        <v>215.89467197072673</v>
      </c>
      <c r="CE61" s="59">
        <f t="shared" si="40"/>
        <v>188.21397398859534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26.520826366689956</v>
      </c>
      <c r="CL61" s="21">
        <f>EXP(-LN(2)/25)*CL60+(1-EXP(-LN(2)/25))/(LN(2)/25)*Calculateur!CG61*Calculateur!CI61*VLOOKUP('Données projet'!$B$12,Paramètres!$A$1:$I$89,3,0)*0.475*44/12</f>
        <v>9.7245933913331495</v>
      </c>
      <c r="CM61" s="21">
        <f>EXP(-LN(2)/2)*CM60+(1-EXP(-LN(2)/2))/(LN(2)/2)*CG61*CJ61*VLOOKUP('Données projet'!$B$12,Paramètres!$A$1:$I$89,3,0)*0.475*44/12</f>
        <v>0.32005693455686535</v>
      </c>
      <c r="CN61" s="22">
        <f t="shared" si="12"/>
        <v>36.565476692579971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3.5192307692307692</v>
      </c>
      <c r="CT61" s="12">
        <f>IF('Données projet'!$A$140&gt;35,CT60+CS61-DB60,IF(A61&lt;'Données projet'!$A$140,$CQ$205^A61,IF(A61='Données projet'!$A$140,'Données projet'!$B$140,CT60+CS61-DB60)))</f>
        <v>155.28205128205138</v>
      </c>
      <c r="CU61" s="17">
        <f>CT61*VLOOKUP('Données projet'!$B$13,Paramètres!$A$1:$I$89,3,0)*VLOOKUP('Données projet'!$B$13,Paramètres!$A$1:$I$89,5,0)</f>
        <v>157.45600000000013</v>
      </c>
      <c r="CV61" s="13">
        <f t="shared" si="41"/>
        <v>40.268174948153849</v>
      </c>
      <c r="CW61" s="20">
        <f t="shared" si="13"/>
        <v>344.36960470136813</v>
      </c>
      <c r="CX61" s="59">
        <f t="shared" si="14"/>
        <v>637.70293803470145</v>
      </c>
      <c r="CY61" s="59">
        <f ca="1">AVERAGE(OFFSET($CX$3,0,0,'Données projet'!$E$13+1,1))-AVERAGE(OFFSET($H$3,0,0,'Données projet'!$E$13+1,1))</f>
        <v>342.82846711287749</v>
      </c>
      <c r="CZ61" s="59">
        <f t="shared" si="42"/>
        <v>152.87724741106297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4</v>
      </c>
      <c r="DO61" s="12">
        <f>IF('Données projet'!$A$166&gt;35,DO60+DN61-DW60,IF(A61&lt;'Données projet'!$A$166,$DL$205^A61,IF(A61='Données projet'!$A$166,'Données projet'!$B$166,DO60+DN61-DW60)))</f>
        <v>186</v>
      </c>
      <c r="DP61" s="17">
        <f>DO61*VLOOKUP('Données projet'!$B$14,Paramètres!$A$1:$I$89,3,0)*VLOOKUP('Données projet'!$B$14,Paramètres!$A$1:$I$89,5,0)</f>
        <v>136.37520000000001</v>
      </c>
      <c r="DQ61" s="13">
        <f t="shared" si="43"/>
        <v>35.465351191684015</v>
      </c>
      <c r="DR61" s="20">
        <f t="shared" si="16"/>
        <v>299.28895999218298</v>
      </c>
      <c r="DS61" s="59">
        <f t="shared" si="17"/>
        <v>592.62229332551624</v>
      </c>
      <c r="DT61" s="59">
        <f ca="1">AVERAGE(OFFSET($DS$3,0,0,'Données projet'!$E$14+1,1))-AVERAGE(OFFSET($H$3,0,0,'Données projet'!$E$14+1,1))</f>
        <v>208.48147873805715</v>
      </c>
      <c r="DU61" s="59">
        <f t="shared" si="44"/>
        <v>209.50570914630686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3.2706103719450446</v>
      </c>
      <c r="EB61" s="21">
        <f>EXP(-LN(2)/25)*EB60+(1-EXP(-LN(2)/25))/(LN(2)/25)*Calculateur!DW61*Calculateur!DY61*VLOOKUP('Données projet'!$B$14,Paramètres!$A$1:$I$89,3,0)*0.475*44/12</f>
        <v>6.9878772534066842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10.258487625351728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10.433653846153845</v>
      </c>
      <c r="EJ61" s="12">
        <f>IF('Données projet'!$A$192&gt;35,EJ60+EI61-ER60,IF(A61&lt;'Données projet'!$A$192,$EG$205^A61,IF(A61='Données projet'!$A$192,'Données projet'!$B$192,EJ60+EI61-ER60)))</f>
        <v>332.63269230769214</v>
      </c>
      <c r="EK61" s="17">
        <f>EJ61*VLOOKUP('Données projet'!$B$15,Paramètres!$A$1:$I$89,3,0)*VLOOKUP('Données projet'!$B$15,Paramètres!$A$1:$I$89,5,0)</f>
        <v>198.91434999999993</v>
      </c>
      <c r="EL61" s="13">
        <f t="shared" si="45"/>
        <v>49.50549918474259</v>
      </c>
      <c r="EM61" s="20">
        <f t="shared" si="19"/>
        <v>432.66457066342656</v>
      </c>
      <c r="EN61" s="59">
        <f t="shared" si="20"/>
        <v>725.99790399675987</v>
      </c>
      <c r="EO61" s="59">
        <f ca="1">AVERAGE(OFFSET($EN$3,0,0,'Données projet'!$E$15+1,1))-AVERAGE(OFFSET($H$3,0,0,'Données projet'!$E$15+1,1))</f>
        <v>247.31680974612766</v>
      </c>
      <c r="EP61" s="59">
        <f t="shared" si="46"/>
        <v>257.13949761071882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43.059896637274065</v>
      </c>
      <c r="EW61" s="21">
        <f>EXP(-LN(2)/25)*EW60+(1-EXP(-LN(2)/25))/(LN(2)/25)*Calculateur!ER61*Calculateur!ET61*VLOOKUP('Données projet'!$B$15,Paramètres!$A$1:$I$89,3,0)*0.475*44/12</f>
        <v>15.877909370502918</v>
      </c>
      <c r="EX61" s="21">
        <f>EXP(-LN(2)/2)*EX60+(1-EXP(-LN(2)/2))/(LN(2)/2)*ER61*EU61*VLOOKUP('Données projet'!$B$15,Paramètres!$A$1:$I$89,3,0)*0.475*44/12</f>
        <v>0.73835771320912247</v>
      </c>
      <c r="EY61" s="22">
        <f t="shared" si="21"/>
        <v>59.676163720986104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10.49255999999999</v>
      </c>
      <c r="D62" s="11">
        <f t="shared" si="32"/>
        <v>3.677925467601761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21.877240721911477</v>
      </c>
      <c r="H62" s="67">
        <f t="shared" si="1"/>
        <v>281.34692885607308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10.763461538461542</v>
      </c>
      <c r="N62" s="13">
        <f>IF('Données projet'!$A$36&gt;35,N61+M62-V61,IF(A62&lt;'Données projet'!$A$36,$K$205^A62,IF(A62='Données projet'!$A$36,'Données projet'!$B$36,N61+M62-V61)))</f>
        <v>307.63846153846157</v>
      </c>
      <c r="O62" s="13">
        <f>N62*VLOOKUP('Données projet'!$B$9,Paramètres!$A$1:$I$89,3,0)*VLOOKUP('Données projet'!$B$9,Paramètres!$A$1:$I$89,5,0)</f>
        <v>143.97480000000002</v>
      </c>
      <c r="P62" s="13">
        <f t="shared" si="33"/>
        <v>37.206087411055172</v>
      </c>
      <c r="Q62" s="20">
        <f t="shared" si="53"/>
        <v>315.55671224092112</v>
      </c>
      <c r="R62" s="59">
        <f t="shared" si="0"/>
        <v>608.89004557425437</v>
      </c>
      <c r="S62" s="59">
        <f ca="1">AVERAGE(OFFSET($R$3,0,0,'Données projet'!$E$9+1,1))-AVERAGE(OFFSET($H$3,0,0,'Données projet'!$E$9+1,1))</f>
        <v>223.99456146593315</v>
      </c>
      <c r="T62" s="59">
        <f t="shared" si="34"/>
        <v>132.73290587325937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15.304396487925246</v>
      </c>
      <c r="AB62" s="21">
        <f>EXP(-LN(2)/2)*AB61+(1-EXP(-LN(2)/2))/(LN(2)/2)*V62*Y62*VLOOKUP('Données projet'!$B$9,Paramètres!$A$1:$I$89,3,0)*0.475*44/12</f>
        <v>1.4616666068147672</v>
      </c>
      <c r="AC62" s="22">
        <f t="shared" si="3"/>
        <v>16.766063094740012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5.8</v>
      </c>
      <c r="AI62" s="13">
        <f>IF('Données projet'!$A$62&gt;35,AI61+AH62-AQ61,IF(A62&lt;'Données projet'!$A$62,$AF$205^A62,IF(A62='Données projet'!$A$62,'Données projet'!$B$62,AI61+AH62-AQ61)))</f>
        <v>223.20000000000013</v>
      </c>
      <c r="AJ62" s="13">
        <f>AI62*VLOOKUP('Données projet'!$B$10,Paramètres!$A$1:$I$89,3,0)*VLOOKUP('Données projet'!$B$10,Paramètres!$A$1:$I$89,5,0)</f>
        <v>146.2406400000001</v>
      </c>
      <c r="AK62" s="13">
        <f t="shared" si="35"/>
        <v>37.722999642090628</v>
      </c>
      <c r="AL62" s="20">
        <f t="shared" si="4"/>
        <v>320.40333904330799</v>
      </c>
      <c r="AM62" s="59">
        <f t="shared" si="5"/>
        <v>613.73667237664131</v>
      </c>
      <c r="AN62" s="59">
        <f ca="1">AVERAGE(OFFSET($AM$3,0,0,'Données projet'!$E$10+1,1))-AVERAGE(OFFSET($H$3,0,0,'Données projet'!$E$10+1,1))</f>
        <v>244.43587473734613</v>
      </c>
      <c r="AO62" s="59">
        <f t="shared" si="36"/>
        <v>256.80261402149375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6.8139763804122637</v>
      </c>
      <c r="AW62" s="21">
        <f>EXP(-LN(2)/2)*AW61+(1-EXP(-LN(2)/2))/(LN(2)/2)*AQ62*AT62*VLOOKUP('Données projet'!$B$10,Paramètres!$A$1:$I$89,3,0)*0.475*44/12</f>
        <v>1.3070770021954159</v>
      </c>
      <c r="AX62" s="21">
        <f t="shared" si="6"/>
        <v>8.1210533826076805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10.199999999999999</v>
      </c>
      <c r="BD62" s="12">
        <f>IF('Données projet'!$A$88&gt;35,BD61+BC62-BL61,IF(A62&lt;'Données projet'!$A$88,$BA$205^A62,IF(A62='Données projet'!$A$88,'Données projet'!$B$88,BD61+BC62-BL61)))</f>
        <v>655.79999999999973</v>
      </c>
      <c r="BE62" s="13">
        <f>BD62*VLOOKUP('Données projet'!$B$11,Paramètres!$A$1:$I$89,3,0)*VLOOKUP('Données projet'!$B$11,Paramètres!$A$1:$I$89,5,0)</f>
        <v>366.59219999999982</v>
      </c>
      <c r="BF62" s="13">
        <f t="shared" si="37"/>
        <v>84.969753481055022</v>
      </c>
      <c r="BG62" s="20">
        <f t="shared" si="7"/>
        <v>786.47040231283711</v>
      </c>
      <c r="BH62" s="59">
        <f t="shared" si="8"/>
        <v>1079.8037356461705</v>
      </c>
      <c r="BI62" s="59">
        <f ca="1">AVERAGE(OFFSET($BH$3,0,0,'Données projet'!$E$11+1,1))-AVERAGE(OFFSET($H$3,0,0,'Données projet'!$E$11+1,1))</f>
        <v>430.60186171079067</v>
      </c>
      <c r="BJ62" s="59">
        <f t="shared" si="38"/>
        <v>533.76627289533985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70.015772295805561</v>
      </c>
      <c r="BQ62" s="21">
        <f>EXP(-LN(2)/25)*BQ61+(1-EXP(-LN(2)/25))/(LN(2)/25)*Calculateur!BL62*Calculateur!BN62*VLOOKUP('Données projet'!$B$11,Paramètres!$A$1:$I$89,3,0)*0.475*44/12</f>
        <v>19.503619594958685</v>
      </c>
      <c r="BR62" s="21">
        <f>EXP(-LN(2)/2)*BR61+(1-EXP(-LN(2)/2))/(LN(2)/2)*BL62*BO62*VLOOKUP('Données projet'!$B$11,Paramètres!$A$1:$I$89,3,0)*0.475*44/12</f>
        <v>0.96134841957897055</v>
      </c>
      <c r="BS62" s="22">
        <f t="shared" si="9"/>
        <v>90.480740310343208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8.9376923076922985</v>
      </c>
      <c r="BY62" s="12">
        <f>IF('Données projet'!$A$114&gt;35,BY61+BX62-CG61,IF(A62&lt;'Données projet'!$A$114,$BV$205^A62,IF(A62='Données projet'!$A$114,'Données projet'!$B$114,BY61+BX62-CG61)))</f>
        <v>266.36999999999989</v>
      </c>
      <c r="BZ62" s="13">
        <f>BY62*VLOOKUP('Données projet'!$B$12,Paramètres!$A$1:$I$89,3,0)*VLOOKUP('Données projet'!$B$12,Paramètres!$A$1:$I$89,5,0)</f>
        <v>159.28925999999993</v>
      </c>
      <c r="CA62" s="13">
        <f t="shared" si="39"/>
        <v>40.682164502055365</v>
      </c>
      <c r="CB62" s="20">
        <f t="shared" si="10"/>
        <v>348.28356434107963</v>
      </c>
      <c r="CC62" s="59">
        <f t="shared" si="11"/>
        <v>641.61689767441294</v>
      </c>
      <c r="CD62" s="59">
        <f ca="1">AVERAGE(OFFSET($CC$3,0,0,'Données projet'!$E$12+1,1))-AVERAGE(OFFSET($H$3,0,0,'Données projet'!$E$12+1,1))</f>
        <v>215.89467197072673</v>
      </c>
      <c r="CE62" s="59">
        <f t="shared" si="40"/>
        <v>188.21397398859534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26.000769137745991</v>
      </c>
      <c r="CL62" s="21">
        <f>EXP(-LN(2)/25)*CL61+(1-EXP(-LN(2)/25))/(LN(2)/25)*Calculateur!CG62*Calculateur!CI62*VLOOKUP('Données projet'!$B$12,Paramètres!$A$1:$I$89,3,0)*0.475*44/12</f>
        <v>9.4586738736530034</v>
      </c>
      <c r="CM62" s="21">
        <f>EXP(-LN(2)/2)*CM61+(1-EXP(-LN(2)/2))/(LN(2)/2)*CG62*CJ62*VLOOKUP('Données projet'!$B$12,Paramètres!$A$1:$I$89,3,0)*0.475*44/12</f>
        <v>0.22631442879093855</v>
      </c>
      <c r="CN62" s="22">
        <f t="shared" si="12"/>
        <v>35.685757440189931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3.5192307692307692</v>
      </c>
      <c r="CT62" s="12">
        <f>IF('Données projet'!$A$140&gt;35,CT61+CS62-DB61,IF(A62&lt;'Données projet'!$A$140,$CQ$205^A62,IF(A62='Données projet'!$A$140,'Données projet'!$B$140,CT61+CS62-DB61)))</f>
        <v>158.80128205128216</v>
      </c>
      <c r="CU62" s="17">
        <f>CT62*VLOOKUP('Données projet'!$B$13,Paramètres!$A$1:$I$89,3,0)*VLOOKUP('Données projet'!$B$13,Paramètres!$A$1:$I$89,5,0)</f>
        <v>161.0245000000001</v>
      </c>
      <c r="CV62" s="13">
        <f t="shared" si="41"/>
        <v>41.073508331647247</v>
      </c>
      <c r="CW62" s="20">
        <f t="shared" si="13"/>
        <v>351.98736451095243</v>
      </c>
      <c r="CX62" s="59">
        <f t="shared" si="14"/>
        <v>645.32069784428575</v>
      </c>
      <c r="CY62" s="59">
        <f ca="1">AVERAGE(OFFSET($CX$3,0,0,'Données projet'!$E$13+1,1))-AVERAGE(OFFSET($H$3,0,0,'Données projet'!$E$13+1,1))</f>
        <v>342.82846711287749</v>
      </c>
      <c r="CZ62" s="59">
        <f t="shared" si="42"/>
        <v>152.87724741106297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4</v>
      </c>
      <c r="DO62" s="12">
        <f>IF('Données projet'!$A$166&gt;35,DO61+DN62-DW61,IF(A62&lt;'Données projet'!$A$166,$DL$205^A62,IF(A62='Données projet'!$A$166,'Données projet'!$B$166,DO61+DN62-DW61)))</f>
        <v>190</v>
      </c>
      <c r="DP62" s="17">
        <f>DO62*VLOOKUP('Données projet'!$B$14,Paramètres!$A$1:$I$89,3,0)*VLOOKUP('Données projet'!$B$14,Paramètres!$A$1:$I$89,5,0)</f>
        <v>139.30799999999999</v>
      </c>
      <c r="DQ62" s="13">
        <f t="shared" si="43"/>
        <v>36.138432324006359</v>
      </c>
      <c r="DR62" s="20">
        <f t="shared" si="16"/>
        <v>305.5692029643111</v>
      </c>
      <c r="DS62" s="59">
        <f t="shared" si="17"/>
        <v>598.90253629764447</v>
      </c>
      <c r="DT62" s="59">
        <f ca="1">AVERAGE(OFFSET($DS$3,0,0,'Données projet'!$E$14+1,1))-AVERAGE(OFFSET($H$3,0,0,'Données projet'!$E$14+1,1))</f>
        <v>208.48147873805715</v>
      </c>
      <c r="DU62" s="59">
        <f t="shared" si="44"/>
        <v>209.50570914630686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3.2064756974265514</v>
      </c>
      <c r="EB62" s="21">
        <f>EXP(-LN(2)/25)*EB61+(1-EXP(-LN(2)/25))/(LN(2)/25)*Calculateur!DW62*Calculateur!DY62*VLOOKUP('Données projet'!$B$14,Paramètres!$A$1:$I$89,3,0)*0.475*44/12</f>
        <v>6.7967933824357845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10.003269079862335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10.433653846153845</v>
      </c>
      <c r="EJ62" s="12">
        <f>IF('Données projet'!$A$192&gt;35,EJ61+EI62-ER61,IF(A62&lt;'Données projet'!$A$192,$EG$205^A62,IF(A62='Données projet'!$A$192,'Données projet'!$B$192,EJ61+EI62-ER61)))</f>
        <v>343.06634615384598</v>
      </c>
      <c r="EK62" s="17">
        <f>EJ62*VLOOKUP('Données projet'!$B$15,Paramètres!$A$1:$I$89,3,0)*VLOOKUP('Données projet'!$B$15,Paramètres!$A$1:$I$89,5,0)</f>
        <v>205.15367499999991</v>
      </c>
      <c r="EL62" s="13">
        <f t="shared" si="45"/>
        <v>50.875106959180371</v>
      </c>
      <c r="EM62" s="20">
        <f t="shared" si="19"/>
        <v>445.9167952455723</v>
      </c>
      <c r="EN62" s="59">
        <f t="shared" si="20"/>
        <v>739.25012857890556</v>
      </c>
      <c r="EO62" s="59">
        <f ca="1">AVERAGE(OFFSET($EN$3,0,0,'Données projet'!$E$15+1,1))-AVERAGE(OFFSET($H$3,0,0,'Données projet'!$E$15+1,1))</f>
        <v>247.31680974612766</v>
      </c>
      <c r="EP62" s="59">
        <f t="shared" si="46"/>
        <v>257.13949761071882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42.215518328160719</v>
      </c>
      <c r="EW62" s="21">
        <f>EXP(-LN(2)/25)*EW61+(1-EXP(-LN(2)/25))/(LN(2)/25)*Calculateur!ER62*Calculateur!ET62*VLOOKUP('Données projet'!$B$15,Paramètres!$A$1:$I$89,3,0)*0.475*44/12</f>
        <v>15.443727103783552</v>
      </c>
      <c r="EX62" s="21">
        <f>EXP(-LN(2)/2)*EX61+(1-EXP(-LN(2)/2))/(LN(2)/2)*ER62*EU62*VLOOKUP('Données projet'!$B$15,Paramètres!$A$1:$I$89,3,0)*0.475*44/12</f>
        <v>0.52209774595156255</v>
      </c>
      <c r="EY62" s="22">
        <f t="shared" si="21"/>
        <v>58.181343177895833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10.67039999999999</v>
      </c>
      <c r="D63" s="11">
        <f t="shared" si="32"/>
        <v>3.7329530817348422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22.236755634959039</v>
      </c>
      <c r="H63" s="67">
        <f t="shared" si="1"/>
        <v>281.75250661735487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10.763461538461542</v>
      </c>
      <c r="N63" s="13">
        <f>IF('Données projet'!$A$36&gt;35,N62+M63-V62,IF(A63&lt;'Données projet'!$A$36,$K$205^A63,IF(A63='Données projet'!$A$36,'Données projet'!$B$36,N62+M63-V62)))</f>
        <v>318.40192307692314</v>
      </c>
      <c r="O63" s="13">
        <f>N63*VLOOKUP('Données projet'!$B$9,Paramètres!$A$1:$I$89,3,0)*VLOOKUP('Données projet'!$B$9,Paramètres!$A$1:$I$89,5,0)</f>
        <v>149.01210000000003</v>
      </c>
      <c r="P63" s="13">
        <f t="shared" si="33"/>
        <v>38.353995535783497</v>
      </c>
      <c r="Q63" s="20">
        <f t="shared" si="53"/>
        <v>326.32928305815631</v>
      </c>
      <c r="R63" s="59">
        <f t="shared" si="0"/>
        <v>619.66261639148956</v>
      </c>
      <c r="S63" s="59">
        <f ca="1">AVERAGE(OFFSET($R$3,0,0,'Données projet'!$E$9+1,1))-AVERAGE(OFFSET($H$3,0,0,'Données projet'!$E$9+1,1))</f>
        <v>223.99456146593315</v>
      </c>
      <c r="T63" s="59">
        <f t="shared" si="34"/>
        <v>132.73290587325937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14.885896961139697</v>
      </c>
      <c r="AB63" s="21">
        <f>EXP(-LN(2)/2)*AB62+(1-EXP(-LN(2)/2))/(LN(2)/2)*V63*Y63*VLOOKUP('Données projet'!$B$9,Paramètres!$A$1:$I$89,3,0)*0.475*44/12</f>
        <v>1.033554369512653</v>
      </c>
      <c r="AC63" s="22">
        <f t="shared" si="3"/>
        <v>15.91945133065235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229</v>
      </c>
      <c r="AG63" s="12">
        <f>VLOOKUP(A63,'Données projet'!$A$61:$I$81,9,0)</f>
        <v>5.8</v>
      </c>
      <c r="AH63" s="12">
        <f t="array" ref="AH63">INDEX(AG:AG,MIN(IF(ISNUMBER(AG63:AG259),ROW(AG63:AG259),"")))</f>
        <v>5.8</v>
      </c>
      <c r="AI63" s="13">
        <f>IF('Données projet'!$A$62&gt;35,AI62+AH63-AQ62,IF(A63&lt;'Données projet'!$A$62,$AF$205^A63,IF(A63='Données projet'!$A$62,'Données projet'!$B$62,AI62+AH63-AQ62)))</f>
        <v>229.00000000000014</v>
      </c>
      <c r="AJ63" s="13">
        <f>AI63*VLOOKUP('Données projet'!$B$10,Paramètres!$A$1:$I$89,3,0)*VLOOKUP('Données projet'!$B$10,Paramètres!$A$1:$I$89,5,0)</f>
        <v>150.04080000000008</v>
      </c>
      <c r="AK63" s="13">
        <f t="shared" si="35"/>
        <v>38.587857420495212</v>
      </c>
      <c r="AL63" s="20">
        <f t="shared" si="4"/>
        <v>328.52824500736261</v>
      </c>
      <c r="AM63" s="59">
        <f t="shared" si="5"/>
        <v>621.86157834069593</v>
      </c>
      <c r="AN63" s="59">
        <f ca="1">AVERAGE(OFFSET($AM$3,0,0,'Données projet'!$E$10+1,1))-AVERAGE(OFFSET($H$3,0,0,'Données projet'!$E$10+1,1))</f>
        <v>244.43587473734613</v>
      </c>
      <c r="AO63" s="59">
        <f t="shared" si="36"/>
        <v>256.80261402149375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0.129</v>
      </c>
      <c r="AT63" s="16">
        <f>IF(ISNA(VLOOKUP(A63,'Données projet'!$A$61:$I$81,7,0)),0%,VLOOKUP(A63,'Données projet'!$A$61:$I$81,7,0))</f>
        <v>0.3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8.6751295535689152</v>
      </c>
      <c r="AW63" s="21">
        <f>EXP(-LN(2)/2)*AW62+(1-EXP(-LN(2)/2))/(LN(2)/2)*AQ63*AT63*VLOOKUP('Données projet'!$B$10,Paramètres!$A$1:$I$89,3,0)*0.475*44/12</f>
        <v>5.0043553191517347</v>
      </c>
      <c r="AX63" s="21">
        <f t="shared" si="6"/>
        <v>13.67948487272065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666</v>
      </c>
      <c r="BB63" s="12">
        <f>VLOOKUP(A63,'Données projet'!$A$87:$I$107,9,0)</f>
        <v>10.199999999999999</v>
      </c>
      <c r="BC63" s="12">
        <f t="array" ref="BC63">INDEX(BB:BB,MIN(IF(ISNUMBER(BB63:BB259),ROW(BB63:BB259),"")))</f>
        <v>10.199999999999999</v>
      </c>
      <c r="BD63" s="12">
        <f>IF('Données projet'!$A$88&gt;35,BD62+BC63-BL62,IF(A63&lt;'Données projet'!$A$88,$BA$205^A63,IF(A63='Données projet'!$A$88,'Données projet'!$B$88,BD62+BC63-BL62)))</f>
        <v>665.99999999999977</v>
      </c>
      <c r="BE63" s="13">
        <f>BD63*VLOOKUP('Données projet'!$B$11,Paramètres!$A$1:$I$89,3,0)*VLOOKUP('Données projet'!$B$11,Paramètres!$A$1:$I$89,5,0)</f>
        <v>372.29399999999987</v>
      </c>
      <c r="BF63" s="13">
        <f t="shared" si="37"/>
        <v>86.136449661008839</v>
      </c>
      <c r="BG63" s="20">
        <f t="shared" si="7"/>
        <v>798.43303315959008</v>
      </c>
      <c r="BH63" s="59">
        <f t="shared" si="8"/>
        <v>1091.7663664929235</v>
      </c>
      <c r="BI63" s="59">
        <f ca="1">AVERAGE(OFFSET($BH$3,0,0,'Données projet'!$E$11+1,1))-AVERAGE(OFFSET($H$3,0,0,'Données projet'!$E$11+1,1))</f>
        <v>430.60186171079067</v>
      </c>
      <c r="BJ63" s="59">
        <f t="shared" si="38"/>
        <v>533.76627289533985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666</v>
      </c>
      <c r="BM63" s="16">
        <f>IF(ISNA(VLOOKUP(A63,'Données projet'!$A$87:$I$107,5,0)),0%,VLOOKUP(A63,'Données projet'!$A$87:$I$107,5,0)*VLOOKUP('Données projet'!$B$11,Paramètres!$A$1:$I$89,7,0))</f>
        <v>0.38500000000000001</v>
      </c>
      <c r="BN63" s="16">
        <f>IF(ISNA(VLOOKUP(A63,'Données projet'!$A$87:$I$107,6,0)),0%,VLOOKUP(A63,'Données projet'!$A$87:$I$107,6,0)*VLOOKUP('Données projet'!$B$11,Paramètres!$A$1:$I$89,7,0))</f>
        <v>9.240000000000001E-2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258.78352084525125</v>
      </c>
      <c r="BQ63" s="21">
        <f>EXP(-LN(2)/25)*BQ62+(1-EXP(-LN(2)/25))/(LN(2)/25)*Calculateur!BL63*Calculateur!BN63*VLOOKUP('Données projet'!$B$11,Paramètres!$A$1:$I$89,3,0)*0.475*44/12</f>
        <v>64.424386178036201</v>
      </c>
      <c r="BR63" s="21">
        <f>EXP(-LN(2)/2)*BR62+(1-EXP(-LN(2)/2))/(LN(2)/2)*BL63*BO63*VLOOKUP('Données projet'!$B$11,Paramètres!$A$1:$I$89,3,0)*0.475*44/12</f>
        <v>56.320850395309243</v>
      </c>
      <c r="BS63" s="22">
        <f t="shared" si="9"/>
        <v>379.52875741859674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275.30769230769226</v>
      </c>
      <c r="BW63" s="12">
        <f>VLOOKUP(A63,'Données projet'!$A$113:$I$133,9,0)</f>
        <v>8.9376923076922985</v>
      </c>
      <c r="BX63" s="12">
        <f t="array" ref="BX63">INDEX(BW:BW,MIN(IF(ISNUMBER(BW63:BW259),ROW(BW63:BW259),"")))</f>
        <v>8.9376923076922985</v>
      </c>
      <c r="BY63" s="12">
        <f>IF('Données projet'!$A$114&gt;35,BY62+BX63-CG62,IF(A63&lt;'Données projet'!$A$114,$BV$205^A63,IF(A63='Données projet'!$A$114,'Données projet'!$B$114,BY62+BX63-CG62)))</f>
        <v>275.30769230769221</v>
      </c>
      <c r="BZ63" s="13">
        <f>BY63*VLOOKUP('Données projet'!$B$12,Paramètres!$A$1:$I$89,3,0)*VLOOKUP('Données projet'!$B$12,Paramètres!$A$1:$I$89,5,0)</f>
        <v>164.63399999999996</v>
      </c>
      <c r="CA63" s="13">
        <f t="shared" si="39"/>
        <v>41.885983917692798</v>
      </c>
      <c r="CB63" s="20">
        <f t="shared" si="10"/>
        <v>359.68897198998155</v>
      </c>
      <c r="CC63" s="59">
        <f t="shared" si="11"/>
        <v>653.02230532331487</v>
      </c>
      <c r="CD63" s="59">
        <f ca="1">AVERAGE(OFFSET($CC$3,0,0,'Données projet'!$E$12+1,1))-AVERAGE(OFFSET($H$3,0,0,'Données projet'!$E$12+1,1))</f>
        <v>215.89467197072673</v>
      </c>
      <c r="CE63" s="59">
        <f t="shared" si="40"/>
        <v>188.21397398859534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50.076923076923073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7.5600000000000001E-2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38.004379156374654</v>
      </c>
      <c r="CL63" s="21">
        <f>EXP(-LN(2)/25)*CL62+(1-EXP(-LN(2)/25))/(LN(2)/25)*Calculateur!CG63*Calculateur!CI63*VLOOKUP('Données projet'!$B$12,Paramètres!$A$1:$I$89,3,0)*0.475*44/12</f>
        <v>12.191433686232701</v>
      </c>
      <c r="CM63" s="21">
        <f>EXP(-LN(2)/2)*CM62+(1-EXP(-LN(2)/2))/(LN(2)/2)*CG63*CJ63*VLOOKUP('Données projet'!$B$12,Paramètres!$A$1:$I$89,3,0)*0.475*44/12</f>
        <v>4.6355978136664682</v>
      </c>
      <c r="CN63" s="22">
        <f t="shared" si="12"/>
        <v>54.831410656273817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162.32051282051282</v>
      </c>
      <c r="CR63" s="12">
        <f>VLOOKUP(A63,'Données projet'!$A$139:$I$159,9,0)</f>
        <v>3.5192307692307692</v>
      </c>
      <c r="CS63" s="12">
        <f t="array" ref="CS63">INDEX(CR:CR,MIN(IF(ISNUMBER(CR63:CR259),ROW(CR63:CR259),"")))</f>
        <v>3.5192307692307692</v>
      </c>
      <c r="CT63" s="12">
        <f>IF('Données projet'!$A$140&gt;35,CT62+CS63-DB62,IF(A63&lt;'Données projet'!$A$140,$CQ$205^A63,IF(A63='Données projet'!$A$140,'Données projet'!$B$140,CT62+CS63-DB62)))</f>
        <v>162.32051282051293</v>
      </c>
      <c r="CU63" s="17">
        <f>CT63*VLOOKUP('Données projet'!$B$13,Paramètres!$A$1:$I$89,3,0)*VLOOKUP('Données projet'!$B$13,Paramètres!$A$1:$I$89,5,0)</f>
        <v>164.59300000000013</v>
      </c>
      <c r="CV63" s="13">
        <f t="shared" si="41"/>
        <v>41.876766801747308</v>
      </c>
      <c r="CW63" s="20">
        <f t="shared" si="13"/>
        <v>359.60151051304342</v>
      </c>
      <c r="CX63" s="59">
        <f t="shared" si="14"/>
        <v>652.93484384637668</v>
      </c>
      <c r="CY63" s="59">
        <f ca="1">AVERAGE(OFFSET($CX$3,0,0,'Données projet'!$E$13+1,1))-AVERAGE(OFFSET($H$3,0,0,'Données projet'!$E$13+1,1))</f>
        <v>342.82846711287749</v>
      </c>
      <c r="CZ63" s="59">
        <f t="shared" si="42"/>
        <v>152.87724741106297</v>
      </c>
      <c r="DA63" s="15">
        <f>IF(ISNA(VLOOKUP(A63,'Données projet'!$A$139:$I$159,3,0)),0,VLOOKUP(A63,'Données projet'!$A$139:$I$159,3,0))</f>
        <v>1</v>
      </c>
      <c r="DB63" s="15">
        <f>IF(ISNA(VLOOKUP(A63,'Données projet'!$A$139:$I$159,4,0)),0,VLOOKUP(A63,'Données projet'!$A$139:$I$159,4,0))</f>
        <v>60.096153846153847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194</v>
      </c>
      <c r="DM63" s="12">
        <f>VLOOKUP(A63,'Données projet'!$A$165:$I$185,9,0)</f>
        <v>4</v>
      </c>
      <c r="DN63" s="12">
        <f t="array" ref="DN63">INDEX(DM:DM,MIN(IF(ISNUMBER(DM63:DM259),ROW(DM63:DM259),"")))</f>
        <v>4</v>
      </c>
      <c r="DO63" s="12">
        <f>IF('Données projet'!$A$166&gt;35,DO62+DN63-DW62,IF(A63&lt;'Données projet'!$A$166,$DL$205^A63,IF(A63='Données projet'!$A$166,'Données projet'!$B$166,DO62+DN63-DW62)))</f>
        <v>194</v>
      </c>
      <c r="DP63" s="17">
        <f>DO63*VLOOKUP('Données projet'!$B$14,Paramètres!$A$1:$I$89,3,0)*VLOOKUP('Données projet'!$B$14,Paramètres!$A$1:$I$89,5,0)</f>
        <v>142.24080000000001</v>
      </c>
      <c r="DQ63" s="13">
        <f t="shared" si="43"/>
        <v>36.809865943965384</v>
      </c>
      <c r="DR63" s="20">
        <f t="shared" si="16"/>
        <v>311.84657651907304</v>
      </c>
      <c r="DS63" s="59">
        <f t="shared" si="17"/>
        <v>605.17990985240635</v>
      </c>
      <c r="DT63" s="59">
        <f ca="1">AVERAGE(OFFSET($DS$3,0,0,'Données projet'!$E$14+1,1))-AVERAGE(OFFSET($H$3,0,0,'Données projet'!$E$14+1,1))</f>
        <v>208.48147873805715</v>
      </c>
      <c r="DU63" s="59">
        <f t="shared" si="44"/>
        <v>209.50570914630686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9</v>
      </c>
      <c r="DX63" s="16">
        <f>IF(ISNA(VLOOKUP(A63,'Données projet'!$A$165:$I$185,5,0)),0%,VLOOKUP(A63,'Données projet'!$A$165:$I$185,5,0)*VLOOKUP('Données projet'!$B$14,Paramètres!$A$1:$I$89,7,0))</f>
        <v>0.18920000000000001</v>
      </c>
      <c r="DY63" s="16">
        <f>IF(ISNA(VLOOKUP(A63,'Données projet'!$A$165:$I$185,6,0)),0%,VLOOKUP(A63,'Données projet'!$A$165:$I$185,6,0)*VLOOKUP('Données projet'!$B$14,Paramètres!$A$1:$I$89,7,0))</f>
        <v>0.18920000000000001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4.5237706510924935</v>
      </c>
      <c r="EB63" s="21">
        <f>EXP(-LN(2)/25)*EB62+(1-EXP(-LN(2)/25))/(LN(2)/25)*Calculateur!DW63*Calculateur!DY63*VLOOKUP('Données projet'!$B$14,Paramètres!$A$1:$I$89,3,0)*0.475*44/12</f>
        <v>7.9856724333037059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12.509443084396199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353.5</v>
      </c>
      <c r="EH63" s="12">
        <f>VLOOKUP(A63,'Données projet'!$A$191:$I$211,9,0)</f>
        <v>10.433653846153845</v>
      </c>
      <c r="EI63" s="12">
        <f t="array" ref="EI63">INDEX(EH:EH,MIN(IF(ISNUMBER(EH63:EH259),ROW(EH63:EH259),"")))</f>
        <v>10.433653846153845</v>
      </c>
      <c r="EJ63" s="12">
        <f>IF('Données projet'!$A$192&gt;35,EJ62+EI63-ER62,IF(A63&lt;'Données projet'!$A$192,$EG$205^A63,IF(A63='Données projet'!$A$192,'Données projet'!$B$192,EJ62+EI63-ER62)))</f>
        <v>353.49999999999983</v>
      </c>
      <c r="EK63" s="17">
        <f>EJ63*VLOOKUP('Données projet'!$B$15,Paramètres!$A$1:$I$89,3,0)*VLOOKUP('Données projet'!$B$15,Paramètres!$A$1:$I$89,5,0)</f>
        <v>211.39299999999992</v>
      </c>
      <c r="EL63" s="13">
        <f t="shared" si="45"/>
        <v>52.239874015944039</v>
      </c>
      <c r="EM63" s="20">
        <f t="shared" si="19"/>
        <v>459.16058891110237</v>
      </c>
      <c r="EN63" s="59">
        <f t="shared" si="20"/>
        <v>752.49392224443568</v>
      </c>
      <c r="EO63" s="59">
        <f ca="1">AVERAGE(OFFSET($EN$3,0,0,'Données projet'!$E$15+1,1))-AVERAGE(OFFSET($H$3,0,0,'Données projet'!$E$15+1,1))</f>
        <v>247.31680974612766</v>
      </c>
      <c r="EP63" s="59">
        <f t="shared" si="46"/>
        <v>257.13949761071882</v>
      </c>
      <c r="EQ63" s="15">
        <f>IF(ISNA(VLOOKUP(A63,'Données projet'!$A$191:$I$211,3,0)),0,VLOOKUP(A63,'Données projet'!$A$191:$I$211,3,0))</f>
        <v>7</v>
      </c>
      <c r="ER63" s="15">
        <f>IF(ISNA(VLOOKUP(A63,'Données projet'!$A$191:$I$211,4,0)),0,VLOOKUP(A63,'Données projet'!$A$191:$I$211,4,0))</f>
        <v>353.5</v>
      </c>
      <c r="ES63" s="16">
        <f>IF(ISNA(VLOOKUP(A63,'Données projet'!$A$191:$I$211,5,0)),0%,VLOOKUP(A63,'Données projet'!$A$191:$I$211,5,0)*VLOOKUP('Données projet'!$B$15,Paramètres!$A$1:$I$89,7,0))</f>
        <v>0.315</v>
      </c>
      <c r="ET63" s="16">
        <f>IF(ISNA(VLOOKUP(A63,'Données projet'!$A$191:$I$211,6,0)),0%,VLOOKUP(A63,'Données projet'!$A$191:$I$211,6,0)*VLOOKUP('Données projet'!$B$15,Paramètres!$A$1:$I$89,7,0))</f>
        <v>7.5600000000000001E-2</v>
      </c>
      <c r="EU63" s="16">
        <f>IF(ISNA(VLOOKUP(A63,'Données projet'!$A$191:$I$211,7,0)),0%,VLOOKUP(A63,'Données projet'!$A$191:$I$211,7,0))</f>
        <v>0.13200000000000001</v>
      </c>
      <c r="EV63" s="21">
        <f>EXP(-LN(2)/35)*EV62+(1-EXP(-LN(2)/35))/(LN(2)/35)*ER63*ES63*VLOOKUP('Données projet'!$B$15,Paramètres!$A$1:$I$89,3,0)*0.475*44/12</f>
        <v>129.72202634021937</v>
      </c>
      <c r="EW63" s="21">
        <f>EXP(-LN(2)/25)*EW62+(1-EXP(-LN(2)/25))/(LN(2)/25)*Calculateur!ER63*Calculateur!ET63*VLOOKUP('Données projet'!$B$15,Paramètres!$A$1:$I$89,3,0)*0.475*44/12</f>
        <v>36.138183014281665</v>
      </c>
      <c r="EX63" s="21">
        <f>EXP(-LN(2)/2)*EX62+(1-EXP(-LN(2)/2))/(LN(2)/2)*ER63*EU63*VLOOKUP('Données projet'!$B$15,Paramètres!$A$1:$I$89,3,0)*0.475*44/12</f>
        <v>31.962848489978171</v>
      </c>
      <c r="EY63" s="22">
        <f t="shared" si="21"/>
        <v>197.82305784447919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10.84823999999999</v>
      </c>
      <c r="D64" s="11">
        <f t="shared" si="32"/>
        <v>3.7878740405601334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22.596105887180542</v>
      </c>
      <c r="H64" s="67">
        <f t="shared" si="1"/>
        <v>282.15789862064224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10.763461538461542</v>
      </c>
      <c r="N64" s="13">
        <f>IF('Données projet'!$A$36&gt;35,N63+M64-V63,IF(A64&lt;'Données projet'!$A$36,$K$205^A64,IF(A64='Données projet'!$A$36,'Données projet'!$B$36,N63+M64-V63)))</f>
        <v>329.16538461538471</v>
      </c>
      <c r="O64" s="13">
        <f>N64*VLOOKUP('Données projet'!$B$9,Paramètres!$A$1:$I$89,3,0)*VLOOKUP('Données projet'!$B$9,Paramètres!$A$1:$I$89,5,0)</f>
        <v>154.04940000000005</v>
      </c>
      <c r="P64" s="13">
        <f t="shared" si="33"/>
        <v>39.497394770746702</v>
      </c>
      <c r="Q64" s="20">
        <f t="shared" si="53"/>
        <v>337.09400089238392</v>
      </c>
      <c r="R64" s="59">
        <f t="shared" si="0"/>
        <v>630.42733422571723</v>
      </c>
      <c r="S64" s="59">
        <f ca="1">AVERAGE(OFFSET($R$3,0,0,'Données projet'!$E$9+1,1))-AVERAGE(OFFSET($H$3,0,0,'Données projet'!$E$9+1,1))</f>
        <v>223.99456146593315</v>
      </c>
      <c r="T64" s="59">
        <f t="shared" si="34"/>
        <v>132.73290587325937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14.478841325922032</v>
      </c>
      <c r="AB64" s="21">
        <f>EXP(-LN(2)/2)*AB63+(1-EXP(-LN(2)/2))/(LN(2)/2)*V64*Y64*VLOOKUP('Données projet'!$B$9,Paramètres!$A$1:$I$89,3,0)*0.475*44/12</f>
        <v>0.73083330340738362</v>
      </c>
      <c r="AC64" s="22">
        <f t="shared" si="3"/>
        <v>15.209674629329415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212.20000000000013</v>
      </c>
      <c r="AJ64" s="13">
        <f>AI64*VLOOKUP('Données projet'!$B$10,Paramètres!$A$1:$I$89,3,0)*VLOOKUP('Données projet'!$B$10,Paramètres!$A$1:$I$89,5,0)</f>
        <v>139.0334400000001</v>
      </c>
      <c r="AK64" s="13">
        <f t="shared" si="35"/>
        <v>36.07549097093554</v>
      </c>
      <c r="AL64" s="20">
        <f t="shared" si="4"/>
        <v>304.98138810771292</v>
      </c>
      <c r="AM64" s="59">
        <f t="shared" si="5"/>
        <v>598.31472144104623</v>
      </c>
      <c r="AN64" s="59">
        <f ca="1">AVERAGE(OFFSET($AM$3,0,0,'Données projet'!$E$10+1,1))-AVERAGE(OFFSET($H$3,0,0,'Données projet'!$E$10+1,1))</f>
        <v>244.43587473734613</v>
      </c>
      <c r="AO64" s="59">
        <f t="shared" si="36"/>
        <v>256.80261402149375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8.4379076797213379</v>
      </c>
      <c r="AW64" s="21">
        <f>EXP(-LN(2)/2)*AW63+(1-EXP(-LN(2)/2))/(LN(2)/2)*AQ64*AT64*VLOOKUP('Données projet'!$B$10,Paramètres!$A$1:$I$89,3,0)*0.475*44/12</f>
        <v>3.5386135816391611</v>
      </c>
      <c r="AX64" s="21">
        <f t="shared" si="6"/>
        <v>11.976521261360499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-2.2737367544323206E-13</v>
      </c>
      <c r="BE64" s="13">
        <f>BD64*VLOOKUP('Données projet'!$B$11,Paramètres!$A$1:$I$89,3,0)*VLOOKUP('Données projet'!$B$11,Paramètres!$A$1:$I$89,5,0)</f>
        <v>-1.2710188457276673E-13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430.60186171079067</v>
      </c>
      <c r="BJ64" s="59">
        <f t="shared" si="38"/>
        <v>533.76627289533985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253.70893384383794</v>
      </c>
      <c r="BQ64" s="21">
        <f>EXP(-LN(2)/25)*BQ63+(1-EXP(-LN(2)/25))/(LN(2)/25)*Calculateur!BL64*Calculateur!BN64*VLOOKUP('Données projet'!$B$11,Paramètres!$A$1:$I$89,3,0)*0.475*44/12</f>
        <v>62.662697950066573</v>
      </c>
      <c r="BR64" s="21">
        <f>EXP(-LN(2)/2)*BR63+(1-EXP(-LN(2)/2))/(LN(2)/2)*BL64*BO64*VLOOKUP('Données projet'!$B$11,Paramètres!$A$1:$I$89,3,0)*0.475*44/12</f>
        <v>39.824855236716218</v>
      </c>
      <c r="BS64" s="22">
        <f t="shared" si="9"/>
        <v>356.19648703062069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7.709230769230774</v>
      </c>
      <c r="BY64" s="12">
        <f>IF('Données projet'!$A$114&gt;35,BY63+BX64-CG63,IF(A64&lt;'Données projet'!$A$114,$BV$205^A64,IF(A64='Données projet'!$A$114,'Données projet'!$B$114,BY63+BX64-CG63)))</f>
        <v>232.93999999999991</v>
      </c>
      <c r="BZ64" s="13">
        <f>BY64*VLOOKUP('Données projet'!$B$12,Paramètres!$A$1:$I$89,3,0)*VLOOKUP('Données projet'!$B$12,Paramètres!$A$1:$I$89,5,0)</f>
        <v>139.29811999999995</v>
      </c>
      <c r="CA64" s="13">
        <f t="shared" si="39"/>
        <v>36.136167639566011</v>
      </c>
      <c r="CB64" s="20">
        <f t="shared" si="10"/>
        <v>305.54805097224408</v>
      </c>
      <c r="CC64" s="59">
        <f t="shared" si="11"/>
        <v>598.8813843055774</v>
      </c>
      <c r="CD64" s="59">
        <f ca="1">AVERAGE(OFFSET($CC$3,0,0,'Données projet'!$E$12+1,1))-AVERAGE(OFFSET($H$3,0,0,'Données projet'!$E$12+1,1))</f>
        <v>215.89467197072673</v>
      </c>
      <c r="CE64" s="59">
        <f t="shared" si="40"/>
        <v>188.21397398859534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37.25913646150056</v>
      </c>
      <c r="CL64" s="21">
        <f>EXP(-LN(2)/25)*CL63+(1-EXP(-LN(2)/25))/(LN(2)/25)*Calculateur!CG64*Calculateur!CI64*VLOOKUP('Données projet'!$B$12,Paramètres!$A$1:$I$89,3,0)*0.475*44/12</f>
        <v>11.858058290963035</v>
      </c>
      <c r="CM64" s="21">
        <f>EXP(-LN(2)/2)*CM63+(1-EXP(-LN(2)/2))/(LN(2)/2)*CG64*CJ64*VLOOKUP('Données projet'!$B$12,Paramètres!$A$1:$I$89,3,0)*0.475*44/12</f>
        <v>3.2778626488970937</v>
      </c>
      <c r="CN64" s="22">
        <f t="shared" si="12"/>
        <v>52.395057401360688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4.8774928774928794</v>
      </c>
      <c r="CT64" s="12">
        <f>IF('Données projet'!$A$140&gt;35,CT63+CS64-DB63,IF(A64&lt;'Données projet'!$A$140,$CQ$205^A64,IF(A64='Données projet'!$A$140,'Données projet'!$B$140,CT63+CS64-DB63)))</f>
        <v>107.10185185185196</v>
      </c>
      <c r="CU64" s="17">
        <f>CT64*VLOOKUP('Données projet'!$B$13,Paramètres!$A$1:$I$89,3,0)*VLOOKUP('Données projet'!$B$13,Paramètres!$A$1:$I$89,5,0)</f>
        <v>108.6012777777779</v>
      </c>
      <c r="CV64" s="13">
        <f t="shared" si="41"/>
        <v>29.001189661731186</v>
      </c>
      <c r="CW64" s="20">
        <f t="shared" si="13"/>
        <v>239.65763079047829</v>
      </c>
      <c r="CX64" s="59">
        <f t="shared" si="14"/>
        <v>532.99096412381164</v>
      </c>
      <c r="CY64" s="59">
        <f ca="1">AVERAGE(OFFSET($CX$3,0,0,'Données projet'!$E$13+1,1))-AVERAGE(OFFSET($H$3,0,0,'Données projet'!$E$13+1,1))</f>
        <v>342.82846711287749</v>
      </c>
      <c r="CZ64" s="59">
        <f t="shared" si="42"/>
        <v>152.87724741106297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3.4</v>
      </c>
      <c r="DO64" s="12">
        <f>IF('Données projet'!$A$166&gt;35,DO63+DN64-DW63,IF(A64&lt;'Données projet'!$A$166,$DL$205^A64,IF(A64='Données projet'!$A$166,'Données projet'!$B$166,DO63+DN64-DW63)))</f>
        <v>188.4</v>
      </c>
      <c r="DP64" s="17">
        <f>DO64*VLOOKUP('Données projet'!$B$14,Paramètres!$A$1:$I$89,3,0)*VLOOKUP('Données projet'!$B$14,Paramètres!$A$1:$I$89,5,0)</f>
        <v>138.13488000000001</v>
      </c>
      <c r="DQ64" s="13">
        <f t="shared" si="43"/>
        <v>35.869399750819937</v>
      </c>
      <c r="DR64" s="20">
        <f t="shared" si="16"/>
        <v>303.05745389934469</v>
      </c>
      <c r="DS64" s="59">
        <f t="shared" si="17"/>
        <v>596.39078723267801</v>
      </c>
      <c r="DT64" s="59">
        <f ca="1">AVERAGE(OFFSET($DS$3,0,0,'Données projet'!$E$14+1,1))-AVERAGE(OFFSET($H$3,0,0,'Données projet'!$E$14+1,1))</f>
        <v>208.48147873805715</v>
      </c>
      <c r="DU64" s="59">
        <f t="shared" si="44"/>
        <v>209.50570914630686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4.4350622678522162</v>
      </c>
      <c r="EB64" s="21">
        <f>EXP(-LN(2)/25)*EB63+(1-EXP(-LN(2)/25))/(LN(2)/25)*Calculateur!DW64*Calculateur!DY64*VLOOKUP('Données projet'!$B$14,Paramètres!$A$1:$I$89,3,0)*0.475*44/12</f>
        <v>7.7673038006667543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12.20236606851897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-1.7053025658242404E-13</v>
      </c>
      <c r="EK64" s="17">
        <f>EJ64*VLOOKUP('Données projet'!$B$15,Paramètres!$A$1:$I$89,3,0)*VLOOKUP('Données projet'!$B$15,Paramètres!$A$1:$I$89,5,0)</f>
        <v>-1.0197709343628959E-13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247.31680974612766</v>
      </c>
      <c r="EP64" s="59">
        <f t="shared" si="46"/>
        <v>257.13949761071882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127.17825652631103</v>
      </c>
      <c r="EW64" s="21">
        <f>EXP(-LN(2)/25)*EW63+(1-EXP(-LN(2)/25))/(LN(2)/25)*Calculateur!ER64*Calculateur!ET64*VLOOKUP('Données projet'!$B$15,Paramètres!$A$1:$I$89,3,0)*0.475*44/12</f>
        <v>35.149982499331685</v>
      </c>
      <c r="EX64" s="21">
        <f>EXP(-LN(2)/2)*EX63+(1-EXP(-LN(2)/2))/(LN(2)/2)*ER64*EU64*VLOOKUP('Données projet'!$B$15,Paramètres!$A$1:$I$89,3,0)*0.475*44/12</f>
        <v>22.601146913301768</v>
      </c>
      <c r="EY64" s="22">
        <f t="shared" si="21"/>
        <v>184.92938593894448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11.02607999999999</v>
      </c>
      <c r="D65" s="11">
        <f t="shared" si="32"/>
        <v>3.8426902943594312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22.955294489537355</v>
      </c>
      <c r="H65" s="67">
        <f t="shared" si="1"/>
        <v>282.563108262676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10.763461538461542</v>
      </c>
      <c r="N65" s="13">
        <f>IF('Données projet'!$A$36&gt;35,N64+M65-V64,IF(A65&lt;'Données projet'!$A$36,$K$205^A65,IF(A65='Données projet'!$A$36,'Données projet'!$B$36,N64+M65-V64)))</f>
        <v>339.92884615384628</v>
      </c>
      <c r="O65" s="13">
        <f>N65*VLOOKUP('Données projet'!$B$9,Paramètres!$A$1:$I$89,3,0)*VLOOKUP('Données projet'!$B$9,Paramètres!$A$1:$I$89,5,0)</f>
        <v>159.08670000000006</v>
      </c>
      <c r="P65" s="13">
        <f t="shared" si="33"/>
        <v>40.636449461585293</v>
      </c>
      <c r="Q65" s="20">
        <f t="shared" si="53"/>
        <v>347.85115197892782</v>
      </c>
      <c r="R65" s="59">
        <f t="shared" si="0"/>
        <v>641.18448531226113</v>
      </c>
      <c r="S65" s="59">
        <f ca="1">AVERAGE(OFFSET($R$3,0,0,'Données projet'!$E$9+1,1))-AVERAGE(OFFSET($H$3,0,0,'Données projet'!$E$9+1,1))</f>
        <v>223.99456146593315</v>
      </c>
      <c r="T65" s="59">
        <f t="shared" si="34"/>
        <v>132.73290587325937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14.082916648455519</v>
      </c>
      <c r="AB65" s="21">
        <f>EXP(-LN(2)/2)*AB64+(1-EXP(-LN(2)/2))/(LN(2)/2)*V65*Y65*VLOOKUP('Données projet'!$B$9,Paramètres!$A$1:$I$89,3,0)*0.475*44/12</f>
        <v>0.5167771847563265</v>
      </c>
      <c r="AC65" s="22">
        <f t="shared" si="3"/>
        <v>14.599693833211846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217.40000000000012</v>
      </c>
      <c r="AJ65" s="13">
        <f>AI65*VLOOKUP('Données projet'!$B$10,Paramètres!$A$1:$I$89,3,0)*VLOOKUP('Données projet'!$B$10,Paramètres!$A$1:$I$89,5,0)</f>
        <v>142.44048000000009</v>
      </c>
      <c r="AK65" s="13">
        <f t="shared" si="35"/>
        <v>36.855521628538284</v>
      </c>
      <c r="AL65" s="20">
        <f t="shared" si="4"/>
        <v>312.27386950303764</v>
      </c>
      <c r="AM65" s="59">
        <f t="shared" si="5"/>
        <v>605.60720283637102</v>
      </c>
      <c r="AN65" s="59">
        <f ca="1">AVERAGE(OFFSET($AM$3,0,0,'Données projet'!$E$10+1,1))-AVERAGE(OFFSET($H$3,0,0,'Données projet'!$E$10+1,1))</f>
        <v>244.43587473734613</v>
      </c>
      <c r="AO65" s="59">
        <f t="shared" si="36"/>
        <v>256.80261402149375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8.2071726504890776</v>
      </c>
      <c r="AW65" s="21">
        <f>EXP(-LN(2)/2)*AW64+(1-EXP(-LN(2)/2))/(LN(2)/2)*AQ65*AT65*VLOOKUP('Données projet'!$B$10,Paramètres!$A$1:$I$89,3,0)*0.475*44/12</f>
        <v>2.5021776595758678</v>
      </c>
      <c r="AX65" s="21">
        <f t="shared" si="6"/>
        <v>10.709350310064945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-2.2737367544323206E-13</v>
      </c>
      <c r="BE65" s="13">
        <f>BD65*VLOOKUP('Données projet'!$B$11,Paramètres!$A$1:$I$89,3,0)*VLOOKUP('Données projet'!$B$11,Paramètres!$A$1:$I$89,5,0)</f>
        <v>-1.2710188457276673E-13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430.60186171079067</v>
      </c>
      <c r="BJ65" s="59">
        <f t="shared" si="38"/>
        <v>533.76627289533985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248.73385639832992</v>
      </c>
      <c r="BQ65" s="21">
        <f>EXP(-LN(2)/25)*BQ64+(1-EXP(-LN(2)/25))/(LN(2)/25)*Calculateur!BL65*Calculateur!BN65*VLOOKUP('Données projet'!$B$11,Paramètres!$A$1:$I$89,3,0)*0.475*44/12</f>
        <v>60.949183179333936</v>
      </c>
      <c r="BR65" s="21">
        <f>EXP(-LN(2)/2)*BR64+(1-EXP(-LN(2)/2))/(LN(2)/2)*BL65*BO65*VLOOKUP('Données projet'!$B$11,Paramètres!$A$1:$I$89,3,0)*0.475*44/12</f>
        <v>28.160425197654629</v>
      </c>
      <c r="BS65" s="22">
        <f t="shared" si="9"/>
        <v>337.84346477531847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7.709230769230774</v>
      </c>
      <c r="BY65" s="12">
        <f>IF('Données projet'!$A$114&gt;35,BY64+BX65-CG64,IF(A65&lt;'Données projet'!$A$114,$BV$205^A65,IF(A65='Données projet'!$A$114,'Données projet'!$B$114,BY64+BX65-CG64)))</f>
        <v>240.64923076923068</v>
      </c>
      <c r="BZ65" s="13">
        <f>BY65*VLOOKUP('Données projet'!$B$12,Paramètres!$A$1:$I$89,3,0)*VLOOKUP('Données projet'!$B$12,Paramètres!$A$1:$I$89,5,0)</f>
        <v>143.90823999999995</v>
      </c>
      <c r="CA65" s="13">
        <f t="shared" si="39"/>
        <v>37.190888648660987</v>
      </c>
      <c r="CB65" s="20">
        <f t="shared" si="10"/>
        <v>315.41431572975119</v>
      </c>
      <c r="CC65" s="59">
        <f t="shared" si="11"/>
        <v>608.74764906308451</v>
      </c>
      <c r="CD65" s="59">
        <f ca="1">AVERAGE(OFFSET($CC$3,0,0,'Données projet'!$E$12+1,1))-AVERAGE(OFFSET($H$3,0,0,'Données projet'!$E$12+1,1))</f>
        <v>215.89467197072673</v>
      </c>
      <c r="CE65" s="59">
        <f t="shared" si="40"/>
        <v>188.21397398859534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36.528507521319789</v>
      </c>
      <c r="CL65" s="21">
        <f>EXP(-LN(2)/25)*CL64+(1-EXP(-LN(2)/25))/(LN(2)/25)*Calculateur!CG65*Calculateur!CI65*VLOOKUP('Données projet'!$B$12,Paramètres!$A$1:$I$89,3,0)*0.475*44/12</f>
        <v>11.533799063408466</v>
      </c>
      <c r="CM65" s="21">
        <f>EXP(-LN(2)/2)*CM64+(1-EXP(-LN(2)/2))/(LN(2)/2)*CG65*CJ65*VLOOKUP('Données projet'!$B$12,Paramètres!$A$1:$I$89,3,0)*0.475*44/12</f>
        <v>2.3177989068332345</v>
      </c>
      <c r="CN65" s="22">
        <f t="shared" si="12"/>
        <v>50.380105491561487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4.8774928774928794</v>
      </c>
      <c r="CT65" s="12">
        <f>IF('Données projet'!$A$140&gt;35,CT64+CS65-DB64,IF(A65&lt;'Données projet'!$A$140,$CQ$205^A65,IF(A65='Données projet'!$A$140,'Données projet'!$B$140,CT64+CS65-DB64)))</f>
        <v>111.97934472934485</v>
      </c>
      <c r="CU65" s="17">
        <f>CT65*VLOOKUP('Données projet'!$B$13,Paramètres!$A$1:$I$89,3,0)*VLOOKUP('Données projet'!$B$13,Paramètres!$A$1:$I$89,5,0)</f>
        <v>113.54705555555569</v>
      </c>
      <c r="CV65" s="13">
        <f t="shared" si="41"/>
        <v>30.165148636325661</v>
      </c>
      <c r="CW65" s="20">
        <f t="shared" si="13"/>
        <v>250.29875563419333</v>
      </c>
      <c r="CX65" s="59">
        <f t="shared" si="14"/>
        <v>543.63208896752667</v>
      </c>
      <c r="CY65" s="59">
        <f ca="1">AVERAGE(OFFSET($CX$3,0,0,'Données projet'!$E$13+1,1))-AVERAGE(OFFSET($H$3,0,0,'Données projet'!$E$13+1,1))</f>
        <v>342.82846711287749</v>
      </c>
      <c r="CZ65" s="59">
        <f t="shared" si="42"/>
        <v>152.87724741106297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3.4</v>
      </c>
      <c r="DO65" s="12">
        <f>IF('Données projet'!$A$166&gt;35,DO64+DN65-DW64,IF(A65&lt;'Données projet'!$A$166,$DL$205^A65,IF(A65='Données projet'!$A$166,'Données projet'!$B$166,DO64+DN65-DW64)))</f>
        <v>191.8</v>
      </c>
      <c r="DP65" s="17">
        <f>DO65*VLOOKUP('Données projet'!$B$14,Paramètres!$A$1:$I$89,3,0)*VLOOKUP('Données projet'!$B$14,Paramètres!$A$1:$I$89,5,0)</f>
        <v>140.62775999999999</v>
      </c>
      <c r="DQ65" s="13">
        <f t="shared" si="43"/>
        <v>36.440779028004506</v>
      </c>
      <c r="DR65" s="20">
        <f t="shared" si="16"/>
        <v>308.39437214044113</v>
      </c>
      <c r="DS65" s="59">
        <f t="shared" si="17"/>
        <v>601.72770547377445</v>
      </c>
      <c r="DT65" s="59">
        <f ca="1">AVERAGE(OFFSET($DS$3,0,0,'Données projet'!$E$14+1,1))-AVERAGE(OFFSET($H$3,0,0,'Données projet'!$E$14+1,1))</f>
        <v>208.48147873805715</v>
      </c>
      <c r="DU65" s="59">
        <f t="shared" si="44"/>
        <v>209.50570914630686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4.3480934019005089</v>
      </c>
      <c r="EB65" s="21">
        <f>EXP(-LN(2)/25)*EB64+(1-EXP(-LN(2)/25))/(LN(2)/25)*Calculateur!DW65*Calculateur!DY65*VLOOKUP('Données projet'!$B$14,Paramètres!$A$1:$I$89,3,0)*0.475*44/12</f>
        <v>7.5549064697727673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11.902999871673277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-1.7053025658242404E-13</v>
      </c>
      <c r="EK65" s="17">
        <f>EJ65*VLOOKUP('Données projet'!$B$15,Paramètres!$A$1:$I$89,3,0)*VLOOKUP('Données projet'!$B$15,Paramètres!$A$1:$I$89,5,0)</f>
        <v>-1.0197709343628959E-13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247.31680974612766</v>
      </c>
      <c r="EP65" s="59">
        <f t="shared" si="46"/>
        <v>257.13949761071882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124.68436848690705</v>
      </c>
      <c r="EW65" s="21">
        <f>EXP(-LN(2)/25)*EW64+(1-EXP(-LN(2)/25))/(LN(2)/25)*Calculateur!ER65*Calculateur!ET65*VLOOKUP('Données projet'!$B$15,Paramètres!$A$1:$I$89,3,0)*0.475*44/12</f>
        <v>34.188804379430216</v>
      </c>
      <c r="EX65" s="21">
        <f>EXP(-LN(2)/2)*EX64+(1-EXP(-LN(2)/2))/(LN(2)/2)*ER65*EU65*VLOOKUP('Données projet'!$B$15,Paramètres!$A$1:$I$89,3,0)*0.475*44/12</f>
        <v>15.981424244989089</v>
      </c>
      <c r="EY65" s="22">
        <f t="shared" si="21"/>
        <v>174.85459711132634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11.203919999999989</v>
      </c>
      <c r="D66" s="11">
        <f t="shared" si="32"/>
        <v>3.8974037268945612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23.314324350293344</v>
      </c>
      <c r="H66" s="67">
        <f t="shared" si="1"/>
        <v>282.96813882434134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350.69230769230768</v>
      </c>
      <c r="L66" s="12">
        <f>VLOOKUP(A66,'Données projet'!$A$35:$I$55,9,0)</f>
        <v>10.763461538461542</v>
      </c>
      <c r="M66" s="12">
        <f t="array" ref="M66">INDEX(L:L,MIN(IF(ISNUMBER(L66:L262),ROW(L66:L262),"")))</f>
        <v>10.763461538461542</v>
      </c>
      <c r="N66" s="13">
        <f>IF('Données projet'!$A$36&gt;35,N65+M66-V65,IF(A66&lt;'Données projet'!$A$36,$K$205^A66,IF(A66='Données projet'!$A$36,'Données projet'!$B$36,N65+M66-V65)))</f>
        <v>350.69230769230785</v>
      </c>
      <c r="O66" s="13">
        <f>N66*VLOOKUP('Données projet'!$B$9,Paramètres!$A$1:$I$89,3,0)*VLOOKUP('Données projet'!$B$9,Paramètres!$A$1:$I$89,5,0)</f>
        <v>164.12400000000008</v>
      </c>
      <c r="P66" s="13">
        <f t="shared" si="33"/>
        <v>41.771312955270602</v>
      </c>
      <c r="Q66" s="20">
        <f t="shared" si="53"/>
        <v>358.60100339709646</v>
      </c>
      <c r="R66" s="59">
        <f t="shared" si="0"/>
        <v>651.93433673042978</v>
      </c>
      <c r="S66" s="59">
        <f ca="1">AVERAGE(OFFSET($R$3,0,0,'Données projet'!$E$9+1,1))-AVERAGE(OFFSET($H$3,0,0,'Données projet'!$E$9+1,1))</f>
        <v>223.99456146593315</v>
      </c>
      <c r="T66" s="59">
        <f t="shared" si="34"/>
        <v>132.73290587325937</v>
      </c>
      <c r="U66" s="15">
        <f>IF(ISNA(VLOOKUP(A66,'Données projet'!$A$35:$I$55,3,0)),0,VLOOKUP(A66,'Données projet'!$A$35:$I$55,3,0))</f>
        <v>2</v>
      </c>
      <c r="V66" s="15">
        <f>IF(ISNA(VLOOKUP(A66,'Données projet'!$A$35:$I$55,4,0)),0,VLOOKUP(A66,'Données projet'!$A$35:$I$55,4,0))</f>
        <v>108.08461538461538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9.240000000000001E-2</v>
      </c>
      <c r="Y66" s="16">
        <f>IF(ISNA(VLOOKUP(A66,'Données projet'!$A$35:$I$55,7,0)),0%,VLOOKUP(A66,'Données projet'!$A$35:$I$55,7,0))</f>
        <v>0.13200000000000001</v>
      </c>
      <c r="Z66" s="21">
        <f>EXP(-LN(2)/35)*Z65+(1-EXP(-LN(2)/35))/(LN(2)/35)*V66*W66*VLOOKUP('Données projet'!$B$9,Paramètres!$A$1:$I$89,3,0)*0.475*44/12</f>
        <v>25.834426228446034</v>
      </c>
      <c r="AA66" s="21">
        <f>EXP(-LN(2)/25)*AA65+(1-EXP(-LN(2)/25))/(LN(2)/25)*Calculateur!V66*Calculateur!X66*VLOOKUP('Données projet'!$B$9,Paramètres!$A$1:$I$89,3,0)*0.475*44/12</f>
        <v>19.873668051802269</v>
      </c>
      <c r="AB66" s="21">
        <f>EXP(-LN(2)/2)*AB65+(1-EXP(-LN(2)/2))/(LN(2)/2)*V66*Y66*VLOOKUP('Données projet'!$B$9,Paramètres!$A$1:$I$89,3,0)*0.475*44/12</f>
        <v>7.9253715568647767</v>
      </c>
      <c r="AC66" s="22">
        <f t="shared" si="3"/>
        <v>53.633465837113079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222.60000000000011</v>
      </c>
      <c r="AJ66" s="13">
        <f>AI66*VLOOKUP('Données projet'!$B$10,Paramètres!$A$1:$I$89,3,0)*VLOOKUP('Données projet'!$B$10,Paramètres!$A$1:$I$89,5,0)</f>
        <v>145.84752000000009</v>
      </c>
      <c r="AK66" s="13">
        <f t="shared" si="35"/>
        <v>37.633383344887093</v>
      </c>
      <c r="AL66" s="20">
        <f t="shared" si="4"/>
        <v>319.56257332567844</v>
      </c>
      <c r="AM66" s="59">
        <f t="shared" si="5"/>
        <v>612.89590665901176</v>
      </c>
      <c r="AN66" s="59">
        <f ca="1">AVERAGE(OFFSET($AM$3,0,0,'Données projet'!$E$10+1,1))-AVERAGE(OFFSET($H$3,0,0,'Données projet'!$E$10+1,1))</f>
        <v>244.43587473734613</v>
      </c>
      <c r="AO66" s="59">
        <f t="shared" si="36"/>
        <v>256.80261402149375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7.9827470827650018</v>
      </c>
      <c r="AW66" s="21">
        <f>EXP(-LN(2)/2)*AW65+(1-EXP(-LN(2)/2))/(LN(2)/2)*AQ66*AT66*VLOOKUP('Données projet'!$B$10,Paramètres!$A$1:$I$89,3,0)*0.475*44/12</f>
        <v>1.769306790819581</v>
      </c>
      <c r="AX66" s="21">
        <f t="shared" si="6"/>
        <v>9.7520538735845825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-2.2737367544323206E-13</v>
      </c>
      <c r="BE66" s="13">
        <f>BD66*VLOOKUP('Données projet'!$B$11,Paramètres!$A$1:$I$89,3,0)*VLOOKUP('Données projet'!$B$11,Paramètres!$A$1:$I$89,5,0)</f>
        <v>-1.2710188457276673E-13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430.60186171079067</v>
      </c>
      <c r="BJ66" s="59">
        <f t="shared" si="38"/>
        <v>533.76627289533985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243.8563371870307</v>
      </c>
      <c r="BQ66" s="21">
        <f>EXP(-LN(2)/25)*BQ65+(1-EXP(-LN(2)/25))/(LN(2)/25)*Calculateur!BL66*Calculateur!BN66*VLOOKUP('Données projet'!$B$11,Paramètres!$A$1:$I$89,3,0)*0.475*44/12</f>
        <v>59.282524560116805</v>
      </c>
      <c r="BR66" s="21">
        <f>EXP(-LN(2)/2)*BR65+(1-EXP(-LN(2)/2))/(LN(2)/2)*BL66*BO66*VLOOKUP('Données projet'!$B$11,Paramètres!$A$1:$I$89,3,0)*0.475*44/12</f>
        <v>19.912427618358112</v>
      </c>
      <c r="BS66" s="22">
        <f t="shared" si="9"/>
        <v>323.05128936550562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7.709230769230774</v>
      </c>
      <c r="BY66" s="12">
        <f>IF('Données projet'!$A$114&gt;35,BY65+BX66-CG65,IF(A66&lt;'Données projet'!$A$114,$BV$205^A66,IF(A66='Données projet'!$A$114,'Données projet'!$B$114,BY65+BX66-CG65)))</f>
        <v>248.35846153846146</v>
      </c>
      <c r="BZ66" s="13">
        <f>BY66*VLOOKUP('Données projet'!$B$12,Paramètres!$A$1:$I$89,3,0)*VLOOKUP('Données projet'!$B$12,Paramètres!$A$1:$I$89,5,0)</f>
        <v>148.51835999999994</v>
      </c>
      <c r="CA66" s="13">
        <f t="shared" si="39"/>
        <v>38.241683333483984</v>
      </c>
      <c r="CB66" s="20">
        <f t="shared" si="10"/>
        <v>325.27374213915112</v>
      </c>
      <c r="CC66" s="59">
        <f t="shared" si="11"/>
        <v>618.60707547248444</v>
      </c>
      <c r="CD66" s="59">
        <f ca="1">AVERAGE(OFFSET($CC$3,0,0,'Données projet'!$E$12+1,1))-AVERAGE(OFFSET($H$3,0,0,'Données projet'!$E$12+1,1))</f>
        <v>215.89467197072673</v>
      </c>
      <c r="CE66" s="59">
        <f t="shared" si="40"/>
        <v>188.21397398859534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35.812205769016309</v>
      </c>
      <c r="CL66" s="21">
        <f>EXP(-LN(2)/25)*CL65+(1-EXP(-LN(2)/25))/(LN(2)/25)*Calculateur!CG66*Calculateur!CI66*VLOOKUP('Données projet'!$B$12,Paramètres!$A$1:$I$89,3,0)*0.475*44/12</f>
        <v>11.218406721483429</v>
      </c>
      <c r="CM66" s="21">
        <f>EXP(-LN(2)/2)*CM65+(1-EXP(-LN(2)/2))/(LN(2)/2)*CG66*CJ66*VLOOKUP('Données projet'!$B$12,Paramètres!$A$1:$I$89,3,0)*0.475*44/12</f>
        <v>1.6389313244485471</v>
      </c>
      <c r="CN66" s="22">
        <f t="shared" si="12"/>
        <v>48.669543814948284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4.8774928774928794</v>
      </c>
      <c r="CT66" s="12">
        <f>IF('Données projet'!$A$140&gt;35,CT65+CS66-DB65,IF(A66&lt;'Données projet'!$A$140,$CQ$205^A66,IF(A66='Données projet'!$A$140,'Données projet'!$B$140,CT65+CS66-DB65)))</f>
        <v>116.85683760683773</v>
      </c>
      <c r="CU66" s="17">
        <f>CT66*VLOOKUP('Données projet'!$B$13,Paramètres!$A$1:$I$89,3,0)*VLOOKUP('Données projet'!$B$13,Paramètres!$A$1:$I$89,5,0)</f>
        <v>118.49283333333348</v>
      </c>
      <c r="CV66" s="13">
        <f t="shared" si="41"/>
        <v>31.323219256595408</v>
      </c>
      <c r="CW66" s="20">
        <f t="shared" si="13"/>
        <v>260.92962492745949</v>
      </c>
      <c r="CX66" s="59">
        <f t="shared" si="14"/>
        <v>554.26295826079286</v>
      </c>
      <c r="CY66" s="59">
        <f ca="1">AVERAGE(OFFSET($CX$3,0,0,'Données projet'!$E$13+1,1))-AVERAGE(OFFSET($H$3,0,0,'Données projet'!$E$13+1,1))</f>
        <v>342.82846711287749</v>
      </c>
      <c r="CZ66" s="59">
        <f t="shared" si="42"/>
        <v>152.87724741106297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3.4</v>
      </c>
      <c r="DO66" s="12">
        <f>IF('Données projet'!$A$166&gt;35,DO65+DN66-DW65,IF(A66&lt;'Données projet'!$A$166,$DL$205^A66,IF(A66='Données projet'!$A$166,'Données projet'!$B$166,DO65+DN66-DW65)))</f>
        <v>195.20000000000002</v>
      </c>
      <c r="DP66" s="17">
        <f>DO66*VLOOKUP('Données projet'!$B$14,Paramètres!$A$1:$I$89,3,0)*VLOOKUP('Données projet'!$B$14,Paramètres!$A$1:$I$89,5,0)</f>
        <v>143.12064000000001</v>
      </c>
      <c r="DQ66" s="13">
        <f t="shared" si="43"/>
        <v>37.010980471852143</v>
      </c>
      <c r="DR66" s="20">
        <f t="shared" si="16"/>
        <v>313.72923898847586</v>
      </c>
      <c r="DS66" s="59">
        <f t="shared" si="17"/>
        <v>607.06257232180917</v>
      </c>
      <c r="DT66" s="59">
        <f ca="1">AVERAGE(OFFSET($DS$3,0,0,'Données projet'!$E$14+1,1))-AVERAGE(OFFSET($H$3,0,0,'Données projet'!$E$14+1,1))</f>
        <v>208.48147873805715</v>
      </c>
      <c r="DU66" s="59">
        <f t="shared" si="44"/>
        <v>209.50570914630686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4.2628299423643448</v>
      </c>
      <c r="EB66" s="21">
        <f>EXP(-LN(2)/25)*EB65+(1-EXP(-LN(2)/25))/(LN(2)/25)*Calculateur!DW66*Calculateur!DY66*VLOOKUP('Données projet'!$B$14,Paramètres!$A$1:$I$89,3,0)*0.475*44/12</f>
        <v>7.3483171550615669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11.611147097425912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-1.7053025658242404E-13</v>
      </c>
      <c r="EK66" s="17">
        <f>EJ66*VLOOKUP('Données projet'!$B$15,Paramètres!$A$1:$I$89,3,0)*VLOOKUP('Données projet'!$B$15,Paramètres!$A$1:$I$89,5,0)</f>
        <v>-1.0197709343628959E-13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247.31680974612766</v>
      </c>
      <c r="EP66" s="59">
        <f t="shared" si="46"/>
        <v>257.13949761071882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122.23938407083426</v>
      </c>
      <c r="EW66" s="21">
        <f>EXP(-LN(2)/25)*EW65+(1-EXP(-LN(2)/25))/(LN(2)/25)*Calculateur!ER66*Calculateur!ET66*VLOOKUP('Données projet'!$B$15,Paramètres!$A$1:$I$89,3,0)*0.475*44/12</f>
        <v>33.253909725763613</v>
      </c>
      <c r="EX66" s="21">
        <f>EXP(-LN(2)/2)*EX65+(1-EXP(-LN(2)/2))/(LN(2)/2)*ER66*EU66*VLOOKUP('Données projet'!$B$15,Paramètres!$A$1:$I$89,3,0)*0.475*44/12</f>
        <v>11.300573456650886</v>
      </c>
      <c r="EY66" s="22">
        <f t="shared" si="21"/>
        <v>166.79386725324875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11.381759999999989</v>
      </c>
      <c r="D67" s="11">
        <f t="shared" si="32"/>
        <v>3.9520161586954075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23.673198280091142</v>
      </c>
      <c r="H67" s="67">
        <f t="shared" si="1"/>
        <v>283.37299347639453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9.8224358974358967</v>
      </c>
      <c r="N67" s="13">
        <f>IF('Données projet'!$A$36&gt;35,N66+M67-V66,IF(A67&lt;'Données projet'!$A$36,$K$205^A67,IF(A67='Données projet'!$A$36,'Données projet'!$B$36,N66+M67-V66)))</f>
        <v>252.4301282051284</v>
      </c>
      <c r="O67" s="13">
        <f>N67*VLOOKUP('Données projet'!$B$9,Paramètres!$A$1:$I$89,3,0)*VLOOKUP('Données projet'!$B$9,Paramètres!$A$1:$I$89,5,0)</f>
        <v>118.1373000000001</v>
      </c>
      <c r="P67" s="13">
        <f t="shared" si="33"/>
        <v>31.240160341179944</v>
      </c>
      <c r="Q67" s="20">
        <f t="shared" ref="Q67:Q98" si="54">(O67+P67)*0.475*44/12</f>
        <v>260.16574342755524</v>
      </c>
      <c r="R67" s="59">
        <f t="shared" ref="R67:R130" si="55">Q67+(I67+J67)*44/12</f>
        <v>553.49907676088856</v>
      </c>
      <c r="S67" s="59">
        <f ca="1">AVERAGE(OFFSET($R$3,0,0,'Données projet'!$E$9+1,1))-AVERAGE(OFFSET($H$3,0,0,'Données projet'!$E$9+1,1))</f>
        <v>223.99456146593315</v>
      </c>
      <c r="T67" s="59">
        <f t="shared" si="34"/>
        <v>132.73290587325937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25.327828887550289</v>
      </c>
      <c r="AA67" s="21">
        <f>EXP(-LN(2)/25)*AA66+(1-EXP(-LN(2)/25))/(LN(2)/25)*Calculateur!V67*Calculateur!X67*VLOOKUP('Données projet'!$B$9,Paramètres!$A$1:$I$89,3,0)*0.475*44/12</f>
        <v>19.330221553814955</v>
      </c>
      <c r="AB67" s="21">
        <f>EXP(-LN(2)/2)*AB66+(1-EXP(-LN(2)/2))/(LN(2)/2)*V67*Y67*VLOOKUP('Données projet'!$B$9,Paramètres!$A$1:$I$89,3,0)*0.475*44/12</f>
        <v>5.6040839712820691</v>
      </c>
      <c r="AC67" s="22">
        <f t="shared" si="3"/>
        <v>50.262134412647313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227.8000000000001</v>
      </c>
      <c r="AJ67" s="13">
        <f>AI67*VLOOKUP('Données projet'!$B$10,Paramètres!$A$1:$I$89,3,0)*VLOOKUP('Données projet'!$B$10,Paramètres!$A$1:$I$89,5,0)</f>
        <v>149.25456000000005</v>
      </c>
      <c r="AK67" s="13">
        <f t="shared" si="35"/>
        <v>38.409132618275962</v>
      </c>
      <c r="AL67" s="20">
        <f t="shared" si="4"/>
        <v>326.84759797683068</v>
      </c>
      <c r="AM67" s="59">
        <f t="shared" si="5"/>
        <v>620.18093131016394</v>
      </c>
      <c r="AN67" s="59">
        <f ca="1">AVERAGE(OFFSET($AM$3,0,0,'Données projet'!$E$10+1,1))-AVERAGE(OFFSET($H$3,0,0,'Données projet'!$E$10+1,1))</f>
        <v>244.43587473734613</v>
      </c>
      <c r="AO67" s="59">
        <f t="shared" si="36"/>
        <v>256.80261402149375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7.7644584439923685</v>
      </c>
      <c r="AW67" s="21">
        <f>EXP(-LN(2)/2)*AW66+(1-EXP(-LN(2)/2))/(LN(2)/2)*AQ67*AT67*VLOOKUP('Données projet'!$B$10,Paramètres!$A$1:$I$89,3,0)*0.475*44/12</f>
        <v>1.2510888297879341</v>
      </c>
      <c r="AX67" s="21">
        <f t="shared" si="6"/>
        <v>9.0155472737803031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-2.2737367544323206E-13</v>
      </c>
      <c r="BE67" s="13">
        <f>BD67*VLOOKUP('Données projet'!$B$11,Paramètres!$A$1:$I$89,3,0)*VLOOKUP('Données projet'!$B$11,Paramètres!$A$1:$I$89,5,0)</f>
        <v>-1.2710188457276673E-13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430.60186171079067</v>
      </c>
      <c r="BJ67" s="59">
        <f t="shared" si="38"/>
        <v>533.76627289533985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239.07446315247208</v>
      </c>
      <c r="BQ67" s="21">
        <f>EXP(-LN(2)/25)*BQ66+(1-EXP(-LN(2)/25))/(LN(2)/25)*Calculateur!BL67*Calculateur!BN67*VLOOKUP('Données projet'!$B$11,Paramètres!$A$1:$I$89,3,0)*0.475*44/12</f>
        <v>57.661440808487939</v>
      </c>
      <c r="BR67" s="21">
        <f>EXP(-LN(2)/2)*BR66+(1-EXP(-LN(2)/2))/(LN(2)/2)*BL67*BO67*VLOOKUP('Données projet'!$B$11,Paramètres!$A$1:$I$89,3,0)*0.475*44/12</f>
        <v>14.080212598827316</v>
      </c>
      <c r="BS67" s="22">
        <f t="shared" si="9"/>
        <v>310.8161165597873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7.709230769230774</v>
      </c>
      <c r="BY67" s="12">
        <f>IF('Données projet'!$A$114&gt;35,BY66+BX67-CG66,IF(A67&lt;'Données projet'!$A$114,$BV$205^A67,IF(A67='Données projet'!$A$114,'Données projet'!$B$114,BY66+BX67-CG66)))</f>
        <v>256.06769230769225</v>
      </c>
      <c r="BZ67" s="13">
        <f>BY67*VLOOKUP('Données projet'!$B$12,Paramètres!$A$1:$I$89,3,0)*VLOOKUP('Données projet'!$B$12,Paramètres!$A$1:$I$89,5,0)</f>
        <v>153.12847999999997</v>
      </c>
      <c r="CA67" s="13">
        <f t="shared" si="39"/>
        <v>39.288687555174583</v>
      </c>
      <c r="CB67" s="20">
        <f t="shared" si="10"/>
        <v>335.12656682526233</v>
      </c>
      <c r="CC67" s="59">
        <f t="shared" si="11"/>
        <v>628.4599001585957</v>
      </c>
      <c r="CD67" s="59">
        <f ca="1">AVERAGE(OFFSET($CC$3,0,0,'Données projet'!$E$12+1,1))-AVERAGE(OFFSET($H$3,0,0,'Données projet'!$E$12+1,1))</f>
        <v>215.89467197072673</v>
      </c>
      <c r="CE67" s="59">
        <f t="shared" si="40"/>
        <v>188.21397398859534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35.109950257174575</v>
      </c>
      <c r="CL67" s="21">
        <f>EXP(-LN(2)/25)*CL66+(1-EXP(-LN(2)/25))/(LN(2)/25)*Calculateur!CG67*Calculateur!CI67*VLOOKUP('Données projet'!$B$12,Paramètres!$A$1:$I$89,3,0)*0.475*44/12</f>
        <v>10.911638799734096</v>
      </c>
      <c r="CM67" s="21">
        <f>EXP(-LN(2)/2)*CM66+(1-EXP(-LN(2)/2))/(LN(2)/2)*CG67*CJ67*VLOOKUP('Données projet'!$B$12,Paramètres!$A$1:$I$89,3,0)*0.475*44/12</f>
        <v>1.1588994534166173</v>
      </c>
      <c r="CN67" s="22">
        <f t="shared" si="12"/>
        <v>47.180488510325283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4.8774928774928794</v>
      </c>
      <c r="CT67" s="12">
        <f>IF('Données projet'!$A$140&gt;35,CT66+CS67-DB66,IF(A67&lt;'Données projet'!$A$140,$CQ$205^A67,IF(A67='Données projet'!$A$140,'Données projet'!$B$140,CT66+CS67-DB66)))</f>
        <v>121.73433048433061</v>
      </c>
      <c r="CU67" s="17">
        <f>CT67*VLOOKUP('Données projet'!$B$13,Paramètres!$A$1:$I$89,3,0)*VLOOKUP('Données projet'!$B$13,Paramètres!$A$1:$I$89,5,0)</f>
        <v>123.43861111111124</v>
      </c>
      <c r="CV67" s="13">
        <f t="shared" si="41"/>
        <v>32.475675401699398</v>
      </c>
      <c r="CW67" s="20">
        <f t="shared" si="13"/>
        <v>271.55071567647849</v>
      </c>
      <c r="CX67" s="59">
        <f t="shared" si="14"/>
        <v>564.88404900981186</v>
      </c>
      <c r="CY67" s="59">
        <f ca="1">AVERAGE(OFFSET($CX$3,0,0,'Données projet'!$E$13+1,1))-AVERAGE(OFFSET($H$3,0,0,'Données projet'!$E$13+1,1))</f>
        <v>342.82846711287749</v>
      </c>
      <c r="CZ67" s="59">
        <f t="shared" si="42"/>
        <v>152.87724741106297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3.4</v>
      </c>
      <c r="DO67" s="12">
        <f>IF('Données projet'!$A$166&gt;35,DO66+DN67-DW66,IF(A67&lt;'Données projet'!$A$166,$DL$205^A67,IF(A67='Données projet'!$A$166,'Données projet'!$B$166,DO66+DN67-DW66)))</f>
        <v>198.60000000000002</v>
      </c>
      <c r="DP67" s="17">
        <f>DO67*VLOOKUP('Données projet'!$B$14,Paramètres!$A$1:$I$89,3,0)*VLOOKUP('Données projet'!$B$14,Paramètres!$A$1:$I$89,5,0)</f>
        <v>145.61351999999999</v>
      </c>
      <c r="DQ67" s="13">
        <f t="shared" si="43"/>
        <v>37.580026965041412</v>
      </c>
      <c r="DR67" s="20">
        <f t="shared" si="16"/>
        <v>319.06209429744712</v>
      </c>
      <c r="DS67" s="59">
        <f t="shared" si="17"/>
        <v>612.39542763078043</v>
      </c>
      <c r="DT67" s="59">
        <f ca="1">AVERAGE(OFFSET($DS$3,0,0,'Données projet'!$E$14+1,1))-AVERAGE(OFFSET($H$3,0,0,'Données projet'!$E$14+1,1))</f>
        <v>208.48147873805715</v>
      </c>
      <c r="DU67" s="59">
        <f t="shared" si="44"/>
        <v>209.50570914630686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4.1792384472641091</v>
      </c>
      <c r="EB67" s="21">
        <f>EXP(-LN(2)/25)*EB66+(1-EXP(-LN(2)/25))/(LN(2)/25)*Calculateur!DW67*Calculateur!DY67*VLOOKUP('Données projet'!$B$14,Paramètres!$A$1:$I$89,3,0)*0.475*44/12</f>
        <v>7.1473770360252038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11.326615483289313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-1.7053025658242404E-13</v>
      </c>
      <c r="EK67" s="17">
        <f>EJ67*VLOOKUP('Données projet'!$B$15,Paramètres!$A$1:$I$89,3,0)*VLOOKUP('Données projet'!$B$15,Paramètres!$A$1:$I$89,5,0)</f>
        <v>-1.0197709343628959E-13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247.31680974612766</v>
      </c>
      <c r="EP67" s="59">
        <f t="shared" si="46"/>
        <v>257.13949761071882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119.84234430786744</v>
      </c>
      <c r="EW67" s="21">
        <f>EXP(-LN(2)/25)*EW66+(1-EXP(-LN(2)/25))/(LN(2)/25)*Calculateur!ER67*Calculateur!ET67*VLOOKUP('Données projet'!$B$15,Paramètres!$A$1:$I$89,3,0)*0.475*44/12</f>
        <v>32.344579815565496</v>
      </c>
      <c r="EX67" s="21">
        <f>EXP(-LN(2)/2)*EX66+(1-EXP(-LN(2)/2))/(LN(2)/2)*ER67*EU67*VLOOKUP('Données projet'!$B$15,Paramètres!$A$1:$I$89,3,0)*0.475*44/12</f>
        <v>7.9907121224945454</v>
      </c>
      <c r="EY67" s="22">
        <f t="shared" si="21"/>
        <v>160.17763624592749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11.559599999999989</v>
      </c>
      <c r="D68" s="11">
        <f t="shared" si="32"/>
        <v>4.0065293501366002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24.031918996702103</v>
      </c>
      <c r="H68" s="67">
        <f t="shared" ref="H68:H131" si="56">(B68+E68+F68)*44/12+(C68+D68)*0.475*44/12</f>
        <v>283.77767528482127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9.8224358974358967</v>
      </c>
      <c r="N68" s="13">
        <f>IF('Données projet'!$A$36&gt;35,N67+M68-V67,IF(A68&lt;'Données projet'!$A$36,$K$205^A68,IF(A68='Données projet'!$A$36,'Données projet'!$B$36,N67+M68-V67)))</f>
        <v>262.25256410256429</v>
      </c>
      <c r="O68" s="13">
        <f>N68*VLOOKUP('Données projet'!$B$9,Paramètres!$A$1:$I$89,3,0)*VLOOKUP('Données projet'!$B$9,Paramètres!$A$1:$I$89,5,0)</f>
        <v>122.73420000000009</v>
      </c>
      <c r="P68" s="13">
        <f t="shared" si="33"/>
        <v>32.311867973295051</v>
      </c>
      <c r="Q68" s="20">
        <f t="shared" si="54"/>
        <v>270.03856838682231</v>
      </c>
      <c r="R68" s="59">
        <f t="shared" si="55"/>
        <v>563.37190172015562</v>
      </c>
      <c r="S68" s="59">
        <f ca="1">AVERAGE(OFFSET($R$3,0,0,'Données projet'!$E$9+1,1))-AVERAGE(OFFSET($H$3,0,0,'Données projet'!$E$9+1,1))</f>
        <v>223.99456146593315</v>
      </c>
      <c r="T68" s="59">
        <f t="shared" si="34"/>
        <v>132.73290587325937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24.83116561151564</v>
      </c>
      <c r="AA68" s="21">
        <f>EXP(-LN(2)/25)*AA67+(1-EXP(-LN(2)/25))/(LN(2)/25)*Calculateur!V68*Calculateur!X68*VLOOKUP('Données projet'!$B$9,Paramètres!$A$1:$I$89,3,0)*0.475*44/12</f>
        <v>18.801635628893713</v>
      </c>
      <c r="AB68" s="21">
        <f>EXP(-LN(2)/2)*AB67+(1-EXP(-LN(2)/2))/(LN(2)/2)*V68*Y68*VLOOKUP('Données projet'!$B$9,Paramètres!$A$1:$I$89,3,0)*0.475*44/12</f>
        <v>3.9626857784323888</v>
      </c>
      <c r="AC68" s="22">
        <f t="shared" ref="AC68:AC131" si="57">SUM(Z68:AB68)</f>
        <v>47.595487018841737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233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233.00000000000009</v>
      </c>
      <c r="AJ68" s="13">
        <f>AI68*VLOOKUP('Données projet'!$B$10,Paramètres!$A$1:$I$89,3,0)*VLOOKUP('Données projet'!$B$10,Paramètres!$A$1:$I$89,5,0)</f>
        <v>152.66160000000005</v>
      </c>
      <c r="AK68" s="13">
        <f t="shared" si="35"/>
        <v>39.182823220412118</v>
      </c>
      <c r="AL68" s="20">
        <f t="shared" ref="AL68:AL131" si="58">(AJ68+AK68)*0.475*44/12</f>
        <v>334.12903710888452</v>
      </c>
      <c r="AM68" s="59">
        <f t="shared" ref="AM68:AM131" si="59">AL68+(AD68+AE68)*44/12</f>
        <v>627.46237044221789</v>
      </c>
      <c r="AN68" s="59">
        <f ca="1">AVERAGE(OFFSET($AM$3,0,0,'Données projet'!$E$10+1,1))-AVERAGE(OFFSET($H$3,0,0,'Données projet'!$E$10+1,1))</f>
        <v>244.43587473734613</v>
      </c>
      <c r="AO68" s="59">
        <f t="shared" si="36"/>
        <v>256.80261402149375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20</v>
      </c>
      <c r="AR68" s="16">
        <f>IF(ISNA(VLOOKUP(A68,'Données projet'!$A$61:$I$81,5,0)),0%,VLOOKUP(A68,'Données projet'!$A$61:$I$81,5,0)*VLOOKUP('Données projet'!$B$10,Paramètres!$A$1:$I$89,7,0))</f>
        <v>4.3000000000000003E-2</v>
      </c>
      <c r="AS68" s="16">
        <f>IF(ISNA(VLOOKUP(A68,'Données projet'!$A$61:$I$81,6,0)),0%,VLOOKUP(A68,'Données projet'!$A$61:$I$81,6,0)*VLOOKUP('Données projet'!$B$10,Paramètres!$A$1:$I$89,7,0))</f>
        <v>0.17200000000000001</v>
      </c>
      <c r="AT68" s="16">
        <f>IF(ISNA(VLOOKUP(A68,'Données projet'!$A$61:$I$81,7,0)),0%,VLOOKUP(A68,'Données projet'!$A$61:$I$81,7,0))</f>
        <v>0.3</v>
      </c>
      <c r="AU68" s="21">
        <f>EXP(-LN(2)/35)*AU67+(1-EXP(-LN(2)/35))/(LN(2)/35)*AQ68*AR68*VLOOKUP('Données projet'!$B$10,Paramètres!$A$1:$I$89,3,0)*0.475*44/12</f>
        <v>0.62290160569619046</v>
      </c>
      <c r="AV68" s="21">
        <f>EXP(-LN(2)/25)*AV67+(1-EXP(-LN(2)/25))/(LN(2)/25)*Calculateur!AQ68*Calculateur!AS68*VLOOKUP('Données projet'!$B$10,Paramètres!$A$1:$I$89,3,0)*0.475*44/12</f>
        <v>10.033934938448056</v>
      </c>
      <c r="AW68" s="21">
        <f>EXP(-LN(2)/2)*AW67+(1-EXP(-LN(2)/2))/(LN(2)/2)*AQ68*AT68*VLOOKUP('Données projet'!$B$10,Paramètres!$A$1:$I$89,3,0)*0.475*44/12</f>
        <v>4.5938464021064931</v>
      </c>
      <c r="AX68" s="21">
        <f t="shared" ref="AX68:AX131" si="60">SUM(AU68:AW68)</f>
        <v>15.250682946250739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-2.2737367544323206E-13</v>
      </c>
      <c r="BE68" s="13">
        <f>BD68*VLOOKUP('Données projet'!$B$11,Paramètres!$A$1:$I$89,3,0)*VLOOKUP('Données projet'!$B$11,Paramètres!$A$1:$I$89,5,0)</f>
        <v>-1.2710188457276673E-13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430.60186171079067</v>
      </c>
      <c r="BJ68" s="59">
        <f t="shared" si="38"/>
        <v>533.76627289533985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234.38635875107599</v>
      </c>
      <c r="BQ68" s="21">
        <f>EXP(-LN(2)/25)*BQ67+(1-EXP(-LN(2)/25))/(LN(2)/25)*Calculateur!BL68*Calculateur!BN68*VLOOKUP('Données projet'!$B$11,Paramètres!$A$1:$I$89,3,0)*0.475*44/12</f>
        <v>56.084685677296449</v>
      </c>
      <c r="BR68" s="21">
        <f>EXP(-LN(2)/2)*BR67+(1-EXP(-LN(2)/2))/(LN(2)/2)*BL68*BO68*VLOOKUP('Données projet'!$B$11,Paramètres!$A$1:$I$89,3,0)*0.475*44/12</f>
        <v>9.956213809179058</v>
      </c>
      <c r="BS68" s="22">
        <f t="shared" ref="BS68:BS131" si="63">SUM(BP68:BR68)</f>
        <v>300.42725823755154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7.709230769230774</v>
      </c>
      <c r="BY68" s="12">
        <f>IF('Données projet'!$A$114&gt;35,BY67+BX68-CG67,IF(A68&lt;'Données projet'!$A$114,$BV$205^A68,IF(A68='Données projet'!$A$114,'Données projet'!$B$114,BY67+BX68-CG67)))</f>
        <v>263.77692307692303</v>
      </c>
      <c r="BZ68" s="13">
        <f>BY68*VLOOKUP('Données projet'!$B$12,Paramètres!$A$1:$I$89,3,0)*VLOOKUP('Données projet'!$B$12,Paramètres!$A$1:$I$89,5,0)</f>
        <v>157.73859999999996</v>
      </c>
      <c r="CA68" s="13">
        <f t="shared" si="39"/>
        <v>40.33202852942668</v>
      </c>
      <c r="CB68" s="20">
        <f t="shared" ref="CB68:CB131" si="64">(BZ68+CA68)*0.475*44/12</f>
        <v>344.97301135541807</v>
      </c>
      <c r="CC68" s="59">
        <f t="shared" ref="CC68:CC131" si="65">CB68+(BT68+BU68)*44/12</f>
        <v>638.30634468875132</v>
      </c>
      <c r="CD68" s="59">
        <f ca="1">AVERAGE(OFFSET($CC$3,0,0,'Données projet'!$E$12+1,1))-AVERAGE(OFFSET($H$3,0,0,'Données projet'!$E$12+1,1))</f>
        <v>215.89467197072673</v>
      </c>
      <c r="CE68" s="59">
        <f t="shared" si="40"/>
        <v>188.21397398859534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34.421465547586486</v>
      </c>
      <c r="CL68" s="21">
        <f>EXP(-LN(2)/25)*CL67+(1-EXP(-LN(2)/25))/(LN(2)/25)*Calculateur!CG68*Calculateur!CI68*VLOOKUP('Données projet'!$B$12,Paramètres!$A$1:$I$89,3,0)*0.475*44/12</f>
        <v>10.613259462937222</v>
      </c>
      <c r="CM68" s="21">
        <f>EXP(-LN(2)/2)*CM67+(1-EXP(-LN(2)/2))/(LN(2)/2)*CG68*CJ68*VLOOKUP('Données projet'!$B$12,Paramètres!$A$1:$I$89,3,0)*0.475*44/12</f>
        <v>0.81946566222427353</v>
      </c>
      <c r="CN68" s="22">
        <f t="shared" ref="CN68:CN131" si="66">SUM(CK68:CM68)</f>
        <v>45.854190672747983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4.8774928774928794</v>
      </c>
      <c r="CT68" s="12">
        <f>IF('Données projet'!$A$140&gt;35,CT67+CS68-DB67,IF(A68&lt;'Données projet'!$A$140,$CQ$205^A68,IF(A68='Données projet'!$A$140,'Données projet'!$B$140,CT67+CS68-DB67)))</f>
        <v>126.6118233618235</v>
      </c>
      <c r="CU68" s="17">
        <f>CT68*VLOOKUP('Données projet'!$B$13,Paramètres!$A$1:$I$89,3,0)*VLOOKUP('Données projet'!$B$13,Paramètres!$A$1:$I$89,5,0)</f>
        <v>128.38438888888902</v>
      </c>
      <c r="CV68" s="13">
        <f t="shared" si="41"/>
        <v>33.622767761691009</v>
      </c>
      <c r="CW68" s="20">
        <f t="shared" ref="CW68:CW131" si="67">(CU68+CV68)*0.475*44/12</f>
        <v>282.16246449976023</v>
      </c>
      <c r="CX68" s="59">
        <f t="shared" ref="CX68:CX131" si="68">CW68+(CO68+CP68)*44/12</f>
        <v>575.49579783309355</v>
      </c>
      <c r="CY68" s="59">
        <f ca="1">AVERAGE(OFFSET($CX$3,0,0,'Données projet'!$E$13+1,1))-AVERAGE(OFFSET($H$3,0,0,'Données projet'!$E$13+1,1))</f>
        <v>342.82846711287749</v>
      </c>
      <c r="CZ68" s="59">
        <f t="shared" si="42"/>
        <v>152.87724741106297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202</v>
      </c>
      <c r="DM68" s="12">
        <f>VLOOKUP(A68,'Données projet'!$A$165:$I$185,9,0)</f>
        <v>3.4</v>
      </c>
      <c r="DN68" s="12">
        <f t="array" ref="DN68">INDEX(DM:DM,MIN(IF(ISNUMBER(DM68:DM264),ROW(DM68:DM264),"")))</f>
        <v>3.4</v>
      </c>
      <c r="DO68" s="12">
        <f>IF('Données projet'!$A$166&gt;35,DO67+DN68-DW67,IF(A68&lt;'Données projet'!$A$166,$DL$205^A68,IF(A68='Données projet'!$A$166,'Données projet'!$B$166,DO67+DN68-DW67)))</f>
        <v>202.00000000000003</v>
      </c>
      <c r="DP68" s="17">
        <f>DO68*VLOOKUP('Données projet'!$B$14,Paramètres!$A$1:$I$89,3,0)*VLOOKUP('Données projet'!$B$14,Paramètres!$A$1:$I$89,5,0)</f>
        <v>148.10640000000004</v>
      </c>
      <c r="DQ68" s="13">
        <f t="shared" si="43"/>
        <v>38.147940561860452</v>
      </c>
      <c r="DR68" s="20">
        <f t="shared" ref="DR68:DR131" si="70">(DP68+DQ68)*0.475*44/12</f>
        <v>324.39297647857364</v>
      </c>
      <c r="DS68" s="59">
        <f t="shared" ref="DS68:DS131" si="71">DR68+(DJ68+DK68)*44/12</f>
        <v>617.72630981190696</v>
      </c>
      <c r="DT68" s="59">
        <f ca="1">AVERAGE(OFFSET($DS$3,0,0,'Données projet'!$E$14+1,1))-AVERAGE(OFFSET($H$3,0,0,'Données projet'!$E$14+1,1))</f>
        <v>208.48147873805715</v>
      </c>
      <c r="DU68" s="59">
        <f t="shared" si="44"/>
        <v>209.50570914630686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8</v>
      </c>
      <c r="DX68" s="16">
        <f>IF(ISNA(VLOOKUP(A68,'Données projet'!$A$165:$I$185,5,0)),0%,VLOOKUP(A68,'Données projet'!$A$165:$I$185,5,0)*VLOOKUP('Données projet'!$B$14,Paramètres!$A$1:$I$89,7,0))</f>
        <v>0.27089999999999997</v>
      </c>
      <c r="DY68" s="16">
        <f>IF(ISNA(VLOOKUP(A68,'Données projet'!$A$165:$I$185,6,0)),0%,VLOOKUP(A68,'Données projet'!$A$165:$I$185,6,0)*VLOOKUP('Données projet'!$B$14,Paramètres!$A$1:$I$89,7,0))</f>
        <v>0.1075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5.8538686584602688</v>
      </c>
      <c r="EB68" s="21">
        <f>EXP(-LN(2)/25)*EB67+(1-EXP(-LN(2)/25))/(LN(2)/25)*Calculateur!DW68*Calculateur!DY68*VLOOKUP('Données projet'!$B$14,Paramètres!$A$1:$I$89,3,0)*0.475*44/12</f>
        <v>7.6462436165949415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13.50011227505521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-1.7053025658242404E-13</v>
      </c>
      <c r="EK68" s="17">
        <f>EJ68*VLOOKUP('Données projet'!$B$15,Paramètres!$A$1:$I$89,3,0)*VLOOKUP('Données projet'!$B$15,Paramètres!$A$1:$I$89,5,0)</f>
        <v>-1.0197709343628959E-13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247.31680974612766</v>
      </c>
      <c r="EP68" s="59">
        <f t="shared" si="46"/>
        <v>257.13949761071882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117.49230903260249</v>
      </c>
      <c r="EW68" s="21">
        <f>EXP(-LN(2)/25)*EW67+(1-EXP(-LN(2)/25))/(LN(2)/25)*Calculateur!ER68*Calculateur!ET68*VLOOKUP('Données projet'!$B$15,Paramètres!$A$1:$I$89,3,0)*0.475*44/12</f>
        <v>31.460115579581331</v>
      </c>
      <c r="EX68" s="21">
        <f>EXP(-LN(2)/2)*EX67+(1-EXP(-LN(2)/2))/(LN(2)/2)*ER68*EU68*VLOOKUP('Données projet'!$B$15,Paramètres!$A$1:$I$89,3,0)*0.475*44/12</f>
        <v>5.6502867283254439</v>
      </c>
      <c r="EY68" s="22">
        <f t="shared" ref="EY68:EY131" si="75">SUM(EV68:EX68)</f>
        <v>154.60271134050927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11.737439999999989</v>
      </c>
      <c r="D69" s="11">
        <f t="shared" ref="D69:D132" si="86">IFERROR(EXP(-1.0587+0.8836*LN(C69)+0.284),0)</f>
        <v>4.0609450043195316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24.390489129475753</v>
      </c>
      <c r="H69" s="67">
        <f t="shared" si="56"/>
        <v>284.18218721585652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9.8224358974358967</v>
      </c>
      <c r="N69" s="13">
        <f>IF('Données projet'!$A$36&gt;35,N68+M69-V68,IF(A69&lt;'Données projet'!$A$36,$K$205^A69,IF(A69='Données projet'!$A$36,'Données projet'!$B$36,N68+M69-V68)))</f>
        <v>272.07500000000022</v>
      </c>
      <c r="O69" s="13">
        <f>N69*VLOOKUP('Données projet'!$B$9,Paramètres!$A$1:$I$89,3,0)*VLOOKUP('Données projet'!$B$9,Paramètres!$A$1:$I$89,5,0)</f>
        <v>127.33110000000011</v>
      </c>
      <c r="P69" s="13">
        <f t="shared" ref="P69:P132" si="87">EXP(-1.0587+0.8836*LN(O69)+0.284)</f>
        <v>33.378912344830439</v>
      </c>
      <c r="Q69" s="20">
        <f t="shared" si="54"/>
        <v>279.90327150057988</v>
      </c>
      <c r="R69" s="59">
        <f t="shared" si="55"/>
        <v>573.23660483391313</v>
      </c>
      <c r="S69" s="59">
        <f ca="1">AVERAGE(OFFSET($R$3,0,0,'Données projet'!$E$9+1,1))-AVERAGE(OFFSET($H$3,0,0,'Données projet'!$E$9+1,1))</f>
        <v>223.99456146593315</v>
      </c>
      <c r="T69" s="59">
        <f t="shared" ref="T69:T132" si="88">$T$3</f>
        <v>132.73290587325937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24.344241599389346</v>
      </c>
      <c r="AA69" s="21">
        <f>EXP(-LN(2)/25)*AA68+(1-EXP(-LN(2)/25))/(LN(2)/25)*Calculateur!V69*Calculateur!X69*VLOOKUP('Données projet'!$B$9,Paramètres!$A$1:$I$89,3,0)*0.475*44/12</f>
        <v>18.287503913886567</v>
      </c>
      <c r="AB69" s="21">
        <f>EXP(-LN(2)/2)*AB68+(1-EXP(-LN(2)/2))/(LN(2)/2)*V69*Y69*VLOOKUP('Données projet'!$B$9,Paramètres!$A$1:$I$89,3,0)*0.475*44/12</f>
        <v>2.802041985641035</v>
      </c>
      <c r="AC69" s="22">
        <f t="shared" si="57"/>
        <v>45.433787498916949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4.8</v>
      </c>
      <c r="AI69" s="13">
        <f>IF('Données projet'!$A$62&gt;35,AI68+AH69-AQ68,IF(A69&lt;'Données projet'!$A$62,$AF$205^A69,IF(A69='Données projet'!$A$62,'Données projet'!$B$62,AI68+AH69-AQ68)))</f>
        <v>217.8000000000001</v>
      </c>
      <c r="AJ69" s="13">
        <f>AI69*VLOOKUP('Données projet'!$B$10,Paramètres!$A$1:$I$89,3,0)*VLOOKUP('Données projet'!$B$10,Paramètres!$A$1:$I$89,5,0)</f>
        <v>142.70256000000006</v>
      </c>
      <c r="AK69" s="13">
        <f t="shared" ref="AK69:AK132" si="89">EXP(-1.0587+0.8836*LN(AJ69)+0.284)</f>
        <v>36.91543341153259</v>
      </c>
      <c r="AL69" s="20">
        <f t="shared" si="58"/>
        <v>312.83467185841943</v>
      </c>
      <c r="AM69" s="59">
        <f t="shared" si="59"/>
        <v>606.16800519175274</v>
      </c>
      <c r="AN69" s="59">
        <f ca="1">AVERAGE(OFFSET($AM$3,0,0,'Données projet'!$E$10+1,1))-AVERAGE(OFFSET($H$3,0,0,'Données projet'!$E$10+1,1))</f>
        <v>244.43587473734613</v>
      </c>
      <c r="AO69" s="59">
        <f t="shared" ref="AO69:AO132" si="90">$AO$3</f>
        <v>256.80261402149375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0.61068688514095237</v>
      </c>
      <c r="AV69" s="21">
        <f>EXP(-LN(2)/25)*AV68+(1-EXP(-LN(2)/25))/(LN(2)/25)*Calculateur!AQ69*Calculateur!AS69*VLOOKUP('Données projet'!$B$10,Paramètres!$A$1:$I$89,3,0)*0.475*44/12</f>
        <v>9.7595564598944886</v>
      </c>
      <c r="AW69" s="21">
        <f>EXP(-LN(2)/2)*AW68+(1-EXP(-LN(2)/2))/(LN(2)/2)*AQ69*AT69*VLOOKUP('Données projet'!$B$10,Paramètres!$A$1:$I$89,3,0)*0.475*44/12</f>
        <v>3.2483399426589248</v>
      </c>
      <c r="AX69" s="21">
        <f t="shared" si="60"/>
        <v>13.618583287694365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-2.2737367544323206E-13</v>
      </c>
      <c r="BE69" s="13">
        <f>BD69*VLOOKUP('Données projet'!$B$11,Paramètres!$A$1:$I$89,3,0)*VLOOKUP('Données projet'!$B$11,Paramètres!$A$1:$I$89,5,0)</f>
        <v>-1.2710188457276673E-13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430.60186171079067</v>
      </c>
      <c r="BJ69" s="59">
        <f t="shared" ref="BJ69:BJ132" si="92">$BJ$3</f>
        <v>533.76627289533985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229.79018521752994</v>
      </c>
      <c r="BQ69" s="21">
        <f>EXP(-LN(2)/25)*BQ68+(1-EXP(-LN(2)/25))/(LN(2)/25)*Calculateur!BL69*Calculateur!BN69*VLOOKUP('Données projet'!$B$11,Paramètres!$A$1:$I$89,3,0)*0.475*44/12</f>
        <v>54.55104699808534</v>
      </c>
      <c r="BR69" s="21">
        <f>EXP(-LN(2)/2)*BR68+(1-EXP(-LN(2)/2))/(LN(2)/2)*BL69*BO69*VLOOKUP('Données projet'!$B$11,Paramètres!$A$1:$I$89,3,0)*0.475*44/12</f>
        <v>7.0401062994136598</v>
      </c>
      <c r="BS69" s="22">
        <f t="shared" si="63"/>
        <v>291.38133851502892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7.709230769230774</v>
      </c>
      <c r="BY69" s="12">
        <f>IF('Données projet'!$A$114&gt;35,BY68+BX69-CG68,IF(A69&lt;'Données projet'!$A$114,$BV$205^A69,IF(A69='Données projet'!$A$114,'Données projet'!$B$114,BY68+BX69-CG68)))</f>
        <v>271.4861538461538</v>
      </c>
      <c r="BZ69" s="13">
        <f>BY69*VLOOKUP('Données projet'!$B$12,Paramètres!$A$1:$I$89,3,0)*VLOOKUP('Données projet'!$B$12,Paramètres!$A$1:$I$89,5,0)</f>
        <v>162.34871999999999</v>
      </c>
      <c r="CA69" s="13">
        <f t="shared" ref="CA69:CA132" si="93">EXP(-1.0587+0.8836*LN(BZ69)+0.284)</f>
        <v>41.371825613040222</v>
      </c>
      <c r="CB69" s="20">
        <f t="shared" si="64"/>
        <v>354.8132836093784</v>
      </c>
      <c r="CC69" s="59">
        <f t="shared" si="65"/>
        <v>648.14661694271172</v>
      </c>
      <c r="CD69" s="59">
        <f ca="1">AVERAGE(OFFSET($CC$3,0,0,'Données projet'!$E$12+1,1))-AVERAGE(OFFSET($H$3,0,0,'Données projet'!$E$12+1,1))</f>
        <v>215.89467197072673</v>
      </c>
      <c r="CE69" s="59">
        <f t="shared" ref="CE69:CE132" si="94">$CE$3</f>
        <v>188.21397398859534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33.746481603219216</v>
      </c>
      <c r="CL69" s="21">
        <f>EXP(-LN(2)/25)*CL68+(1-EXP(-LN(2)/25))/(LN(2)/25)*Calculateur!CG69*Calculateur!CI69*VLOOKUP('Données projet'!$B$12,Paramètres!$A$1:$I$89,3,0)*0.475*44/12</f>
        <v>10.323039324796145</v>
      </c>
      <c r="CM69" s="21">
        <f>EXP(-LN(2)/2)*CM68+(1-EXP(-LN(2)/2))/(LN(2)/2)*CG69*CJ69*VLOOKUP('Données projet'!$B$12,Paramètres!$A$1:$I$89,3,0)*0.475*44/12</f>
        <v>0.57944972670830863</v>
      </c>
      <c r="CN69" s="22">
        <f t="shared" si="66"/>
        <v>44.648970654723676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4.8774928774928794</v>
      </c>
      <c r="CT69" s="12">
        <f>IF('Données projet'!$A$140&gt;35,CT68+CS69-DB68,IF(A69&lt;'Données projet'!$A$140,$CQ$205^A69,IF(A69='Données projet'!$A$140,'Données projet'!$B$140,CT68+CS69-DB68)))</f>
        <v>131.48931623931637</v>
      </c>
      <c r="CU69" s="17">
        <f>CT69*VLOOKUP('Données projet'!$B$13,Paramètres!$A$1:$I$89,3,0)*VLOOKUP('Données projet'!$B$13,Paramètres!$A$1:$I$89,5,0)</f>
        <v>133.3301666666668</v>
      </c>
      <c r="CV69" s="13">
        <f t="shared" ref="CV69:CV132" si="95">EXP(-1.0587+0.8836*LN(CU69)+0.284)</f>
        <v>34.764726618059392</v>
      </c>
      <c r="CW69" s="20">
        <f t="shared" si="67"/>
        <v>292.76527247089808</v>
      </c>
      <c r="CX69" s="59">
        <f t="shared" si="68"/>
        <v>586.0986058042314</v>
      </c>
      <c r="CY69" s="59">
        <f ca="1">AVERAGE(OFFSET($CX$3,0,0,'Données projet'!$E$13+1,1))-AVERAGE(OFFSET($H$3,0,0,'Données projet'!$E$13+1,1))</f>
        <v>342.82846711287749</v>
      </c>
      <c r="CZ69" s="59">
        <f t="shared" ref="CZ69:CZ132" si="96">$CZ$3</f>
        <v>152.87724741106297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2.6</v>
      </c>
      <c r="DO69" s="12">
        <f>IF('Données projet'!$A$166&gt;35,DO68+DN69-DW68,IF(A69&lt;'Données projet'!$A$166,$DL$205^A69,IF(A69='Données projet'!$A$166,'Données projet'!$B$166,DO68+DN69-DW68)))</f>
        <v>196.60000000000002</v>
      </c>
      <c r="DP69" s="17">
        <f>DO69*VLOOKUP('Données projet'!$B$14,Paramètres!$A$1:$I$89,3,0)*VLOOKUP('Données projet'!$B$14,Paramètres!$A$1:$I$89,5,0)</f>
        <v>144.14712</v>
      </c>
      <c r="DQ69" s="13">
        <f t="shared" ref="DQ69:DQ132" si="97">EXP(-1.0587+0.8836*LN(DP69)+0.284)</f>
        <v>37.245432331503117</v>
      </c>
      <c r="DR69" s="20">
        <f t="shared" si="70"/>
        <v>315.92536197736791</v>
      </c>
      <c r="DS69" s="59">
        <f t="shared" si="71"/>
        <v>609.25869531070123</v>
      </c>
      <c r="DT69" s="59">
        <f ca="1">AVERAGE(OFFSET($DS$3,0,0,'Données projet'!$E$14+1,1))-AVERAGE(OFFSET($H$3,0,0,'Données projet'!$E$14+1,1))</f>
        <v>208.48147873805715</v>
      </c>
      <c r="DU69" s="59">
        <f t="shared" ref="DU69:DU132" si="98">$DU$3</f>
        <v>209.50570914630686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5.7390778645751865</v>
      </c>
      <c r="EB69" s="21">
        <f>EXP(-LN(2)/25)*EB68+(1-EXP(-LN(2)/25))/(LN(2)/25)*Calculateur!DW69*Calculateur!DY69*VLOOKUP('Données projet'!$B$14,Paramètres!$A$1:$I$89,3,0)*0.475*44/12</f>
        <v>7.4371566828006763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13.176234547375863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-1.7053025658242404E-13</v>
      </c>
      <c r="EK69" s="17">
        <f>EJ69*VLOOKUP('Données projet'!$B$15,Paramètres!$A$1:$I$89,3,0)*VLOOKUP('Données projet'!$B$15,Paramètres!$A$1:$I$89,5,0)</f>
        <v>-1.0197709343628959E-13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247.31680974612766</v>
      </c>
      <c r="EP69" s="59">
        <f t="shared" ref="EP69:EP132" si="100">$EP$3</f>
        <v>257.13949761071882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115.18835651570551</v>
      </c>
      <c r="EW69" s="21">
        <f>EXP(-LN(2)/25)*EW68+(1-EXP(-LN(2)/25))/(LN(2)/25)*Calculateur!ER69*Calculateur!ET69*VLOOKUP('Données projet'!$B$15,Paramètres!$A$1:$I$89,3,0)*0.475*44/12</f>
        <v>30.599837064642102</v>
      </c>
      <c r="EX69" s="21">
        <f>EXP(-LN(2)/2)*EX68+(1-EXP(-LN(2)/2))/(LN(2)/2)*ER69*EU69*VLOOKUP('Données projet'!$B$15,Paramètres!$A$1:$I$89,3,0)*0.475*44/12</f>
        <v>3.9953560612472736</v>
      </c>
      <c r="EY69" s="22">
        <f t="shared" si="75"/>
        <v>149.78354964159487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11.915279999999989</v>
      </c>
      <c r="D70" s="11">
        <f t="shared" si="86"/>
        <v>4.1152647697746927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24.748911223511794</v>
      </c>
      <c r="H70" s="67">
        <f t="shared" si="56"/>
        <v>284.58653214069091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9.8224358974358967</v>
      </c>
      <c r="N70" s="13">
        <f>IF('Données projet'!$A$36&gt;35,N69+M70-V69,IF(A70&lt;'Données projet'!$A$36,$K$205^A70,IF(A70='Données projet'!$A$36,'Données projet'!$B$36,N69+M70-V69)))</f>
        <v>281.89743589743614</v>
      </c>
      <c r="O70" s="13">
        <f>N70*VLOOKUP('Données projet'!$B$9,Paramètres!$A$1:$I$89,3,0)*VLOOKUP('Données projet'!$B$9,Paramètres!$A$1:$I$89,5,0)</f>
        <v>131.92800000000011</v>
      </c>
      <c r="P70" s="13">
        <f t="shared" si="87"/>
        <v>34.441481093359563</v>
      </c>
      <c r="Q70" s="20">
        <f t="shared" si="54"/>
        <v>289.76017957093472</v>
      </c>
      <c r="R70" s="59">
        <f t="shared" si="55"/>
        <v>583.09351290426798</v>
      </c>
      <c r="S70" s="59">
        <f ca="1">AVERAGE(OFFSET($R$3,0,0,'Données projet'!$E$9+1,1))-AVERAGE(OFFSET($H$3,0,0,'Données projet'!$E$9+1,1))</f>
        <v>223.99456146593315</v>
      </c>
      <c r="T70" s="59">
        <f t="shared" si="88"/>
        <v>132.73290587325937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23.866865870146526</v>
      </c>
      <c r="AA70" s="21">
        <f>EXP(-LN(2)/25)*AA69+(1-EXP(-LN(2)/25))/(LN(2)/25)*Calculateur!V70*Calculateur!X70*VLOOKUP('Données projet'!$B$9,Paramètres!$A$1:$I$89,3,0)*0.475*44/12</f>
        <v>17.787431157663306</v>
      </c>
      <c r="AB70" s="21">
        <f>EXP(-LN(2)/2)*AB69+(1-EXP(-LN(2)/2))/(LN(2)/2)*V70*Y70*VLOOKUP('Données projet'!$B$9,Paramètres!$A$1:$I$89,3,0)*0.475*44/12</f>
        <v>1.9813428892161946</v>
      </c>
      <c r="AC70" s="22">
        <f t="shared" si="57"/>
        <v>43.635639917026026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4.8</v>
      </c>
      <c r="AI70" s="13">
        <f>IF('Données projet'!$A$62&gt;35,AI69+AH70-AQ69,IF(A70&lt;'Données projet'!$A$62,$AF$205^A70,IF(A70='Données projet'!$A$62,'Données projet'!$B$62,AI69+AH70-AQ69)))</f>
        <v>222.60000000000011</v>
      </c>
      <c r="AJ70" s="13">
        <f>AI70*VLOOKUP('Données projet'!$B$10,Paramètres!$A$1:$I$89,3,0)*VLOOKUP('Données projet'!$B$10,Paramètres!$A$1:$I$89,5,0)</f>
        <v>145.84752000000009</v>
      </c>
      <c r="AK70" s="13">
        <f t="shared" si="89"/>
        <v>37.633383344887093</v>
      </c>
      <c r="AL70" s="20">
        <f t="shared" si="58"/>
        <v>319.56257332567844</v>
      </c>
      <c r="AM70" s="59">
        <f t="shared" si="59"/>
        <v>612.89590665901176</v>
      </c>
      <c r="AN70" s="59">
        <f ca="1">AVERAGE(OFFSET($AM$3,0,0,'Données projet'!$E$10+1,1))-AVERAGE(OFFSET($H$3,0,0,'Données projet'!$E$10+1,1))</f>
        <v>244.43587473734613</v>
      </c>
      <c r="AO70" s="59">
        <f t="shared" si="90"/>
        <v>256.80261402149375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0.59871168780555872</v>
      </c>
      <c r="AV70" s="21">
        <f>EXP(-LN(2)/25)*AV69+(1-EXP(-LN(2)/25))/(LN(2)/25)*Calculateur!AQ70*Calculateur!AS70*VLOOKUP('Données projet'!$B$10,Paramètres!$A$1:$I$89,3,0)*0.475*44/12</f>
        <v>9.492680875265906</v>
      </c>
      <c r="AW70" s="21">
        <f>EXP(-LN(2)/2)*AW69+(1-EXP(-LN(2)/2))/(LN(2)/2)*AQ70*AT70*VLOOKUP('Données projet'!$B$10,Paramètres!$A$1:$I$89,3,0)*0.475*44/12</f>
        <v>2.296923201053247</v>
      </c>
      <c r="AX70" s="21">
        <f t="shared" si="60"/>
        <v>12.388315764124711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-2.2737367544323206E-13</v>
      </c>
      <c r="BE70" s="13">
        <f>BD70*VLOOKUP('Données projet'!$B$11,Paramètres!$A$1:$I$89,3,0)*VLOOKUP('Données projet'!$B$11,Paramètres!$A$1:$I$89,5,0)</f>
        <v>-1.2710188457276673E-13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430.60186171079067</v>
      </c>
      <c r="BJ70" s="59">
        <f t="shared" si="92"/>
        <v>533.76627289533985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225.2841398435877</v>
      </c>
      <c r="BQ70" s="21">
        <f>EXP(-LN(2)/25)*BQ69+(1-EXP(-LN(2)/25))/(LN(2)/25)*Calculateur!BL70*Calculateur!BN70*VLOOKUP('Données projet'!$B$11,Paramètres!$A$1:$I$89,3,0)*0.475*44/12</f>
        <v>53.059345749207814</v>
      </c>
      <c r="BR70" s="21">
        <f>EXP(-LN(2)/2)*BR69+(1-EXP(-LN(2)/2))/(LN(2)/2)*BL70*BO70*VLOOKUP('Données projet'!$B$11,Paramètres!$A$1:$I$89,3,0)*0.475*44/12</f>
        <v>4.9781069045895299</v>
      </c>
      <c r="BS70" s="22">
        <f t="shared" si="63"/>
        <v>283.32159249738504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7.709230769230774</v>
      </c>
      <c r="BY70" s="12">
        <f>IF('Données projet'!$A$114&gt;35,BY69+BX70-CG69,IF(A70&lt;'Données projet'!$A$114,$BV$205^A70,IF(A70='Données projet'!$A$114,'Données projet'!$B$114,BY69+BX70-CG69)))</f>
        <v>279.19538461538457</v>
      </c>
      <c r="BZ70" s="13">
        <f>BY70*VLOOKUP('Données projet'!$B$12,Paramètres!$A$1:$I$89,3,0)*VLOOKUP('Données projet'!$B$12,Paramètres!$A$1:$I$89,5,0)</f>
        <v>166.95883999999998</v>
      </c>
      <c r="CA70" s="13">
        <f t="shared" si="93"/>
        <v>42.408190998621166</v>
      </c>
      <c r="CB70" s="20">
        <f t="shared" si="64"/>
        <v>364.64757898926513</v>
      </c>
      <c r="CC70" s="59">
        <f t="shared" si="65"/>
        <v>657.98091232259844</v>
      </c>
      <c r="CD70" s="59">
        <f ca="1">AVERAGE(OFFSET($CC$3,0,0,'Données projet'!$E$12+1,1))-AVERAGE(OFFSET($H$3,0,0,'Données projet'!$E$12+1,1))</f>
        <v>215.89467197072673</v>
      </c>
      <c r="CE70" s="59">
        <f t="shared" si="94"/>
        <v>188.21397398859534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33.084733682301433</v>
      </c>
      <c r="CL70" s="21">
        <f>EXP(-LN(2)/25)*CL69+(1-EXP(-LN(2)/25))/(LN(2)/25)*Calculateur!CG70*Calculateur!CI70*VLOOKUP('Données projet'!$B$12,Paramètres!$A$1:$I$89,3,0)*0.475*44/12</f>
        <v>10.04075527159455</v>
      </c>
      <c r="CM70" s="21">
        <f>EXP(-LN(2)/2)*CM69+(1-EXP(-LN(2)/2))/(LN(2)/2)*CG70*CJ70*VLOOKUP('Données projet'!$B$12,Paramètres!$A$1:$I$89,3,0)*0.475*44/12</f>
        <v>0.40973283111213676</v>
      </c>
      <c r="CN70" s="22">
        <f t="shared" si="66"/>
        <v>43.535221785008119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4.8774928774928794</v>
      </c>
      <c r="CT70" s="12">
        <f>IF('Données projet'!$A$140&gt;35,CT69+CS70-DB69,IF(A70&lt;'Données projet'!$A$140,$CQ$205^A70,IF(A70='Données projet'!$A$140,'Données projet'!$B$140,CT69+CS70-DB69)))</f>
        <v>136.36680911680924</v>
      </c>
      <c r="CU70" s="17">
        <f>CT70*VLOOKUP('Données projet'!$B$13,Paramètres!$A$1:$I$89,3,0)*VLOOKUP('Données projet'!$B$13,Paramètres!$A$1:$I$89,5,0)</f>
        <v>138.27594444444458</v>
      </c>
      <c r="CV70" s="13">
        <f t="shared" si="95"/>
        <v>35.901764200104743</v>
      </c>
      <c r="CW70" s="20">
        <f t="shared" si="67"/>
        <v>303.35950922259002</v>
      </c>
      <c r="CX70" s="59">
        <f t="shared" si="68"/>
        <v>596.69284255592333</v>
      </c>
      <c r="CY70" s="59">
        <f ca="1">AVERAGE(OFFSET($CX$3,0,0,'Données projet'!$E$13+1,1))-AVERAGE(OFFSET($H$3,0,0,'Données projet'!$E$13+1,1))</f>
        <v>342.82846711287749</v>
      </c>
      <c r="CZ70" s="59">
        <f t="shared" si="96"/>
        <v>152.87724741106297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2.6</v>
      </c>
      <c r="DO70" s="12">
        <f>IF('Données projet'!$A$166&gt;35,DO69+DN70-DW69,IF(A70&lt;'Données projet'!$A$166,$DL$205^A70,IF(A70='Données projet'!$A$166,'Données projet'!$B$166,DO69+DN70-DW69)))</f>
        <v>199.20000000000002</v>
      </c>
      <c r="DP70" s="17">
        <f>DO70*VLOOKUP('Données projet'!$B$14,Paramètres!$A$1:$I$89,3,0)*VLOOKUP('Données projet'!$B$14,Paramètres!$A$1:$I$89,5,0)</f>
        <v>146.05344000000002</v>
      </c>
      <c r="DQ70" s="13">
        <f t="shared" si="97"/>
        <v>37.680328716680656</v>
      </c>
      <c r="DR70" s="20">
        <f t="shared" si="70"/>
        <v>320.00298051488551</v>
      </c>
      <c r="DS70" s="59">
        <f t="shared" si="71"/>
        <v>613.33631384821888</v>
      </c>
      <c r="DT70" s="59">
        <f ca="1">AVERAGE(OFFSET($DS$3,0,0,'Données projet'!$E$14+1,1))-AVERAGE(OFFSET($H$3,0,0,'Données projet'!$E$14+1,1))</f>
        <v>208.48147873805715</v>
      </c>
      <c r="DU70" s="59">
        <f t="shared" si="98"/>
        <v>209.50570914630686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5.6265380481427201</v>
      </c>
      <c r="EB70" s="21">
        <f>EXP(-LN(2)/25)*EB69+(1-EXP(-LN(2)/25))/(LN(2)/25)*Calculateur!DW70*Calculateur!DY70*VLOOKUP('Données projet'!$B$14,Paramètres!$A$1:$I$89,3,0)*0.475*44/12</f>
        <v>7.2337872422064198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12.86032529034914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-1.7053025658242404E-13</v>
      </c>
      <c r="EK70" s="17">
        <f>EJ70*VLOOKUP('Données projet'!$B$15,Paramètres!$A$1:$I$89,3,0)*VLOOKUP('Données projet'!$B$15,Paramètres!$A$1:$I$89,5,0)</f>
        <v>-1.0197709343628959E-13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247.31680974612766</v>
      </c>
      <c r="EP70" s="59">
        <f t="shared" si="100"/>
        <v>257.13949761071882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112.9295831023926</v>
      </c>
      <c r="EW70" s="21">
        <f>EXP(-LN(2)/25)*EW69+(1-EXP(-LN(2)/25))/(LN(2)/25)*Calculateur!ER70*Calculateur!ET70*VLOOKUP('Données projet'!$B$15,Paramètres!$A$1:$I$89,3,0)*0.475*44/12</f>
        <v>29.763082910933971</v>
      </c>
      <c r="EX70" s="21">
        <f>EXP(-LN(2)/2)*EX69+(1-EXP(-LN(2)/2))/(LN(2)/2)*ER70*EU70*VLOOKUP('Données projet'!$B$15,Paramètres!$A$1:$I$89,3,0)*0.475*44/12</f>
        <v>2.8251433641627224</v>
      </c>
      <c r="EY70" s="22">
        <f t="shared" si="75"/>
        <v>145.5178093774893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12.093119999999988</v>
      </c>
      <c r="D71" s="11">
        <f t="shared" si="86"/>
        <v>4.1694902429981449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25.107187743576066</v>
      </c>
      <c r="H71" s="67">
        <f t="shared" si="56"/>
        <v>284.99071283988843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9.8224358974358967</v>
      </c>
      <c r="N71" s="13">
        <f>IF('Données projet'!$A$36&gt;35,N70+M71-V70,IF(A71&lt;'Données projet'!$A$36,$K$205^A71,IF(A71='Données projet'!$A$36,'Données projet'!$B$36,N70+M71-V70)))</f>
        <v>291.71987179487206</v>
      </c>
      <c r="O71" s="13">
        <f>N71*VLOOKUP('Données projet'!$B$9,Paramètres!$A$1:$I$89,3,0)*VLOOKUP('Données projet'!$B$9,Paramètres!$A$1:$I$89,5,0)</f>
        <v>136.52490000000012</v>
      </c>
      <c r="P71" s="13">
        <f t="shared" si="87"/>
        <v>35.49974803884507</v>
      </c>
      <c r="Q71" s="20">
        <f t="shared" si="54"/>
        <v>299.60959533432202</v>
      </c>
      <c r="R71" s="59">
        <f t="shared" si="55"/>
        <v>592.94292866765534</v>
      </c>
      <c r="S71" s="59">
        <f ca="1">AVERAGE(OFFSET($R$3,0,0,'Données projet'!$E$9+1,1))-AVERAGE(OFFSET($H$3,0,0,'Données projet'!$E$9+1,1))</f>
        <v>223.99456146593315</v>
      </c>
      <c r="T71" s="59">
        <f t="shared" si="88"/>
        <v>132.73290587325937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23.398851187783716</v>
      </c>
      <c r="AA71" s="21">
        <f>EXP(-LN(2)/25)*AA70+(1-EXP(-LN(2)/25))/(LN(2)/25)*Calculateur!V71*Calculateur!X71*VLOOKUP('Données projet'!$B$9,Paramètres!$A$1:$I$89,3,0)*0.475*44/12</f>
        <v>17.301032917256652</v>
      </c>
      <c r="AB71" s="21">
        <f>EXP(-LN(2)/2)*AB70+(1-EXP(-LN(2)/2))/(LN(2)/2)*V71*Y71*VLOOKUP('Données projet'!$B$9,Paramètres!$A$1:$I$89,3,0)*0.475*44/12</f>
        <v>1.4010209928205177</v>
      </c>
      <c r="AC71" s="22">
        <f t="shared" si="57"/>
        <v>42.100905097860888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4.8</v>
      </c>
      <c r="AI71" s="13">
        <f>IF('Données projet'!$A$62&gt;35,AI70+AH71-AQ70,IF(A71&lt;'Données projet'!$A$62,$AF$205^A71,IF(A71='Données projet'!$A$62,'Données projet'!$B$62,AI70+AH71-AQ70)))</f>
        <v>227.40000000000012</v>
      </c>
      <c r="AJ71" s="13">
        <f>AI71*VLOOKUP('Données projet'!$B$10,Paramètres!$A$1:$I$89,3,0)*VLOOKUP('Données projet'!$B$10,Paramètres!$A$1:$I$89,5,0)</f>
        <v>148.99248000000009</v>
      </c>
      <c r="AK71" s="13">
        <f t="shared" si="89"/>
        <v>38.349533355462334</v>
      </c>
      <c r="AL71" s="20">
        <f t="shared" si="58"/>
        <v>326.28733992743042</v>
      </c>
      <c r="AM71" s="59">
        <f t="shared" si="59"/>
        <v>619.62067326076374</v>
      </c>
      <c r="AN71" s="59">
        <f ca="1">AVERAGE(OFFSET($AM$3,0,0,'Données projet'!$E$10+1,1))-AVERAGE(OFFSET($H$3,0,0,'Données projet'!$E$10+1,1))</f>
        <v>244.43587473734613</v>
      </c>
      <c r="AO71" s="59">
        <f t="shared" si="90"/>
        <v>256.80261402149375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0.58697131678576298</v>
      </c>
      <c r="AV71" s="21">
        <f>EXP(-LN(2)/25)*AV70+(1-EXP(-LN(2)/25))/(LN(2)/25)*Calculateur!AQ71*Calculateur!AS71*VLOOKUP('Données projet'!$B$10,Paramètres!$A$1:$I$89,3,0)*0.475*44/12</f>
        <v>9.2331030175333684</v>
      </c>
      <c r="AW71" s="21">
        <f>EXP(-LN(2)/2)*AW70+(1-EXP(-LN(2)/2))/(LN(2)/2)*AQ71*AT71*VLOOKUP('Données projet'!$B$10,Paramètres!$A$1:$I$89,3,0)*0.475*44/12</f>
        <v>1.6241699713294628</v>
      </c>
      <c r="AX71" s="21">
        <f t="shared" si="60"/>
        <v>11.444244305648594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-2.2737367544323206E-13</v>
      </c>
      <c r="BE71" s="13">
        <f>BD71*VLOOKUP('Données projet'!$B$11,Paramètres!$A$1:$I$89,3,0)*VLOOKUP('Données projet'!$B$11,Paramètres!$A$1:$I$89,5,0)</f>
        <v>-1.2710188457276673E-13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430.60186171079067</v>
      </c>
      <c r="BJ71" s="59">
        <f t="shared" si="92"/>
        <v>533.76627289533985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220.86645527101217</v>
      </c>
      <c r="BQ71" s="21">
        <f>EXP(-LN(2)/25)*BQ70+(1-EXP(-LN(2)/25))/(LN(2)/25)*Calculateur!BL71*Calculateur!BN71*VLOOKUP('Données projet'!$B$11,Paramètres!$A$1:$I$89,3,0)*0.475*44/12</f>
        <v>51.608435149426001</v>
      </c>
      <c r="BR71" s="21">
        <f>EXP(-LN(2)/2)*BR70+(1-EXP(-LN(2)/2))/(LN(2)/2)*BL71*BO71*VLOOKUP('Données projet'!$B$11,Paramètres!$A$1:$I$89,3,0)*0.475*44/12</f>
        <v>3.5200531497068304</v>
      </c>
      <c r="BS71" s="22">
        <f t="shared" si="63"/>
        <v>275.99494357014498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7.709230769230774</v>
      </c>
      <c r="BY71" s="12">
        <f>IF('Données projet'!$A$114&gt;35,BY70+BX71-CG70,IF(A71&lt;'Données projet'!$A$114,$BV$205^A71,IF(A71='Données projet'!$A$114,'Données projet'!$B$114,BY70+BX71-CG70)))</f>
        <v>286.90461538461534</v>
      </c>
      <c r="BZ71" s="13">
        <f>BY71*VLOOKUP('Données projet'!$B$12,Paramètres!$A$1:$I$89,3,0)*VLOOKUP('Données projet'!$B$12,Paramètres!$A$1:$I$89,5,0)</f>
        <v>171.56896</v>
      </c>
      <c r="CA71" s="13">
        <f t="shared" si="93"/>
        <v>43.441230330395015</v>
      </c>
      <c r="CB71" s="20">
        <f t="shared" si="64"/>
        <v>374.47608149210458</v>
      </c>
      <c r="CC71" s="59">
        <f t="shared" si="65"/>
        <v>667.8094148254379</v>
      </c>
      <c r="CD71" s="59">
        <f ca="1">AVERAGE(OFFSET($CC$3,0,0,'Données projet'!$E$12+1,1))-AVERAGE(OFFSET($H$3,0,0,'Données projet'!$E$12+1,1))</f>
        <v>215.89467197072673</v>
      </c>
      <c r="CE71" s="59">
        <f t="shared" si="94"/>
        <v>188.21397398859534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32.435962234486468</v>
      </c>
      <c r="CL71" s="21">
        <f>EXP(-LN(2)/25)*CL70+(1-EXP(-LN(2)/25))/(LN(2)/25)*Calculateur!CG71*Calculateur!CI71*VLOOKUP('Données projet'!$B$12,Paramètres!$A$1:$I$89,3,0)*0.475*44/12</f>
        <v>9.7661902906724265</v>
      </c>
      <c r="CM71" s="21">
        <f>EXP(-LN(2)/2)*CM70+(1-EXP(-LN(2)/2))/(LN(2)/2)*CG71*CJ71*VLOOKUP('Données projet'!$B$12,Paramètres!$A$1:$I$89,3,0)*0.475*44/12</f>
        <v>0.28972486335415432</v>
      </c>
      <c r="CN71" s="22">
        <f t="shared" si="66"/>
        <v>42.491877388513046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4.8774928774928794</v>
      </c>
      <c r="CT71" s="12">
        <f>IF('Données projet'!$A$140&gt;35,CT70+CS71-DB70,IF(A71&lt;'Données projet'!$A$140,$CQ$205^A71,IF(A71='Données projet'!$A$140,'Données projet'!$B$140,CT70+CS71-DB70)))</f>
        <v>141.24430199430211</v>
      </c>
      <c r="CU71" s="17">
        <f>CT71*VLOOKUP('Données projet'!$B$13,Paramètres!$A$1:$I$89,3,0)*VLOOKUP('Données projet'!$B$13,Paramètres!$A$1:$I$89,5,0)</f>
        <v>143.22172222222235</v>
      </c>
      <c r="CV71" s="13">
        <f t="shared" si="95"/>
        <v>37.034076694713647</v>
      </c>
      <c r="CW71" s="20">
        <f t="shared" si="67"/>
        <v>313.94551644699681</v>
      </c>
      <c r="CX71" s="59">
        <f t="shared" si="68"/>
        <v>607.27884978033012</v>
      </c>
      <c r="CY71" s="59">
        <f ca="1">AVERAGE(OFFSET($CX$3,0,0,'Données projet'!$E$13+1,1))-AVERAGE(OFFSET($H$3,0,0,'Données projet'!$E$13+1,1))</f>
        <v>342.82846711287749</v>
      </c>
      <c r="CZ71" s="59">
        <f t="shared" si="96"/>
        <v>152.87724741106297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2.6</v>
      </c>
      <c r="DO71" s="12">
        <f>IF('Données projet'!$A$166&gt;35,DO70+DN71-DW70,IF(A71&lt;'Données projet'!$A$166,$DL$205^A71,IF(A71='Données projet'!$A$166,'Données projet'!$B$166,DO70+DN71-DW70)))</f>
        <v>201.8</v>
      </c>
      <c r="DP71" s="17">
        <f>DO71*VLOOKUP('Données projet'!$B$14,Paramètres!$A$1:$I$89,3,0)*VLOOKUP('Données projet'!$B$14,Paramètres!$A$1:$I$89,5,0)</f>
        <v>147.95976000000002</v>
      </c>
      <c r="DQ71" s="13">
        <f t="shared" si="97"/>
        <v>38.114564855572709</v>
      </c>
      <c r="DR71" s="20">
        <f t="shared" si="70"/>
        <v>324.07944912345584</v>
      </c>
      <c r="DS71" s="59">
        <f t="shared" si="71"/>
        <v>617.41278245678916</v>
      </c>
      <c r="DT71" s="59">
        <f ca="1">AVERAGE(OFFSET($DS$3,0,0,'Données projet'!$E$14+1,1))-AVERAGE(OFFSET($H$3,0,0,'Données projet'!$E$14+1,1))</f>
        <v>208.48147873805715</v>
      </c>
      <c r="DU71" s="59">
        <f t="shared" si="98"/>
        <v>209.50570914630686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5.5162050688679836</v>
      </c>
      <c r="EB71" s="21">
        <f>EXP(-LN(2)/25)*EB70+(1-EXP(-LN(2)/25))/(LN(2)/25)*Calculateur!DW71*Calculateur!DY71*VLOOKUP('Données projet'!$B$14,Paramètres!$A$1:$I$89,3,0)*0.475*44/12</f>
        <v>7.0359789496599472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12.552184018527932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-1.7053025658242404E-13</v>
      </c>
      <c r="EK71" s="17">
        <f>EJ71*VLOOKUP('Données projet'!$B$15,Paramètres!$A$1:$I$89,3,0)*VLOOKUP('Données projet'!$B$15,Paramètres!$A$1:$I$89,5,0)</f>
        <v>-1.0197709343628959E-13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247.31680974612766</v>
      </c>
      <c r="EP71" s="59">
        <f t="shared" si="100"/>
        <v>257.13949761071882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110.71510285799901</v>
      </c>
      <c r="EW71" s="21">
        <f>EXP(-LN(2)/25)*EW70+(1-EXP(-LN(2)/25))/(LN(2)/25)*Calculateur!ER71*Calculateur!ET71*VLOOKUP('Données projet'!$B$15,Paramètres!$A$1:$I$89,3,0)*0.475*44/12</f>
        <v>28.949209843561974</v>
      </c>
      <c r="EX71" s="21">
        <f>EXP(-LN(2)/2)*EX70+(1-EXP(-LN(2)/2))/(LN(2)/2)*ER71*EU71*VLOOKUP('Données projet'!$B$15,Paramètres!$A$1:$I$89,3,0)*0.475*44/12</f>
        <v>1.997678030623637</v>
      </c>
      <c r="EY71" s="22">
        <f t="shared" si="75"/>
        <v>141.66199073218462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12.270959999999988</v>
      </c>
      <c r="D72" s="11">
        <f t="shared" si="86"/>
        <v>4.2236229708345201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25.465321077779596</v>
      </c>
      <c r="H72" s="67">
        <f t="shared" si="56"/>
        <v>285.39473200753679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9.8224358974358967</v>
      </c>
      <c r="N72" s="13">
        <f>IF('Données projet'!$A$36&gt;35,N71+M72-V71,IF(A72&lt;'Données projet'!$A$36,$K$205^A72,IF(A72='Données projet'!$A$36,'Données projet'!$B$36,N71+M72-V71)))</f>
        <v>301.54230769230799</v>
      </c>
      <c r="O72" s="13">
        <f>N72*VLOOKUP('Données projet'!$B$9,Paramètres!$A$1:$I$89,3,0)*VLOOKUP('Données projet'!$B$9,Paramètres!$A$1:$I$89,5,0)</f>
        <v>141.12180000000015</v>
      </c>
      <c r="P72" s="13">
        <f t="shared" si="87"/>
        <v>36.553874631825011</v>
      </c>
      <c r="Q72" s="20">
        <f t="shared" si="54"/>
        <v>309.4517999837621</v>
      </c>
      <c r="R72" s="59">
        <f t="shared" si="55"/>
        <v>602.78513331709541</v>
      </c>
      <c r="S72" s="59">
        <f ca="1">AVERAGE(OFFSET($R$3,0,0,'Données projet'!$E$9+1,1))-AVERAGE(OFFSET($H$3,0,0,'Données projet'!$E$9+1,1))</f>
        <v>223.99456146593315</v>
      </c>
      <c r="T72" s="59">
        <f t="shared" si="88"/>
        <v>132.73290587325937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22.940013987881269</v>
      </c>
      <c r="AA72" s="21">
        <f>EXP(-LN(2)/25)*AA71+(1-EXP(-LN(2)/25))/(LN(2)/25)*Calculateur!V72*Calculateur!X72*VLOOKUP('Données projet'!$B$9,Paramètres!$A$1:$I$89,3,0)*0.475*44/12</f>
        <v>16.82793526231249</v>
      </c>
      <c r="AB72" s="21">
        <f>EXP(-LN(2)/2)*AB71+(1-EXP(-LN(2)/2))/(LN(2)/2)*V72*Y72*VLOOKUP('Données projet'!$B$9,Paramètres!$A$1:$I$89,3,0)*0.475*44/12</f>
        <v>0.99067144460809742</v>
      </c>
      <c r="AC72" s="22">
        <f t="shared" si="57"/>
        <v>40.758620694801856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4.8</v>
      </c>
      <c r="AI72" s="13">
        <f>IF('Données projet'!$A$62&gt;35,AI71+AH72-AQ71,IF(A72&lt;'Données projet'!$A$62,$AF$205^A72,IF(A72='Données projet'!$A$62,'Données projet'!$B$62,AI71+AH72-AQ71)))</f>
        <v>232.20000000000013</v>
      </c>
      <c r="AJ72" s="13">
        <f>AI72*VLOOKUP('Données projet'!$B$10,Paramètres!$A$1:$I$89,3,0)*VLOOKUP('Données projet'!$B$10,Paramètres!$A$1:$I$89,5,0)</f>
        <v>152.13744000000008</v>
      </c>
      <c r="AK72" s="13">
        <f t="shared" si="89"/>
        <v>39.063925813036128</v>
      </c>
      <c r="AL72" s="20">
        <f t="shared" si="58"/>
        <v>333.0090454577047</v>
      </c>
      <c r="AM72" s="59">
        <f t="shared" si="59"/>
        <v>626.34237879103807</v>
      </c>
      <c r="AN72" s="59">
        <f ca="1">AVERAGE(OFFSET($AM$3,0,0,'Données projet'!$E$10+1,1))-AVERAGE(OFFSET($H$3,0,0,'Données projet'!$E$10+1,1))</f>
        <v>244.43587473734613</v>
      </c>
      <c r="AO72" s="59">
        <f t="shared" si="90"/>
        <v>256.80261402149375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0.57546116728074614</v>
      </c>
      <c r="AV72" s="21">
        <f>EXP(-LN(2)/25)*AV71+(1-EXP(-LN(2)/25))/(LN(2)/25)*Calculateur!AQ72*Calculateur!AS72*VLOOKUP('Données projet'!$B$10,Paramètres!$A$1:$I$89,3,0)*0.475*44/12</f>
        <v>8.9806233299711327</v>
      </c>
      <c r="AW72" s="21">
        <f>EXP(-LN(2)/2)*AW71+(1-EXP(-LN(2)/2))/(LN(2)/2)*AQ72*AT72*VLOOKUP('Données projet'!$B$10,Paramètres!$A$1:$I$89,3,0)*0.475*44/12</f>
        <v>1.1484616005266237</v>
      </c>
      <c r="AX72" s="21">
        <f t="shared" si="60"/>
        <v>10.704546097778502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-2.2737367544323206E-13</v>
      </c>
      <c r="BE72" s="13">
        <f>BD72*VLOOKUP('Données projet'!$B$11,Paramètres!$A$1:$I$89,3,0)*VLOOKUP('Données projet'!$B$11,Paramètres!$A$1:$I$89,5,0)</f>
        <v>-1.2710188457276673E-13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430.60186171079067</v>
      </c>
      <c r="BJ72" s="59">
        <f t="shared" si="92"/>
        <v>533.76627289533985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216.53539879838331</v>
      </c>
      <c r="BQ72" s="21">
        <f>EXP(-LN(2)/25)*BQ71+(1-EXP(-LN(2)/25))/(LN(2)/25)*Calculateur!BL72*Calculateur!BN72*VLOOKUP('Données projet'!$B$11,Paramètres!$A$1:$I$89,3,0)*0.475*44/12</f>
        <v>50.197199776295292</v>
      </c>
      <c r="BR72" s="21">
        <f>EXP(-LN(2)/2)*BR71+(1-EXP(-LN(2)/2))/(LN(2)/2)*BL72*BO72*VLOOKUP('Données projet'!$B$11,Paramètres!$A$1:$I$89,3,0)*0.475*44/12</f>
        <v>2.4890534522947654</v>
      </c>
      <c r="BS72" s="22">
        <f t="shared" si="63"/>
        <v>269.22165202697335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7.709230769230774</v>
      </c>
      <c r="BY72" s="12">
        <f>IF('Données projet'!$A$114&gt;35,BY71+BX72-CG71,IF(A72&lt;'Données projet'!$A$114,$BV$205^A72,IF(A72='Données projet'!$A$114,'Données projet'!$B$114,BY71+BX72-CG71)))</f>
        <v>294.61384615384611</v>
      </c>
      <c r="BZ72" s="13">
        <f>BY72*VLOOKUP('Données projet'!$B$12,Paramètres!$A$1:$I$89,3,0)*VLOOKUP('Données projet'!$B$12,Paramètres!$A$1:$I$89,5,0)</f>
        <v>176.17908</v>
      </c>
      <c r="CA72" s="13">
        <f t="shared" si="93"/>
        <v>44.471043251970045</v>
      </c>
      <c r="CB72" s="20">
        <f t="shared" si="64"/>
        <v>384.29896466384781</v>
      </c>
      <c r="CC72" s="59">
        <f t="shared" si="65"/>
        <v>677.63229799718113</v>
      </c>
      <c r="CD72" s="59">
        <f ca="1">AVERAGE(OFFSET($CC$3,0,0,'Données projet'!$E$12+1,1))-AVERAGE(OFFSET($H$3,0,0,'Données projet'!$E$12+1,1))</f>
        <v>215.89467197072673</v>
      </c>
      <c r="CE72" s="59">
        <f t="shared" si="94"/>
        <v>188.21397398859534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31.799912799051643</v>
      </c>
      <c r="CL72" s="21">
        <f>EXP(-LN(2)/25)*CL71+(1-EXP(-LN(2)/25))/(LN(2)/25)*Calculateur!CG72*Calculateur!CI72*VLOOKUP('Données projet'!$B$12,Paramètres!$A$1:$I$89,3,0)*0.475*44/12</f>
        <v>9.4991333035923624</v>
      </c>
      <c r="CM72" s="21">
        <f>EXP(-LN(2)/2)*CM71+(1-EXP(-LN(2)/2))/(LN(2)/2)*CG72*CJ72*VLOOKUP('Données projet'!$B$12,Paramètres!$A$1:$I$89,3,0)*0.475*44/12</f>
        <v>0.20486641555606838</v>
      </c>
      <c r="CN72" s="22">
        <f t="shared" si="66"/>
        <v>41.503912518200075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146.12179487179489</v>
      </c>
      <c r="CR72" s="12">
        <f>VLOOKUP(A72,'Données projet'!$A$139:$I$159,9,0)</f>
        <v>4.8774928774928794</v>
      </c>
      <c r="CS72" s="12">
        <f t="array" ref="CS72">INDEX(CR:CR,MIN(IF(ISNUMBER(CR72:CR268),ROW(CR72:CR268),"")))</f>
        <v>4.8774928774928794</v>
      </c>
      <c r="CT72" s="12">
        <f>IF('Données projet'!$A$140&gt;35,CT71+CS72-DB71,IF(A72&lt;'Données projet'!$A$140,$CQ$205^A72,IF(A72='Données projet'!$A$140,'Données projet'!$B$140,CT71+CS72-DB71)))</f>
        <v>146.12179487179498</v>
      </c>
      <c r="CU72" s="17">
        <f>CT72*VLOOKUP('Données projet'!$B$13,Paramètres!$A$1:$I$89,3,0)*VLOOKUP('Données projet'!$B$13,Paramètres!$A$1:$I$89,5,0)</f>
        <v>148.16750000000013</v>
      </c>
      <c r="CV72" s="13">
        <f t="shared" si="95"/>
        <v>38.161845970726191</v>
      </c>
      <c r="CW72" s="20">
        <f t="shared" si="67"/>
        <v>324.52361089901501</v>
      </c>
      <c r="CX72" s="59">
        <f t="shared" si="68"/>
        <v>617.85694423234827</v>
      </c>
      <c r="CY72" s="59">
        <f ca="1">AVERAGE(OFFSET($CX$3,0,0,'Données projet'!$E$13+1,1))-AVERAGE(OFFSET($H$3,0,0,'Données projet'!$E$13+1,1))</f>
        <v>342.82846711287749</v>
      </c>
      <c r="CZ72" s="59">
        <f t="shared" si="96"/>
        <v>152.87724741106297</v>
      </c>
      <c r="DA72" s="15">
        <f>IF(ISNA(VLOOKUP(A72,'Données projet'!$A$139:$I$159,3,0)),0,VLOOKUP(A72,'Données projet'!$A$139:$I$159,3,0))</f>
        <v>2</v>
      </c>
      <c r="DB72" s="15">
        <f>IF(ISNA(VLOOKUP(A72,'Données projet'!$A$139:$I$159,4,0)),0,VLOOKUP(A72,'Données projet'!$A$139:$I$159,4,0))</f>
        <v>32.807692307692307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2.6</v>
      </c>
      <c r="DO72" s="12">
        <f>IF('Données projet'!$A$166&gt;35,DO71+DN72-DW71,IF(A72&lt;'Données projet'!$A$166,$DL$205^A72,IF(A72='Données projet'!$A$166,'Données projet'!$B$166,DO71+DN72-DW71)))</f>
        <v>204.4</v>
      </c>
      <c r="DP72" s="17">
        <f>DO72*VLOOKUP('Données projet'!$B$14,Paramètres!$A$1:$I$89,3,0)*VLOOKUP('Données projet'!$B$14,Paramètres!$A$1:$I$89,5,0)</f>
        <v>149.86608000000001</v>
      </c>
      <c r="DQ72" s="13">
        <f t="shared" si="97"/>
        <v>38.548150238404837</v>
      </c>
      <c r="DR72" s="20">
        <f t="shared" si="70"/>
        <v>328.15478433188844</v>
      </c>
      <c r="DS72" s="59">
        <f t="shared" si="71"/>
        <v>621.48811766522181</v>
      </c>
      <c r="DT72" s="59">
        <f ca="1">AVERAGE(OFFSET($DS$3,0,0,'Données projet'!$E$14+1,1))-AVERAGE(OFFSET($H$3,0,0,'Données projet'!$E$14+1,1))</f>
        <v>208.48147873805715</v>
      </c>
      <c r="DU72" s="59">
        <f t="shared" si="98"/>
        <v>209.50570914630686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5.4080356520203523</v>
      </c>
      <c r="EB72" s="21">
        <f>EXP(-LN(2)/25)*EB71+(1-EXP(-LN(2)/25))/(LN(2)/25)*Calculateur!DW72*Calculateur!DY72*VLOOKUP('Données projet'!$B$14,Paramètres!$A$1:$I$89,3,0)*0.475*44/12</f>
        <v>6.8435797352754442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12.251615387295796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-1.7053025658242404E-13</v>
      </c>
      <c r="EK72" s="17">
        <f>EJ72*VLOOKUP('Données projet'!$B$15,Paramètres!$A$1:$I$89,3,0)*VLOOKUP('Données projet'!$B$15,Paramètres!$A$1:$I$89,5,0)</f>
        <v>-1.0197709343628959E-13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247.31680974612766</v>
      </c>
      <c r="EP72" s="59">
        <f t="shared" si="100"/>
        <v>257.13949761071882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108.54404722049841</v>
      </c>
      <c r="EW72" s="21">
        <f>EXP(-LN(2)/25)*EW71+(1-EXP(-LN(2)/25))/(LN(2)/25)*Calculateur!ER72*Calculateur!ET72*VLOOKUP('Données projet'!$B$15,Paramètres!$A$1:$I$89,3,0)*0.475*44/12</f>
        <v>28.157592178016991</v>
      </c>
      <c r="EX72" s="21">
        <f>EXP(-LN(2)/2)*EX71+(1-EXP(-LN(2)/2))/(LN(2)/2)*ER72*EU72*VLOOKUP('Données projet'!$B$15,Paramètres!$A$1:$I$89,3,0)*0.475*44/12</f>
        <v>1.4125716820813614</v>
      </c>
      <c r="EY72" s="22">
        <f t="shared" si="75"/>
        <v>138.11421108059676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12.448799999999988</v>
      </c>
      <c r="D73" s="11">
        <f t="shared" si="86"/>
        <v>4.2776644527179588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25.823313541038235</v>
      </c>
      <c r="H73" s="67">
        <f t="shared" si="56"/>
        <v>285.79859225515042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9.8224358974358967</v>
      </c>
      <c r="N73" s="13">
        <f>IF('Données projet'!$A$36&gt;35,N72+M73-V72,IF(A73&lt;'Données projet'!$A$36,$K$205^A73,IF(A73='Données projet'!$A$36,'Données projet'!$B$36,N72+M73-V72)))</f>
        <v>311.36474358974391</v>
      </c>
      <c r="O73" s="13">
        <f>N73*VLOOKUP('Données projet'!$B$9,Paramètres!$A$1:$I$89,3,0)*VLOOKUP('Données projet'!$B$9,Paramètres!$A$1:$I$89,5,0)</f>
        <v>145.71870000000015</v>
      </c>
      <c r="P73" s="13">
        <f t="shared" si="87"/>
        <v>37.604011207604955</v>
      </c>
      <c r="Q73" s="20">
        <f t="shared" si="54"/>
        <v>319.28705535324553</v>
      </c>
      <c r="R73" s="59">
        <f t="shared" si="55"/>
        <v>612.62038868657885</v>
      </c>
      <c r="S73" s="59">
        <f ca="1">AVERAGE(OFFSET($R$3,0,0,'Données projet'!$E$9+1,1))-AVERAGE(OFFSET($H$3,0,0,'Données projet'!$E$9+1,1))</f>
        <v>223.99456146593315</v>
      </c>
      <c r="T73" s="59">
        <f t="shared" si="88"/>
        <v>132.73290587325937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22.490174305605851</v>
      </c>
      <c r="AA73" s="21">
        <f>EXP(-LN(2)/25)*AA72+(1-EXP(-LN(2)/25))/(LN(2)/25)*Calculateur!V73*Calculateur!X73*VLOOKUP('Données projet'!$B$9,Paramètres!$A$1:$I$89,3,0)*0.475*44/12</f>
        <v>16.367774487621901</v>
      </c>
      <c r="AB73" s="21">
        <f>EXP(-LN(2)/2)*AB72+(1-EXP(-LN(2)/2))/(LN(2)/2)*V73*Y73*VLOOKUP('Données projet'!$B$9,Paramètres!$A$1:$I$89,3,0)*0.475*44/12</f>
        <v>0.70051049641025898</v>
      </c>
      <c r="AC73" s="22">
        <f t="shared" si="57"/>
        <v>39.558459289638009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237</v>
      </c>
      <c r="AG73" s="12">
        <f>VLOOKUP(A73,'Données projet'!$A$61:$I$81,9,0)</f>
        <v>4.8</v>
      </c>
      <c r="AH73" s="12">
        <f t="array" ref="AH73">INDEX(AG:AG,MIN(IF(ISNUMBER(AG73:AG269),ROW(AG73:AG269),"")))</f>
        <v>4.8</v>
      </c>
      <c r="AI73" s="13">
        <f>IF('Données projet'!$A$62&gt;35,AI72+AH73-AQ72,IF(A73&lt;'Données projet'!$A$62,$AF$205^A73,IF(A73='Données projet'!$A$62,'Données projet'!$B$62,AI72+AH73-AQ72)))</f>
        <v>237.00000000000014</v>
      </c>
      <c r="AJ73" s="13">
        <f>AI73*VLOOKUP('Données projet'!$B$10,Paramètres!$A$1:$I$89,3,0)*VLOOKUP('Données projet'!$B$10,Paramètres!$A$1:$I$89,5,0)</f>
        <v>155.28240000000011</v>
      </c>
      <c r="AK73" s="13">
        <f t="shared" si="89"/>
        <v>39.776601235546444</v>
      </c>
      <c r="AL73" s="20">
        <f t="shared" si="58"/>
        <v>339.72776048524355</v>
      </c>
      <c r="AM73" s="59">
        <f t="shared" si="59"/>
        <v>633.06109381857686</v>
      </c>
      <c r="AN73" s="59">
        <f ca="1">AVERAGE(OFFSET($AM$3,0,0,'Données projet'!$E$10+1,1))-AVERAGE(OFFSET($H$3,0,0,'Données projet'!$E$10+1,1))</f>
        <v>244.43587473734613</v>
      </c>
      <c r="AO73" s="59">
        <f t="shared" si="90"/>
        <v>256.80261402149375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19</v>
      </c>
      <c r="AR73" s="16">
        <f>IF(ISNA(VLOOKUP(A73,'Données projet'!$A$61:$I$81,5,0)),0%,VLOOKUP(A73,'Données projet'!$A$61:$I$81,5,0)*VLOOKUP('Données projet'!$B$10,Paramètres!$A$1:$I$89,7,0))</f>
        <v>4.3000000000000003E-2</v>
      </c>
      <c r="AS73" s="16">
        <f>IF(ISNA(VLOOKUP(A73,'Données projet'!$A$61:$I$81,6,0)),0%,VLOOKUP(A73,'Données projet'!$A$61:$I$81,6,0)*VLOOKUP('Données projet'!$B$10,Paramètres!$A$1:$I$89,7,0))</f>
        <v>0.17200000000000001</v>
      </c>
      <c r="AT73" s="16">
        <f>IF(ISNA(VLOOKUP(A73,'Données projet'!$A$61:$I$81,7,0)),0%,VLOOKUP(A73,'Données projet'!$A$61:$I$81,7,0))</f>
        <v>0.3</v>
      </c>
      <c r="AU73" s="21">
        <f>EXP(-LN(2)/35)*AU72+(1-EXP(-LN(2)/35))/(LN(2)/35)*AQ73*AR73*VLOOKUP('Données projet'!$B$10,Paramètres!$A$1:$I$89,3,0)*0.475*44/12</f>
        <v>1.1559332501984056</v>
      </c>
      <c r="AV73" s="21">
        <f>EXP(-LN(2)/25)*AV72+(1-EXP(-LN(2)/25))/(LN(2)/25)*Calculateur!AQ73*Calculateur!AS73*VLOOKUP('Données projet'!$B$10,Paramètres!$A$1:$I$89,3,0)*0.475*44/12</f>
        <v>11.09275393071831</v>
      </c>
      <c r="AW73" s="21">
        <f>EXP(-LN(2)/2)*AW72+(1-EXP(-LN(2)/2))/(LN(2)/2)*AQ73*AT73*VLOOKUP('Données projet'!$B$10,Paramètres!$A$1:$I$89,3,0)*0.475*44/12</f>
        <v>4.3358183420265979</v>
      </c>
      <c r="AX73" s="21">
        <f t="shared" si="60"/>
        <v>16.584505522943314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-2.2737367544323206E-13</v>
      </c>
      <c r="BE73" s="13">
        <f>BD73*VLOOKUP('Données projet'!$B$11,Paramètres!$A$1:$I$89,3,0)*VLOOKUP('Données projet'!$B$11,Paramètres!$A$1:$I$89,5,0)</f>
        <v>-1.2710188457276673E-13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430.60186171079067</v>
      </c>
      <c r="BJ73" s="59">
        <f t="shared" si="92"/>
        <v>533.76627289533985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212.2892717014991</v>
      </c>
      <c r="BQ73" s="21">
        <f>EXP(-LN(2)/25)*BQ72+(1-EXP(-LN(2)/25))/(LN(2)/25)*Calculateur!BL73*Calculateur!BN73*VLOOKUP('Données projet'!$B$11,Paramètres!$A$1:$I$89,3,0)*0.475*44/12</f>
        <v>48.824554708656486</v>
      </c>
      <c r="BR73" s="21">
        <f>EXP(-LN(2)/2)*BR72+(1-EXP(-LN(2)/2))/(LN(2)/2)*BL73*BO73*VLOOKUP('Données projet'!$B$11,Paramètres!$A$1:$I$89,3,0)*0.475*44/12</f>
        <v>1.7600265748534154</v>
      </c>
      <c r="BS73" s="22">
        <f t="shared" si="63"/>
        <v>262.87385298500902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302.32307692307694</v>
      </c>
      <c r="BW73" s="12">
        <f>VLOOKUP(A73,'Données projet'!$A$113:$I$133,9,0)</f>
        <v>7.709230769230774</v>
      </c>
      <c r="BX73" s="12">
        <f t="array" ref="BX73">INDEX(BW:BW,MIN(IF(ISNUMBER(BW73:BW269),ROW(BW73:BW269),"")))</f>
        <v>7.709230769230774</v>
      </c>
      <c r="BY73" s="12">
        <f>IF('Données projet'!$A$114&gt;35,BY72+BX73-CG72,IF(A73&lt;'Données projet'!$A$114,$BV$205^A73,IF(A73='Données projet'!$A$114,'Données projet'!$B$114,BY72+BX73-CG72)))</f>
        <v>302.32307692307688</v>
      </c>
      <c r="BZ73" s="13">
        <f>BY73*VLOOKUP('Données projet'!$B$12,Paramètres!$A$1:$I$89,3,0)*VLOOKUP('Données projet'!$B$12,Paramètres!$A$1:$I$89,5,0)</f>
        <v>180.78919999999999</v>
      </c>
      <c r="CA73" s="13">
        <f t="shared" si="93"/>
        <v>45.497723895154429</v>
      </c>
      <c r="CB73" s="20">
        <f t="shared" si="64"/>
        <v>394.11639245072729</v>
      </c>
      <c r="CC73" s="59">
        <f t="shared" si="65"/>
        <v>687.44972578406055</v>
      </c>
      <c r="CD73" s="59">
        <f ca="1">AVERAGE(OFFSET($CC$3,0,0,'Données projet'!$E$12+1,1))-AVERAGE(OFFSET($H$3,0,0,'Données projet'!$E$12+1,1))</f>
        <v>215.89467197072673</v>
      </c>
      <c r="CE73" s="59">
        <f t="shared" si="94"/>
        <v>188.21397398859534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54.215384615384615</v>
      </c>
      <c r="CH73" s="16">
        <f>IF(ISNA(VLOOKUP(A73,'Données projet'!$A$113:$I$133,5,0)),0%,VLOOKUP(A73,'Données projet'!$A$113:$I$133,5,0)*VLOOKUP('Données projet'!$B$12,Paramètres!$A$1:$I$89,7,0))</f>
        <v>0.315</v>
      </c>
      <c r="CI73" s="16">
        <f>IF(ISNA(VLOOKUP(A73,'Données projet'!$A$113:$I$133,6,0)),0%,VLOOKUP(A73,'Données projet'!$A$113:$I$133,6,0)*VLOOKUP('Données projet'!$B$12,Paramètres!$A$1:$I$89,7,0))</f>
        <v>7.5600000000000001E-2</v>
      </c>
      <c r="CJ73" s="16">
        <f>IF(ISNA(VLOOKUP(A73,'Données projet'!$A$113:$I$133,7,0)),0%,VLOOKUP(A73,'Données projet'!$A$113:$I$133,7,0))</f>
        <v>0.13200000000000001</v>
      </c>
      <c r="CK73" s="21">
        <f>EXP(-LN(2)/35)*CK72+(1-EXP(-LN(2)/35))/(LN(2)/35)*CG73*CH73*VLOOKUP('Données projet'!$B$12,Paramètres!$A$1:$I$89,3,0)*0.475*44/12</f>
        <v>44.723944387621835</v>
      </c>
      <c r="CL73" s="21">
        <f>EXP(-LN(2)/25)*CL72+(1-EXP(-LN(2)/25))/(LN(2)/25)*Calculateur!CG73*Calculateur!CI73*VLOOKUP('Données projet'!$B$12,Paramètres!$A$1:$I$89,3,0)*0.475*44/12</f>
        <v>12.478002936481218</v>
      </c>
      <c r="CM73" s="21">
        <f>EXP(-LN(2)/2)*CM72+(1-EXP(-LN(2)/2))/(LN(2)/2)*CG73*CJ73*VLOOKUP('Données projet'!$B$12,Paramètres!$A$1:$I$89,3,0)*0.475*44/12</f>
        <v>4.9903021787343551</v>
      </c>
      <c r="CN73" s="22">
        <f t="shared" si="66"/>
        <v>62.192249502837406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4.7339743589743559</v>
      </c>
      <c r="CT73" s="12">
        <f>IF('Données projet'!$A$140&gt;35,CT72+CS73-DB72,IF(A73&lt;'Données projet'!$A$140,$CQ$205^A73,IF(A73='Données projet'!$A$140,'Données projet'!$B$140,CT72+CS73-DB72)))</f>
        <v>118.04807692307703</v>
      </c>
      <c r="CU73" s="17">
        <f>CT73*VLOOKUP('Données projet'!$B$13,Paramètres!$A$1:$I$89,3,0)*VLOOKUP('Données projet'!$B$13,Paramètres!$A$1:$I$89,5,0)</f>
        <v>119.70075000000011</v>
      </c>
      <c r="CV73" s="13">
        <f t="shared" si="95"/>
        <v>31.605194006646919</v>
      </c>
      <c r="CW73" s="20">
        <f t="shared" si="67"/>
        <v>263.52451914491024</v>
      </c>
      <c r="CX73" s="59">
        <f t="shared" si="68"/>
        <v>556.85785247824356</v>
      </c>
      <c r="CY73" s="59">
        <f ca="1">AVERAGE(OFFSET($CX$3,0,0,'Données projet'!$E$13+1,1))-AVERAGE(OFFSET($H$3,0,0,'Données projet'!$E$13+1,1))</f>
        <v>342.82846711287749</v>
      </c>
      <c r="CZ73" s="59">
        <f t="shared" si="96"/>
        <v>152.87724741106297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207</v>
      </c>
      <c r="DM73" s="12">
        <f>VLOOKUP(A73,'Données projet'!$A$165:$I$185,9,0)</f>
        <v>2.6</v>
      </c>
      <c r="DN73" s="12">
        <f t="array" ref="DN73">INDEX(DM:DM,MIN(IF(ISNUMBER(DM73:DM269),ROW(DM73:DM269),"")))</f>
        <v>2.6</v>
      </c>
      <c r="DO73" s="12">
        <f>IF('Données projet'!$A$166&gt;35,DO72+DN73-DW72,IF(A73&lt;'Données projet'!$A$166,$DL$205^A73,IF(A73='Données projet'!$A$166,'Données projet'!$B$166,DO72+DN73-DW72)))</f>
        <v>207</v>
      </c>
      <c r="DP73" s="17">
        <f>DO73*VLOOKUP('Données projet'!$B$14,Paramètres!$A$1:$I$89,3,0)*VLOOKUP('Données projet'!$B$14,Paramètres!$A$1:$I$89,5,0)</f>
        <v>151.7724</v>
      </c>
      <c r="DQ73" s="13">
        <f t="shared" si="97"/>
        <v>38.981094100085407</v>
      </c>
      <c r="DR73" s="20">
        <f t="shared" si="70"/>
        <v>332.22900222431537</v>
      </c>
      <c r="DS73" s="59">
        <f t="shared" si="71"/>
        <v>625.56233555764868</v>
      </c>
      <c r="DT73" s="59">
        <f ca="1">AVERAGE(OFFSET($DS$3,0,0,'Données projet'!$E$14+1,1))-AVERAGE(OFFSET($H$3,0,0,'Données projet'!$E$14+1,1))</f>
        <v>208.48147873805715</v>
      </c>
      <c r="DU73" s="59">
        <f t="shared" si="98"/>
        <v>209.50570914630686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6</v>
      </c>
      <c r="DX73" s="16">
        <f>IF(ISNA(VLOOKUP(A73,'Données projet'!$A$165:$I$185,5,0)),0%,VLOOKUP(A73,'Données projet'!$A$165:$I$185,5,0)*VLOOKUP('Données projet'!$B$14,Paramètres!$A$1:$I$89,7,0))</f>
        <v>0.3569</v>
      </c>
      <c r="DY73" s="16">
        <f>IF(ISNA(VLOOKUP(A73,'Données projet'!$A$165:$I$185,6,0)),0%,VLOOKUP(A73,'Données projet'!$A$165:$I$185,6,0)*VLOOKUP('Données projet'!$B$14,Paramètres!$A$1:$I$89,7,0))</f>
        <v>0.1419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7.0376582027608734</v>
      </c>
      <c r="EB73" s="21">
        <f>EXP(-LN(2)/25)*EB72+(1-EXP(-LN(2)/25))/(LN(2)/25)*Calculateur!DW73*Calculateur!DY73*VLOOKUP('Données projet'!$B$14,Paramètres!$A$1:$I$89,3,0)*0.475*44/12</f>
        <v>7.3438105491953491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14.381468751956223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-1.7053025658242404E-13</v>
      </c>
      <c r="EK73" s="17">
        <f>EJ73*VLOOKUP('Données projet'!$B$15,Paramètres!$A$1:$I$89,3,0)*VLOOKUP('Données projet'!$B$15,Paramètres!$A$1:$I$89,5,0)</f>
        <v>-1.0197709343628959E-13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247.31680974612766</v>
      </c>
      <c r="EP73" s="59">
        <f t="shared" si="100"/>
        <v>257.13949761071882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106.41556465983601</v>
      </c>
      <c r="EW73" s="21">
        <f>EXP(-LN(2)/25)*EW72+(1-EXP(-LN(2)/25))/(LN(2)/25)*Calculateur!ER73*Calculateur!ET73*VLOOKUP('Données projet'!$B$15,Paramètres!$A$1:$I$89,3,0)*0.475*44/12</f>
        <v>27.387621339165698</v>
      </c>
      <c r="EX73" s="21">
        <f>EXP(-LN(2)/2)*EX72+(1-EXP(-LN(2)/2))/(LN(2)/2)*ER73*EU73*VLOOKUP('Données projet'!$B$15,Paramètres!$A$1:$I$89,3,0)*0.475*44/12</f>
        <v>0.99883901531181862</v>
      </c>
      <c r="EY73" s="22">
        <f t="shared" si="75"/>
        <v>134.80202501431353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12.626639999999988</v>
      </c>
      <c r="D74" s="11">
        <f t="shared" si="86"/>
        <v>4.3316161427813595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26.181167378329103</v>
      </c>
      <c r="H74" s="67">
        <f t="shared" si="56"/>
        <v>286.20229611534421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9.8224358974358967</v>
      </c>
      <c r="N74" s="13">
        <f>IF('Données projet'!$A$36&gt;35,N73+M74-V73,IF(A74&lt;'Données projet'!$A$36,$K$205^A74,IF(A74='Données projet'!$A$36,'Données projet'!$B$36,N73+M74-V73)))</f>
        <v>321.18717948717983</v>
      </c>
      <c r="O74" s="13">
        <f>N74*VLOOKUP('Données projet'!$B$9,Paramètres!$A$1:$I$89,3,0)*VLOOKUP('Données projet'!$B$9,Paramètres!$A$1:$I$89,5,0)</f>
        <v>150.31560000000016</v>
      </c>
      <c r="P74" s="13">
        <f t="shared" si="87"/>
        <v>38.650298077744381</v>
      </c>
      <c r="Q74" s="20">
        <f t="shared" si="54"/>
        <v>329.1156058187384</v>
      </c>
      <c r="R74" s="59">
        <f t="shared" si="55"/>
        <v>622.44893915207172</v>
      </c>
      <c r="S74" s="59">
        <f ca="1">AVERAGE(OFFSET($R$3,0,0,'Données projet'!$E$9+1,1))-AVERAGE(OFFSET($H$3,0,0,'Données projet'!$E$9+1,1))</f>
        <v>223.99456146593315</v>
      </c>
      <c r="T74" s="59">
        <f t="shared" si="88"/>
        <v>132.73290587325937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22.04915570512474</v>
      </c>
      <c r="AA74" s="21">
        <f>EXP(-LN(2)/25)*AA73+(1-EXP(-LN(2)/25))/(LN(2)/25)*Calculateur!V74*Calculateur!X74*VLOOKUP('Données projet'!$B$9,Paramètres!$A$1:$I$89,3,0)*0.475*44/12</f>
        <v>15.920196833514028</v>
      </c>
      <c r="AB74" s="21">
        <f>EXP(-LN(2)/2)*AB73+(1-EXP(-LN(2)/2))/(LN(2)/2)*V74*Y74*VLOOKUP('Données projet'!$B$9,Paramètres!$A$1:$I$89,3,0)*0.475*44/12</f>
        <v>0.49533572230404882</v>
      </c>
      <c r="AC74" s="22">
        <f t="shared" si="57"/>
        <v>38.464688260942815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4.5999999999999996</v>
      </c>
      <c r="AI74" s="13">
        <f>IF('Données projet'!$A$62&gt;35,AI73+AH74-AQ73,IF(A74&lt;'Données projet'!$A$62,$AF$205^A74,IF(A74='Données projet'!$A$62,'Données projet'!$B$62,AI73+AH74-AQ73)))</f>
        <v>222.60000000000014</v>
      </c>
      <c r="AJ74" s="13">
        <f>AI74*VLOOKUP('Données projet'!$B$10,Paramètres!$A$1:$I$89,3,0)*VLOOKUP('Données projet'!$B$10,Paramètres!$A$1:$I$89,5,0)</f>
        <v>145.84752000000009</v>
      </c>
      <c r="AK74" s="13">
        <f t="shared" si="89"/>
        <v>37.633383344887093</v>
      </c>
      <c r="AL74" s="20">
        <f t="shared" si="58"/>
        <v>319.56257332567844</v>
      </c>
      <c r="AM74" s="59">
        <f t="shared" si="59"/>
        <v>612.89590665901176</v>
      </c>
      <c r="AN74" s="59">
        <f ca="1">AVERAGE(OFFSET($AM$3,0,0,'Données projet'!$E$10+1,1))-AVERAGE(OFFSET($H$3,0,0,'Données projet'!$E$10+1,1))</f>
        <v>244.43587473734613</v>
      </c>
      <c r="AO74" s="59">
        <f t="shared" si="90"/>
        <v>256.80261402149375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1.1332661042116796</v>
      </c>
      <c r="AV74" s="21">
        <f>EXP(-LN(2)/25)*AV73+(1-EXP(-LN(2)/25))/(LN(2)/25)*Calculateur!AQ74*Calculateur!AS74*VLOOKUP('Données projet'!$B$10,Paramètres!$A$1:$I$89,3,0)*0.475*44/12</f>
        <v>10.789421991140241</v>
      </c>
      <c r="AW74" s="21">
        <f>EXP(-LN(2)/2)*AW73+(1-EXP(-LN(2)/2))/(LN(2)/2)*AQ74*AT74*VLOOKUP('Données projet'!$B$10,Paramètres!$A$1:$I$89,3,0)*0.475*44/12</f>
        <v>3.0658865516400211</v>
      </c>
      <c r="AX74" s="21">
        <f t="shared" si="60"/>
        <v>14.988574646991943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-2.2737367544323206E-13</v>
      </c>
      <c r="BE74" s="13">
        <f>BD74*VLOOKUP('Données projet'!$B$11,Paramètres!$A$1:$I$89,3,0)*VLOOKUP('Données projet'!$B$11,Paramètres!$A$1:$I$89,5,0)</f>
        <v>-1.2710188457276673E-13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430.60186171079067</v>
      </c>
      <c r="BJ74" s="59">
        <f t="shared" si="92"/>
        <v>533.76627289533985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208.126408567103</v>
      </c>
      <c r="BQ74" s="21">
        <f>EXP(-LN(2)/25)*BQ73+(1-EXP(-LN(2)/25))/(LN(2)/25)*Calculateur!BL74*Calculateur!BN74*VLOOKUP('Données projet'!$B$11,Paramètres!$A$1:$I$89,3,0)*0.475*44/12</f>
        <v>47.489444692576534</v>
      </c>
      <c r="BR74" s="21">
        <f>EXP(-LN(2)/2)*BR73+(1-EXP(-LN(2)/2))/(LN(2)/2)*BL74*BO74*VLOOKUP('Données projet'!$B$11,Paramètres!$A$1:$I$89,3,0)*0.475*44/12</f>
        <v>1.2445267261473827</v>
      </c>
      <c r="BS74" s="22">
        <f t="shared" si="63"/>
        <v>256.86037998582691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6.2061538461538479</v>
      </c>
      <c r="BY74" s="12">
        <f>IF('Données projet'!$A$114&gt;35,BY73+BX74-CG73,IF(A74&lt;'Données projet'!$A$114,$BV$205^A74,IF(A74='Données projet'!$A$114,'Données projet'!$B$114,BY73+BX74-CG73)))</f>
        <v>254.3138461538461</v>
      </c>
      <c r="BZ74" s="13">
        <f>BY74*VLOOKUP('Données projet'!$B$12,Paramètres!$A$1:$I$89,3,0)*VLOOKUP('Données projet'!$B$12,Paramètres!$A$1:$I$89,5,0)</f>
        <v>152.07968</v>
      </c>
      <c r="CA74" s="13">
        <f t="shared" si="93"/>
        <v>39.050820956481395</v>
      </c>
      <c r="CB74" s="20">
        <f t="shared" si="64"/>
        <v>332.88562249920511</v>
      </c>
      <c r="CC74" s="59">
        <f t="shared" si="65"/>
        <v>626.21895583253843</v>
      </c>
      <c r="CD74" s="59">
        <f ca="1">AVERAGE(OFFSET($CC$3,0,0,'Données projet'!$E$12+1,1))-AVERAGE(OFFSET($H$3,0,0,'Données projet'!$E$12+1,1))</f>
        <v>215.89467197072673</v>
      </c>
      <c r="CE74" s="59">
        <f t="shared" si="94"/>
        <v>188.21397398859534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43.846935117093075</v>
      </c>
      <c r="CL74" s="21">
        <f>EXP(-LN(2)/25)*CL73+(1-EXP(-LN(2)/25))/(LN(2)/25)*Calculateur!CG74*Calculateur!CI74*VLOOKUP('Données projet'!$B$12,Paramètres!$A$1:$I$89,3,0)*0.475*44/12</f>
        <v>12.136791289993484</v>
      </c>
      <c r="CM74" s="21">
        <f>EXP(-LN(2)/2)*CM73+(1-EXP(-LN(2)/2))/(LN(2)/2)*CG74*CJ74*VLOOKUP('Données projet'!$B$12,Paramètres!$A$1:$I$89,3,0)*0.475*44/12</f>
        <v>3.5286765107530651</v>
      </c>
      <c r="CN74" s="22">
        <f t="shared" si="66"/>
        <v>59.512402917839623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4.7339743589743559</v>
      </c>
      <c r="CT74" s="12">
        <f>IF('Données projet'!$A$140&gt;35,CT73+CS74-DB73,IF(A74&lt;'Données projet'!$A$140,$CQ$205^A74,IF(A74='Données projet'!$A$140,'Données projet'!$B$140,CT73+CS74-DB73)))</f>
        <v>122.78205128205138</v>
      </c>
      <c r="CU74" s="17">
        <f>CT74*VLOOKUP('Données projet'!$B$13,Paramètres!$A$1:$I$89,3,0)*VLOOKUP('Données projet'!$B$13,Paramètres!$A$1:$I$89,5,0)</f>
        <v>124.50100000000012</v>
      </c>
      <c r="CV74" s="13">
        <f t="shared" si="95"/>
        <v>32.722523332785784</v>
      </c>
      <c r="CW74" s="20">
        <f t="shared" si="67"/>
        <v>273.83096980460209</v>
      </c>
      <c r="CX74" s="59">
        <f t="shared" si="68"/>
        <v>567.16430313793535</v>
      </c>
      <c r="CY74" s="59">
        <f ca="1">AVERAGE(OFFSET($CX$3,0,0,'Données projet'!$E$13+1,1))-AVERAGE(OFFSET($H$3,0,0,'Données projet'!$E$13+1,1))</f>
        <v>342.82846711287749</v>
      </c>
      <c r="CZ74" s="59">
        <f t="shared" si="96"/>
        <v>152.87724741106297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2.6</v>
      </c>
      <c r="DO74" s="12">
        <f>IF('Données projet'!$A$166&gt;35,DO73+DN74-DW73,IF(A74&lt;'Données projet'!$A$166,$DL$205^A74,IF(A74='Données projet'!$A$166,'Données projet'!$B$166,DO73+DN74-DW73)))</f>
        <v>203.6</v>
      </c>
      <c r="DP74" s="17">
        <f>DO74*VLOOKUP('Données projet'!$B$14,Paramètres!$A$1:$I$89,3,0)*VLOOKUP('Données projet'!$B$14,Paramètres!$A$1:$I$89,5,0)</f>
        <v>149.27951999999999</v>
      </c>
      <c r="DQ74" s="13">
        <f t="shared" si="97"/>
        <v>38.414808102917561</v>
      </c>
      <c r="DR74" s="20">
        <f t="shared" si="70"/>
        <v>326.90095477924802</v>
      </c>
      <c r="DS74" s="59">
        <f t="shared" si="71"/>
        <v>620.23428811258134</v>
      </c>
      <c r="DT74" s="59">
        <f ca="1">AVERAGE(OFFSET($DS$3,0,0,'Données projet'!$E$14+1,1))-AVERAGE(OFFSET($H$3,0,0,'Données projet'!$E$14+1,1))</f>
        <v>208.48147873805715</v>
      </c>
      <c r="DU74" s="59">
        <f t="shared" si="98"/>
        <v>209.50570914630686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6.8996540179523826</v>
      </c>
      <c r="EB74" s="21">
        <f>EXP(-LN(2)/25)*EB73+(1-EXP(-LN(2)/25))/(LN(2)/25)*Calculateur!DW74*Calculateur!DY74*VLOOKUP('Données projet'!$B$14,Paramètres!$A$1:$I$89,3,0)*0.475*44/12</f>
        <v>7.1429936635333897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14.042647681485771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-1.7053025658242404E-13</v>
      </c>
      <c r="EK74" s="17">
        <f>EJ74*VLOOKUP('Données projet'!$B$15,Paramètres!$A$1:$I$89,3,0)*VLOOKUP('Données projet'!$B$15,Paramètres!$A$1:$I$89,5,0)</f>
        <v>-1.0197709343628959E-13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247.31680974612766</v>
      </c>
      <c r="EP74" s="59">
        <f t="shared" si="100"/>
        <v>257.13949761071882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104.32882034394203</v>
      </c>
      <c r="EW74" s="21">
        <f>EXP(-LN(2)/25)*EW73+(1-EXP(-LN(2)/25))/(LN(2)/25)*Calculateur!ER74*Calculateur!ET74*VLOOKUP('Données projet'!$B$15,Paramètres!$A$1:$I$89,3,0)*0.475*44/12</f>
        <v>26.638705393393799</v>
      </c>
      <c r="EX74" s="21">
        <f>EXP(-LN(2)/2)*EX73+(1-EXP(-LN(2)/2))/(LN(2)/2)*ER74*EU74*VLOOKUP('Données projet'!$B$15,Paramètres!$A$1:$I$89,3,0)*0.475*44/12</f>
        <v>0.70628584104068082</v>
      </c>
      <c r="EY74" s="22">
        <f t="shared" si="75"/>
        <v>131.6738115783765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12.804479999999987</v>
      </c>
      <c r="D75" s="11">
        <f t="shared" si="86"/>
        <v>4.385479451843409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26.53888476775823</v>
      </c>
      <c r="H75" s="67">
        <f t="shared" si="56"/>
        <v>286.60584604529396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9.8224358974358967</v>
      </c>
      <c r="N75" s="13">
        <f>IF('Données projet'!$A$36&gt;35,N74+M75-V74,IF(A75&lt;'Données projet'!$A$36,$K$205^A75,IF(A75='Données projet'!$A$36,'Données projet'!$B$36,N74+M75-V74)))</f>
        <v>331.00961538461576</v>
      </c>
      <c r="O75" s="13">
        <f>N75*VLOOKUP('Données projet'!$B$9,Paramètres!$A$1:$I$89,3,0)*VLOOKUP('Données projet'!$B$9,Paramètres!$A$1:$I$89,5,0)</f>
        <v>154.91250000000016</v>
      </c>
      <c r="P75" s="13">
        <f t="shared" si="87"/>
        <v>39.692866484273097</v>
      </c>
      <c r="Q75" s="20">
        <f t="shared" si="54"/>
        <v>338.93767996010916</v>
      </c>
      <c r="R75" s="59">
        <f t="shared" si="55"/>
        <v>632.27101329344248</v>
      </c>
      <c r="S75" s="59">
        <f ca="1">AVERAGE(OFFSET($R$3,0,0,'Données projet'!$E$9+1,1))-AVERAGE(OFFSET($H$3,0,0,'Données projet'!$E$9+1,1))</f>
        <v>223.99456146593315</v>
      </c>
      <c r="T75" s="59">
        <f t="shared" si="88"/>
        <v>132.73290587325937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21.616785210404281</v>
      </c>
      <c r="AA75" s="21">
        <f>EXP(-LN(2)/25)*AA74+(1-EXP(-LN(2)/25))/(LN(2)/25)*Calculateur!V75*Calculateur!X75*VLOOKUP('Données projet'!$B$9,Paramètres!$A$1:$I$89,3,0)*0.475*44/12</f>
        <v>15.484858213894821</v>
      </c>
      <c r="AB75" s="21">
        <f>EXP(-LN(2)/2)*AB74+(1-EXP(-LN(2)/2))/(LN(2)/2)*V75*Y75*VLOOKUP('Données projet'!$B$9,Paramètres!$A$1:$I$89,3,0)*0.475*44/12</f>
        <v>0.35025524820512954</v>
      </c>
      <c r="AC75" s="22">
        <f t="shared" si="57"/>
        <v>37.451898672504228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4.5999999999999996</v>
      </c>
      <c r="AI75" s="13">
        <f>IF('Données projet'!$A$62&gt;35,AI74+AH75-AQ74,IF(A75&lt;'Données projet'!$A$62,$AF$205^A75,IF(A75='Données projet'!$A$62,'Données projet'!$B$62,AI74+AH75-AQ74)))</f>
        <v>227.20000000000013</v>
      </c>
      <c r="AJ75" s="13">
        <f>AI75*VLOOKUP('Données projet'!$B$10,Paramètres!$A$1:$I$89,3,0)*VLOOKUP('Données projet'!$B$10,Paramètres!$A$1:$I$89,5,0)</f>
        <v>148.86144000000007</v>
      </c>
      <c r="AK75" s="13">
        <f t="shared" si="89"/>
        <v>38.319729148991954</v>
      </c>
      <c r="AL75" s="20">
        <f t="shared" si="58"/>
        <v>326.00720293449439</v>
      </c>
      <c r="AM75" s="59">
        <f t="shared" si="59"/>
        <v>619.3405362678277</v>
      </c>
      <c r="AN75" s="59">
        <f ca="1">AVERAGE(OFFSET($AM$3,0,0,'Données projet'!$E$10+1,1))-AVERAGE(OFFSET($H$3,0,0,'Données projet'!$E$10+1,1))</f>
        <v>244.43587473734613</v>
      </c>
      <c r="AO75" s="59">
        <f t="shared" si="90"/>
        <v>256.80261402149375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1.1110434471321595</v>
      </c>
      <c r="AV75" s="21">
        <f>EXP(-LN(2)/25)*AV74+(1-EXP(-LN(2)/25))/(LN(2)/25)*Calculateur!AQ75*Calculateur!AS75*VLOOKUP('Données projet'!$B$10,Paramètres!$A$1:$I$89,3,0)*0.475*44/12</f>
        <v>10.494384679401469</v>
      </c>
      <c r="AW75" s="21">
        <f>EXP(-LN(2)/2)*AW74+(1-EXP(-LN(2)/2))/(LN(2)/2)*AQ75*AT75*VLOOKUP('Données projet'!$B$10,Paramètres!$A$1:$I$89,3,0)*0.475*44/12</f>
        <v>2.1679091710132994</v>
      </c>
      <c r="AX75" s="21">
        <f t="shared" si="60"/>
        <v>13.773337297546927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-2.2737367544323206E-13</v>
      </c>
      <c r="BE75" s="13">
        <f>BD75*VLOOKUP('Données projet'!$B$11,Paramètres!$A$1:$I$89,3,0)*VLOOKUP('Données projet'!$B$11,Paramètres!$A$1:$I$89,5,0)</f>
        <v>-1.2710188457276673E-13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430.60186171079067</v>
      </c>
      <c r="BJ75" s="59">
        <f t="shared" si="92"/>
        <v>533.76627289533985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204.04517663967661</v>
      </c>
      <c r="BQ75" s="21">
        <f>EXP(-LN(2)/25)*BQ74+(1-EXP(-LN(2)/25))/(LN(2)/25)*Calculateur!BL75*Calculateur!BN75*VLOOKUP('Données projet'!$B$11,Paramètres!$A$1:$I$89,3,0)*0.475*44/12</f>
        <v>46.190843330096669</v>
      </c>
      <c r="BR75" s="21">
        <f>EXP(-LN(2)/2)*BR74+(1-EXP(-LN(2)/2))/(LN(2)/2)*BL75*BO75*VLOOKUP('Données projet'!$B$11,Paramètres!$A$1:$I$89,3,0)*0.475*44/12</f>
        <v>0.8800132874267077</v>
      </c>
      <c r="BS75" s="22">
        <f t="shared" si="63"/>
        <v>251.1160332572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6.2061538461538479</v>
      </c>
      <c r="BY75" s="12">
        <f>IF('Données projet'!$A$114&gt;35,BY74+BX75-CG74,IF(A75&lt;'Données projet'!$A$114,$BV$205^A75,IF(A75='Données projet'!$A$114,'Données projet'!$B$114,BY74+BX75-CG74)))</f>
        <v>260.51999999999992</v>
      </c>
      <c r="BZ75" s="13">
        <f>BY75*VLOOKUP('Données projet'!$B$12,Paramètres!$A$1:$I$89,3,0)*VLOOKUP('Données projet'!$B$12,Paramètres!$A$1:$I$89,5,0)</f>
        <v>155.79095999999998</v>
      </c>
      <c r="CA75" s="13">
        <f t="shared" si="93"/>
        <v>39.891686747728109</v>
      </c>
      <c r="CB75" s="20">
        <f t="shared" si="64"/>
        <v>340.81394308562642</v>
      </c>
      <c r="CC75" s="59">
        <f t="shared" si="65"/>
        <v>634.14727641895979</v>
      </c>
      <c r="CD75" s="59">
        <f ca="1">AVERAGE(OFFSET($CC$3,0,0,'Données projet'!$E$12+1,1))-AVERAGE(OFFSET($H$3,0,0,'Données projet'!$E$12+1,1))</f>
        <v>215.89467197072673</v>
      </c>
      <c r="CE75" s="59">
        <f t="shared" si="94"/>
        <v>188.21397398859534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42.987123463436554</v>
      </c>
      <c r="CL75" s="21">
        <f>EXP(-LN(2)/25)*CL74+(1-EXP(-LN(2)/25))/(LN(2)/25)*Calculateur!CG75*Calculateur!CI75*VLOOKUP('Données projet'!$B$12,Paramètres!$A$1:$I$89,3,0)*0.475*44/12</f>
        <v>11.804910093922498</v>
      </c>
      <c r="CM75" s="21">
        <f>EXP(-LN(2)/2)*CM74+(1-EXP(-LN(2)/2))/(LN(2)/2)*CG75*CJ75*VLOOKUP('Données projet'!$B$12,Paramètres!$A$1:$I$89,3,0)*0.475*44/12</f>
        <v>2.495151089367178</v>
      </c>
      <c r="CN75" s="22">
        <f t="shared" si="66"/>
        <v>57.287184646726224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4.7339743589743559</v>
      </c>
      <c r="CT75" s="12">
        <f>IF('Données projet'!$A$140&gt;35,CT74+CS75-DB74,IF(A75&lt;'Données projet'!$A$140,$CQ$205^A75,IF(A75='Données projet'!$A$140,'Données projet'!$B$140,CT74+CS75-DB74)))</f>
        <v>127.51602564102573</v>
      </c>
      <c r="CU75" s="17">
        <f>CT75*VLOOKUP('Données projet'!$B$13,Paramètres!$A$1:$I$89,3,0)*VLOOKUP('Données projet'!$B$13,Paramètres!$A$1:$I$89,5,0)</f>
        <v>129.3012500000001</v>
      </c>
      <c r="CV75" s="13">
        <f t="shared" si="95"/>
        <v>33.834848112922586</v>
      </c>
      <c r="CW75" s="20">
        <f t="shared" si="67"/>
        <v>284.12870421334037</v>
      </c>
      <c r="CX75" s="59">
        <f t="shared" si="68"/>
        <v>577.46203754667363</v>
      </c>
      <c r="CY75" s="59">
        <f ca="1">AVERAGE(OFFSET($CX$3,0,0,'Données projet'!$E$13+1,1))-AVERAGE(OFFSET($H$3,0,0,'Données projet'!$E$13+1,1))</f>
        <v>342.82846711287749</v>
      </c>
      <c r="CZ75" s="59">
        <f t="shared" si="96"/>
        <v>152.87724741106297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2.6</v>
      </c>
      <c r="DO75" s="12">
        <f>IF('Données projet'!$A$166&gt;35,DO74+DN75-DW74,IF(A75&lt;'Données projet'!$A$166,$DL$205^A75,IF(A75='Données projet'!$A$166,'Données projet'!$B$166,DO74+DN75-DW74)))</f>
        <v>206.2</v>
      </c>
      <c r="DP75" s="17">
        <f>DO75*VLOOKUP('Données projet'!$B$14,Paramètres!$A$1:$I$89,3,0)*VLOOKUP('Données projet'!$B$14,Paramètres!$A$1:$I$89,5,0)</f>
        <v>151.18583999999998</v>
      </c>
      <c r="DQ75" s="13">
        <f t="shared" si="97"/>
        <v>38.84794838705254</v>
      </c>
      <c r="DR75" s="20">
        <f t="shared" si="70"/>
        <v>330.9755147741165</v>
      </c>
      <c r="DS75" s="59">
        <f t="shared" si="71"/>
        <v>624.30884810744988</v>
      </c>
      <c r="DT75" s="59">
        <f ca="1">AVERAGE(OFFSET($DS$3,0,0,'Données projet'!$E$14+1,1))-AVERAGE(OFFSET($H$3,0,0,'Données projet'!$E$14+1,1))</f>
        <v>208.48147873805715</v>
      </c>
      <c r="DU75" s="59">
        <f t="shared" si="98"/>
        <v>209.50570914630686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6.7643560110337448</v>
      </c>
      <c r="EB75" s="21">
        <f>EXP(-LN(2)/25)*EB74+(1-EXP(-LN(2)/25))/(LN(2)/25)*Calculateur!DW75*Calculateur!DY75*VLOOKUP('Données projet'!$B$14,Paramètres!$A$1:$I$89,3,0)*0.475*44/12</f>
        <v>6.9476681261703579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13.712024137204104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-1.7053025658242404E-13</v>
      </c>
      <c r="EK75" s="17">
        <f>EJ75*VLOOKUP('Données projet'!$B$15,Paramètres!$A$1:$I$89,3,0)*VLOOKUP('Données projet'!$B$15,Paramètres!$A$1:$I$89,5,0)</f>
        <v>-1.0197709343628959E-13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247.31680974612766</v>
      </c>
      <c r="EP75" s="59">
        <f t="shared" si="100"/>
        <v>257.13949761071882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102.28299581129437</v>
      </c>
      <c r="EW75" s="21">
        <f>EXP(-LN(2)/25)*EW74+(1-EXP(-LN(2)/25))/(LN(2)/25)*Calculateur!ER75*Calculateur!ET75*VLOOKUP('Données projet'!$B$15,Paramètres!$A$1:$I$89,3,0)*0.475*44/12</f>
        <v>25.910268593542813</v>
      </c>
      <c r="EX75" s="21">
        <f>EXP(-LN(2)/2)*EX74+(1-EXP(-LN(2)/2))/(LN(2)/2)*ER75*EU75*VLOOKUP('Données projet'!$B$15,Paramètres!$A$1:$I$89,3,0)*0.475*44/12</f>
        <v>0.49941950765590942</v>
      </c>
      <c r="EY75" s="22">
        <f t="shared" si="75"/>
        <v>128.6926839124931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12.982319999999987</v>
      </c>
      <c r="D76" s="11">
        <f t="shared" si="86"/>
        <v>4.4392557492820979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26.896467823453047</v>
      </c>
      <c r="H76" s="67">
        <f t="shared" si="56"/>
        <v>287.00924442999963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9.8224358974358967</v>
      </c>
      <c r="N76" s="13">
        <f>IF('Données projet'!$A$36&gt;35,N75+M76-V75,IF(A76&lt;'Données projet'!$A$36,$K$205^A76,IF(A76='Données projet'!$A$36,'Données projet'!$B$36,N75+M76-V75)))</f>
        <v>340.83205128205168</v>
      </c>
      <c r="O76" s="13">
        <f>N76*VLOOKUP('Données projet'!$B$9,Paramètres!$A$1:$I$89,3,0)*VLOOKUP('Données projet'!$B$9,Paramètres!$A$1:$I$89,5,0)</f>
        <v>159.50940000000017</v>
      </c>
      <c r="P76" s="13">
        <f t="shared" si="87"/>
        <v>40.7318394374633</v>
      </c>
      <c r="Q76" s="20">
        <f t="shared" si="54"/>
        <v>348.75349202024881</v>
      </c>
      <c r="R76" s="59">
        <f t="shared" si="55"/>
        <v>642.08682535358207</v>
      </c>
      <c r="S76" s="59">
        <f ca="1">AVERAGE(OFFSET($R$3,0,0,'Données projet'!$E$9+1,1))-AVERAGE(OFFSET($H$3,0,0,'Données projet'!$E$9+1,1))</f>
        <v>223.99456146593315</v>
      </c>
      <c r="T76" s="59">
        <f t="shared" si="88"/>
        <v>132.73290587325937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21.192893237365325</v>
      </c>
      <c r="AA76" s="21">
        <f>EXP(-LN(2)/25)*AA75+(1-EXP(-LN(2)/25))/(LN(2)/25)*Calculateur!V76*Calculateur!X76*VLOOKUP('Données projet'!$B$9,Paramètres!$A$1:$I$89,3,0)*0.475*44/12</f>
        <v>15.061423951722565</v>
      </c>
      <c r="AB76" s="21">
        <f>EXP(-LN(2)/2)*AB75+(1-EXP(-LN(2)/2))/(LN(2)/2)*V76*Y76*VLOOKUP('Données projet'!$B$9,Paramètres!$A$1:$I$89,3,0)*0.475*44/12</f>
        <v>0.24766786115202444</v>
      </c>
      <c r="AC76" s="22">
        <f t="shared" si="57"/>
        <v>36.501985050239917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4.5999999999999996</v>
      </c>
      <c r="AI76" s="13">
        <f>IF('Données projet'!$A$62&gt;35,AI75+AH76-AQ75,IF(A76&lt;'Données projet'!$A$62,$AF$205^A76,IF(A76='Données projet'!$A$62,'Données projet'!$B$62,AI75+AH76-AQ75)))</f>
        <v>231.80000000000013</v>
      </c>
      <c r="AJ76" s="13">
        <f>AI76*VLOOKUP('Données projet'!$B$10,Paramètres!$A$1:$I$89,3,0)*VLOOKUP('Données projet'!$B$10,Paramètres!$A$1:$I$89,5,0)</f>
        <v>151.87536000000009</v>
      </c>
      <c r="AK76" s="13">
        <f t="shared" si="89"/>
        <v>39.004459236504758</v>
      </c>
      <c r="AL76" s="20">
        <f t="shared" si="58"/>
        <v>332.44901850357923</v>
      </c>
      <c r="AM76" s="59">
        <f t="shared" si="59"/>
        <v>625.78235183691254</v>
      </c>
      <c r="AN76" s="59">
        <f ca="1">AVERAGE(OFFSET($AM$3,0,0,'Données projet'!$E$10+1,1))-AVERAGE(OFFSET($H$3,0,0,'Données projet'!$E$10+1,1))</f>
        <v>244.43587473734613</v>
      </c>
      <c r="AO76" s="59">
        <f t="shared" si="90"/>
        <v>256.80261402149375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1.0892565628034863</v>
      </c>
      <c r="AV76" s="21">
        <f>EXP(-LN(2)/25)*AV75+(1-EXP(-LN(2)/25))/(LN(2)/25)*Calculateur!AQ76*Calculateur!AS76*VLOOKUP('Données projet'!$B$10,Paramètres!$A$1:$I$89,3,0)*0.475*44/12</f>
        <v>10.20741517846753</v>
      </c>
      <c r="AW76" s="21">
        <f>EXP(-LN(2)/2)*AW75+(1-EXP(-LN(2)/2))/(LN(2)/2)*AQ76*AT76*VLOOKUP('Données projet'!$B$10,Paramètres!$A$1:$I$89,3,0)*0.475*44/12</f>
        <v>1.5329432758200108</v>
      </c>
      <c r="AX76" s="21">
        <f t="shared" si="60"/>
        <v>12.829615017091026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-2.2737367544323206E-13</v>
      </c>
      <c r="BE76" s="13">
        <f>BD76*VLOOKUP('Données projet'!$B$11,Paramètres!$A$1:$I$89,3,0)*VLOOKUP('Données projet'!$B$11,Paramètres!$A$1:$I$89,5,0)</f>
        <v>-1.2710188457276673E-13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430.60186171079067</v>
      </c>
      <c r="BJ76" s="59">
        <f t="shared" si="92"/>
        <v>533.76627289533985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200.04397518104136</v>
      </c>
      <c r="BQ76" s="21">
        <f>EXP(-LN(2)/25)*BQ75+(1-EXP(-LN(2)/25))/(LN(2)/25)*Calculateur!BL76*Calculateur!BN76*VLOOKUP('Données projet'!$B$11,Paramètres!$A$1:$I$89,3,0)*0.475*44/12</f>
        <v>44.927752290164293</v>
      </c>
      <c r="BR76" s="21">
        <f>EXP(-LN(2)/2)*BR75+(1-EXP(-LN(2)/2))/(LN(2)/2)*BL76*BO76*VLOOKUP('Données projet'!$B$11,Paramètres!$A$1:$I$89,3,0)*0.475*44/12</f>
        <v>0.62226336307369134</v>
      </c>
      <c r="BS76" s="22">
        <f t="shared" si="63"/>
        <v>245.59399083427937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6.2061538461538479</v>
      </c>
      <c r="BY76" s="12">
        <f>IF('Données projet'!$A$114&gt;35,BY75+BX76-CG75,IF(A76&lt;'Données projet'!$A$114,$BV$205^A76,IF(A76='Données projet'!$A$114,'Données projet'!$B$114,BY75+BX76-CG75)))</f>
        <v>266.72615384615375</v>
      </c>
      <c r="BZ76" s="13">
        <f>BY76*VLOOKUP('Données projet'!$B$12,Paramètres!$A$1:$I$89,3,0)*VLOOKUP('Données projet'!$B$12,Paramètres!$A$1:$I$89,5,0)</f>
        <v>159.50223999999997</v>
      </c>
      <c r="CA76" s="13">
        <f t="shared" si="93"/>
        <v>40.730223897870985</v>
      </c>
      <c r="CB76" s="20">
        <f t="shared" si="64"/>
        <v>348.73820795545856</v>
      </c>
      <c r="CC76" s="59">
        <f t="shared" si="65"/>
        <v>642.07154128879188</v>
      </c>
      <c r="CD76" s="59">
        <f ca="1">AVERAGE(OFFSET($CC$3,0,0,'Données projet'!$E$12+1,1))-AVERAGE(OFFSET($H$3,0,0,'Données projet'!$E$12+1,1))</f>
        <v>215.89467197072673</v>
      </c>
      <c r="CE76" s="59">
        <f t="shared" si="94"/>
        <v>188.21397398859534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42.144172191874908</v>
      </c>
      <c r="CL76" s="21">
        <f>EXP(-LN(2)/25)*CL75+(1-EXP(-LN(2)/25))/(LN(2)/25)*Calculateur!CG76*Calculateur!CI76*VLOOKUP('Données projet'!$B$12,Paramètres!$A$1:$I$89,3,0)*0.475*44/12</f>
        <v>11.482104206610945</v>
      </c>
      <c r="CM76" s="21">
        <f>EXP(-LN(2)/2)*CM75+(1-EXP(-LN(2)/2))/(LN(2)/2)*CG76*CJ76*VLOOKUP('Données projet'!$B$12,Paramètres!$A$1:$I$89,3,0)*0.475*44/12</f>
        <v>1.764338255376533</v>
      </c>
      <c r="CN76" s="22">
        <f t="shared" si="66"/>
        <v>55.390614653862393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4.7339743589743559</v>
      </c>
      <c r="CT76" s="12">
        <f>IF('Données projet'!$A$140&gt;35,CT75+CS76-DB75,IF(A76&lt;'Données projet'!$A$140,$CQ$205^A76,IF(A76='Données projet'!$A$140,'Données projet'!$B$140,CT75+CS76-DB75)))</f>
        <v>132.25000000000009</v>
      </c>
      <c r="CU76" s="17">
        <f>CT76*VLOOKUP('Données projet'!$B$13,Paramètres!$A$1:$I$89,3,0)*VLOOKUP('Données projet'!$B$13,Paramètres!$A$1:$I$89,5,0)</f>
        <v>134.1015000000001</v>
      </c>
      <c r="CV76" s="13">
        <f t="shared" si="95"/>
        <v>34.942375413956256</v>
      </c>
      <c r="CW76" s="20">
        <f t="shared" si="67"/>
        <v>294.41808301264064</v>
      </c>
      <c r="CX76" s="59">
        <f t="shared" si="68"/>
        <v>587.75141634597389</v>
      </c>
      <c r="CY76" s="59">
        <f ca="1">AVERAGE(OFFSET($CX$3,0,0,'Données projet'!$E$13+1,1))-AVERAGE(OFFSET($H$3,0,0,'Données projet'!$E$13+1,1))</f>
        <v>342.82846711287749</v>
      </c>
      <c r="CZ76" s="59">
        <f t="shared" si="96"/>
        <v>152.87724741106297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2.6</v>
      </c>
      <c r="DO76" s="12">
        <f>IF('Données projet'!$A$166&gt;35,DO75+DN76-DW75,IF(A76&lt;'Données projet'!$A$166,$DL$205^A76,IF(A76='Données projet'!$A$166,'Données projet'!$B$166,DO75+DN76-DW75)))</f>
        <v>208.79999999999998</v>
      </c>
      <c r="DP76" s="17">
        <f>DO76*VLOOKUP('Données projet'!$B$14,Paramètres!$A$1:$I$89,3,0)*VLOOKUP('Données projet'!$B$14,Paramètres!$A$1:$I$89,5,0)</f>
        <v>153.09215999999998</v>
      </c>
      <c r="DQ76" s="13">
        <f t="shared" si="97"/>
        <v>39.280453399141116</v>
      </c>
      <c r="DR76" s="20">
        <f t="shared" si="70"/>
        <v>335.04896833683739</v>
      </c>
      <c r="DS76" s="59">
        <f t="shared" si="71"/>
        <v>628.3823016701707</v>
      </c>
      <c r="DT76" s="59">
        <f ca="1">AVERAGE(OFFSET($DS$3,0,0,'Données projet'!$E$14+1,1))-AVERAGE(OFFSET($H$3,0,0,'Données projet'!$E$14+1,1))</f>
        <v>208.48147873805715</v>
      </c>
      <c r="DU76" s="59">
        <f t="shared" si="98"/>
        <v>209.50570914630686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6.6317111155071462</v>
      </c>
      <c r="EB76" s="21">
        <f>EXP(-LN(2)/25)*EB75+(1-EXP(-LN(2)/25))/(LN(2)/25)*Calculateur!DW76*Calculateur!DY76*VLOOKUP('Données projet'!$B$14,Paramètres!$A$1:$I$89,3,0)*0.475*44/12</f>
        <v>6.7576837758982418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13.389394891405388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-1.7053025658242404E-13</v>
      </c>
      <c r="EK76" s="17">
        <f>EJ76*VLOOKUP('Données projet'!$B$15,Paramètres!$A$1:$I$89,3,0)*VLOOKUP('Données projet'!$B$15,Paramètres!$A$1:$I$89,5,0)</f>
        <v>-1.0197709343628959E-13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247.31680974612766</v>
      </c>
      <c r="EP76" s="59">
        <f t="shared" si="100"/>
        <v>257.13949761071882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100.27728864990218</v>
      </c>
      <c r="EW76" s="21">
        <f>EXP(-LN(2)/25)*EW75+(1-EXP(-LN(2)/25))/(LN(2)/25)*Calculateur!ER76*Calculateur!ET76*VLOOKUP('Données projet'!$B$15,Paramètres!$A$1:$I$89,3,0)*0.475*44/12</f>
        <v>25.20175093629058</v>
      </c>
      <c r="EX76" s="21">
        <f>EXP(-LN(2)/2)*EX75+(1-EXP(-LN(2)/2))/(LN(2)/2)*ER76*EU76*VLOOKUP('Données projet'!$B$15,Paramètres!$A$1:$I$89,3,0)*0.475*44/12</f>
        <v>0.35314292052034046</v>
      </c>
      <c r="EY76" s="22">
        <f t="shared" si="75"/>
        <v>125.8321825067131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13.160159999999987</v>
      </c>
      <c r="D77" s="11">
        <f t="shared" si="86"/>
        <v>4.4929463648026458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27.253918598291786</v>
      </c>
      <c r="H77" s="67">
        <f t="shared" si="56"/>
        <v>287.41249358536459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9.8224358974358967</v>
      </c>
      <c r="N77" s="13">
        <f>IF('Données projet'!$A$36&gt;35,N76+M77-V76,IF(A77&lt;'Données projet'!$A$36,$K$205^A77,IF(A77='Données projet'!$A$36,'Données projet'!$B$36,N76+M77-V76)))</f>
        <v>350.6544871794876</v>
      </c>
      <c r="O77" s="13">
        <f>N77*VLOOKUP('Données projet'!$B$9,Paramètres!$A$1:$I$89,3,0)*VLOOKUP('Données projet'!$B$9,Paramètres!$A$1:$I$89,5,0)</f>
        <v>164.1063000000002</v>
      </c>
      <c r="P77" s="13">
        <f t="shared" si="87"/>
        <v>41.767332454312395</v>
      </c>
      <c r="Q77" s="20">
        <f t="shared" si="54"/>
        <v>358.56324319126111</v>
      </c>
      <c r="R77" s="59">
        <f t="shared" si="55"/>
        <v>651.89657652459437</v>
      </c>
      <c r="S77" s="59">
        <f ca="1">AVERAGE(OFFSET($R$3,0,0,'Données projet'!$E$9+1,1))-AVERAGE(OFFSET($H$3,0,0,'Données projet'!$E$9+1,1))</f>
        <v>223.99456146593315</v>
      </c>
      <c r="T77" s="59">
        <f t="shared" si="88"/>
        <v>132.73290587325937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20.777313527369092</v>
      </c>
      <c r="AA77" s="21">
        <f>EXP(-LN(2)/25)*AA76+(1-EXP(-LN(2)/25))/(LN(2)/25)*Calculateur!V77*Calculateur!X77*VLOOKUP('Données projet'!$B$9,Paramètres!$A$1:$I$89,3,0)*0.475*44/12</f>
        <v>14.64956852171685</v>
      </c>
      <c r="AB77" s="21">
        <f>EXP(-LN(2)/2)*AB76+(1-EXP(-LN(2)/2))/(LN(2)/2)*V77*Y77*VLOOKUP('Données projet'!$B$9,Paramètres!$A$1:$I$89,3,0)*0.475*44/12</f>
        <v>0.1751276241025648</v>
      </c>
      <c r="AC77" s="22">
        <f t="shared" si="57"/>
        <v>35.602009673188505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4.5999999999999996</v>
      </c>
      <c r="AI77" s="13">
        <f>IF('Données projet'!$A$62&gt;35,AI76+AH77-AQ76,IF(A77&lt;'Données projet'!$A$62,$AF$205^A77,IF(A77='Données projet'!$A$62,'Données projet'!$B$62,AI76+AH77-AQ76)))</f>
        <v>236.40000000000012</v>
      </c>
      <c r="AJ77" s="13">
        <f>AI77*VLOOKUP('Données projet'!$B$10,Paramètres!$A$1:$I$89,3,0)*VLOOKUP('Données projet'!$B$10,Paramètres!$A$1:$I$89,5,0)</f>
        <v>154.8892800000001</v>
      </c>
      <c r="AK77" s="13">
        <f t="shared" si="89"/>
        <v>39.687609366432291</v>
      </c>
      <c r="AL77" s="20">
        <f t="shared" si="58"/>
        <v>338.88808231320309</v>
      </c>
      <c r="AM77" s="59">
        <f t="shared" si="59"/>
        <v>632.22141564653634</v>
      </c>
      <c r="AN77" s="59">
        <f ca="1">AVERAGE(OFFSET($AM$3,0,0,'Données projet'!$E$10+1,1))-AVERAGE(OFFSET($H$3,0,0,'Données projet'!$E$10+1,1))</f>
        <v>244.43587473734613</v>
      </c>
      <c r="AO77" s="59">
        <f t="shared" si="90"/>
        <v>256.80261402149375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1.067896905987811</v>
      </c>
      <c r="AV77" s="21">
        <f>EXP(-LN(2)/25)*AV76+(1-EXP(-LN(2)/25))/(LN(2)/25)*Calculateur!AQ77*Calculateur!AS77*VLOOKUP('Données projet'!$B$10,Paramètres!$A$1:$I$89,3,0)*0.475*44/12</f>
        <v>9.9282928736277007</v>
      </c>
      <c r="AW77" s="21">
        <f>EXP(-LN(2)/2)*AW76+(1-EXP(-LN(2)/2))/(LN(2)/2)*AQ77*AT77*VLOOKUP('Données projet'!$B$10,Paramètres!$A$1:$I$89,3,0)*0.475*44/12</f>
        <v>1.0839545855066497</v>
      </c>
      <c r="AX77" s="21">
        <f t="shared" si="60"/>
        <v>12.080144365122161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-2.2737367544323206E-13</v>
      </c>
      <c r="BE77" s="13">
        <f>BD77*VLOOKUP('Données projet'!$B$11,Paramètres!$A$1:$I$89,3,0)*VLOOKUP('Données projet'!$B$11,Paramètres!$A$1:$I$89,5,0)</f>
        <v>-1.2710188457276673E-13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430.60186171079067</v>
      </c>
      <c r="BJ77" s="59">
        <f t="shared" si="92"/>
        <v>533.76627289533985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196.12123484251805</v>
      </c>
      <c r="BQ77" s="21">
        <f>EXP(-LN(2)/25)*BQ76+(1-EXP(-LN(2)/25))/(LN(2)/25)*Calculateur!BL77*Calculateur!BN77*VLOOKUP('Données projet'!$B$11,Paramètres!$A$1:$I$89,3,0)*0.475*44/12</f>
        <v>43.699200541141941</v>
      </c>
      <c r="BR77" s="21">
        <f>EXP(-LN(2)/2)*BR76+(1-EXP(-LN(2)/2))/(LN(2)/2)*BL77*BO77*VLOOKUP('Données projet'!$B$11,Paramètres!$A$1:$I$89,3,0)*0.475*44/12</f>
        <v>0.44000664371335385</v>
      </c>
      <c r="BS77" s="22">
        <f t="shared" si="63"/>
        <v>240.26044202737336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6.2061538461538479</v>
      </c>
      <c r="BY77" s="12">
        <f>IF('Données projet'!$A$114&gt;35,BY76+BX77-CG76,IF(A77&lt;'Données projet'!$A$114,$BV$205^A77,IF(A77='Données projet'!$A$114,'Données projet'!$B$114,BY76+BX77-CG76)))</f>
        <v>272.93230769230757</v>
      </c>
      <c r="BZ77" s="13">
        <f>BY77*VLOOKUP('Données projet'!$B$12,Paramètres!$A$1:$I$89,3,0)*VLOOKUP('Données projet'!$B$12,Paramètres!$A$1:$I$89,5,0)</f>
        <v>163.21351999999996</v>
      </c>
      <c r="CA77" s="13">
        <f t="shared" si="93"/>
        <v>41.566492825495743</v>
      </c>
      <c r="CB77" s="20">
        <f t="shared" si="64"/>
        <v>356.6585223377383</v>
      </c>
      <c r="CC77" s="59">
        <f t="shared" si="65"/>
        <v>649.99185567107156</v>
      </c>
      <c r="CD77" s="59">
        <f ca="1">AVERAGE(OFFSET($CC$3,0,0,'Données projet'!$E$12+1,1))-AVERAGE(OFFSET($H$3,0,0,'Données projet'!$E$12+1,1))</f>
        <v>215.89467197072673</v>
      </c>
      <c r="CE77" s="59">
        <f t="shared" si="94"/>
        <v>188.21397398859534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41.317750680599083</v>
      </c>
      <c r="CL77" s="21">
        <f>EXP(-LN(2)/25)*CL76+(1-EXP(-LN(2)/25))/(LN(2)/25)*Calculateur!CG77*Calculateur!CI77*VLOOKUP('Données projet'!$B$12,Paramètres!$A$1:$I$89,3,0)*0.475*44/12</f>
        <v>11.168125463263552</v>
      </c>
      <c r="CM77" s="21">
        <f>EXP(-LN(2)/2)*CM76+(1-EXP(-LN(2)/2))/(LN(2)/2)*CG77*CJ77*VLOOKUP('Données projet'!$B$12,Paramètres!$A$1:$I$89,3,0)*0.475*44/12</f>
        <v>1.2475755446835892</v>
      </c>
      <c r="CN77" s="22">
        <f t="shared" si="66"/>
        <v>53.733451688546225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4.7339743589743559</v>
      </c>
      <c r="CT77" s="12">
        <f>IF('Données projet'!$A$140&gt;35,CT76+CS77-DB76,IF(A77&lt;'Données projet'!$A$140,$CQ$205^A77,IF(A77='Données projet'!$A$140,'Données projet'!$B$140,CT76+CS77-DB76)))</f>
        <v>136.98397435897445</v>
      </c>
      <c r="CU77" s="17">
        <f>CT77*VLOOKUP('Données projet'!$B$13,Paramètres!$A$1:$I$89,3,0)*VLOOKUP('Données projet'!$B$13,Paramètres!$A$1:$I$89,5,0)</f>
        <v>138.90175000000011</v>
      </c>
      <c r="CV77" s="13">
        <f t="shared" si="95"/>
        <v>36.04529663826758</v>
      </c>
      <c r="CW77" s="20">
        <f t="shared" si="67"/>
        <v>304.69943956164957</v>
      </c>
      <c r="CX77" s="59">
        <f t="shared" si="68"/>
        <v>598.03277289498283</v>
      </c>
      <c r="CY77" s="59">
        <f ca="1">AVERAGE(OFFSET($CX$3,0,0,'Données projet'!$E$13+1,1))-AVERAGE(OFFSET($H$3,0,0,'Données projet'!$E$13+1,1))</f>
        <v>342.82846711287749</v>
      </c>
      <c r="CZ77" s="59">
        <f t="shared" si="96"/>
        <v>152.87724741106297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2.6</v>
      </c>
      <c r="DO77" s="12">
        <f>IF('Données projet'!$A$166&gt;35,DO76+DN77-DW76,IF(A77&lt;'Données projet'!$A$166,$DL$205^A77,IF(A77='Données projet'!$A$166,'Données projet'!$B$166,DO76+DN77-DW76)))</f>
        <v>211.39999999999998</v>
      </c>
      <c r="DP77" s="17">
        <f>DO77*VLOOKUP('Données projet'!$B$14,Paramètres!$A$1:$I$89,3,0)*VLOOKUP('Données projet'!$B$14,Paramètres!$A$1:$I$89,5,0)</f>
        <v>154.99848</v>
      </c>
      <c r="DQ77" s="13">
        <f t="shared" si="97"/>
        <v>39.712331964500009</v>
      </c>
      <c r="DR77" s="20">
        <f t="shared" si="70"/>
        <v>339.12133083817082</v>
      </c>
      <c r="DS77" s="59">
        <f t="shared" si="71"/>
        <v>632.45466417150419</v>
      </c>
      <c r="DT77" s="59">
        <f ca="1">AVERAGE(OFFSET($DS$3,0,0,'Données projet'!$E$14+1,1))-AVERAGE(OFFSET($H$3,0,0,'Données projet'!$E$14+1,1))</f>
        <v>208.48147873805715</v>
      </c>
      <c r="DU77" s="59">
        <f t="shared" si="98"/>
        <v>209.50570914630686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6.5016673054764267</v>
      </c>
      <c r="EB77" s="21">
        <f>EXP(-LN(2)/25)*EB76+(1-EXP(-LN(2)/25))/(LN(2)/25)*Calculateur!DW77*Calculateur!DY77*VLOOKUP('Données projet'!$B$14,Paramètres!$A$1:$I$89,3,0)*0.475*44/12</f>
        <v>6.5728945576751592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13.074561863151587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-1.7053025658242404E-13</v>
      </c>
      <c r="EK77" s="17">
        <f>EJ77*VLOOKUP('Données projet'!$B$15,Paramètres!$A$1:$I$89,3,0)*VLOOKUP('Données projet'!$B$15,Paramètres!$A$1:$I$89,5,0)</f>
        <v>-1.0197709343628959E-13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247.31680974612766</v>
      </c>
      <c r="EP77" s="59">
        <f t="shared" si="100"/>
        <v>257.13949761071882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98.310912182584318</v>
      </c>
      <c r="EW77" s="21">
        <f>EXP(-LN(2)/25)*EW76+(1-EXP(-LN(2)/25))/(LN(2)/25)*Calculateur!ER77*Calculateur!ET77*VLOOKUP('Données projet'!$B$15,Paramètres!$A$1:$I$89,3,0)*0.475*44/12</f>
        <v>24.512607731635232</v>
      </c>
      <c r="EX77" s="21">
        <f>EXP(-LN(2)/2)*EX76+(1-EXP(-LN(2)/2))/(LN(2)/2)*ER77*EU77*VLOOKUP('Données projet'!$B$15,Paramètres!$A$1:$I$89,3,0)*0.475*44/12</f>
        <v>0.24970975382795474</v>
      </c>
      <c r="EY77" s="22">
        <f t="shared" si="75"/>
        <v>123.0732296680475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13.337999999999987</v>
      </c>
      <c r="D78" s="11">
        <f t="shared" si="86"/>
        <v>4.5465525901071482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27.611239086481191</v>
      </c>
      <c r="H78" s="67">
        <f t="shared" si="56"/>
        <v>287.81559576110328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360.47692307692307</v>
      </c>
      <c r="L78" s="12">
        <f>VLOOKUP(A78,'Données projet'!$A$35:$I$55,9,0)</f>
        <v>9.8224358974358967</v>
      </c>
      <c r="M78" s="12">
        <f t="array" ref="M78">INDEX(L:L,MIN(IF(ISNUMBER(L78:L274),ROW(L78:L274),"")))</f>
        <v>9.8224358974358967</v>
      </c>
      <c r="N78" s="13">
        <f>IF('Données projet'!$A$36&gt;35,N77+M78-V77,IF(A78&lt;'Données projet'!$A$36,$K$205^A78,IF(A78='Données projet'!$A$36,'Données projet'!$B$36,N77+M78-V77)))</f>
        <v>360.47692307692353</v>
      </c>
      <c r="O78" s="13">
        <f>N78*VLOOKUP('Données projet'!$B$9,Paramètres!$A$1:$I$89,3,0)*VLOOKUP('Données projet'!$B$9,Paramètres!$A$1:$I$89,5,0)</f>
        <v>168.70320000000021</v>
      </c>
      <c r="P78" s="13">
        <f t="shared" si="87"/>
        <v>42.799454211954647</v>
      </c>
      <c r="Q78" s="20">
        <f t="shared" si="54"/>
        <v>368.367122752488</v>
      </c>
      <c r="R78" s="59">
        <f t="shared" si="55"/>
        <v>661.70045608582132</v>
      </c>
      <c r="S78" s="59">
        <f ca="1">AVERAGE(OFFSET($R$3,0,0,'Données projet'!$E$9+1,1))-AVERAGE(OFFSET($H$3,0,0,'Données projet'!$E$9+1,1))</f>
        <v>223.99456146593315</v>
      </c>
      <c r="T78" s="59">
        <f t="shared" si="88"/>
        <v>132.73290587325937</v>
      </c>
      <c r="U78" s="15">
        <f>IF(ISNA(VLOOKUP(A78,'Données projet'!$A$35:$I$55,3,0)),0,VLOOKUP(A78,'Données projet'!$A$35:$I$55,3,0))</f>
        <v>3</v>
      </c>
      <c r="V78" s="15">
        <f>IF(ISNA(VLOOKUP(A78,'Données projet'!$A$35:$I$55,4,0)),0,VLOOKUP(A78,'Données projet'!$A$35:$I$55,4,0))</f>
        <v>85.361538461538458</v>
      </c>
      <c r="W78" s="16">
        <f>IF(ISNA(VLOOKUP(A78,'Données projet'!$A$35:$I$55,5,0)),0%,VLOOKUP(A78,'Données projet'!$A$35:$I$55,5,0)*VLOOKUP('Données projet'!$B$9,Paramètres!$A$1:$I$89,7,0))</f>
        <v>0.38500000000000001</v>
      </c>
      <c r="X78" s="16">
        <f>IF(ISNA(VLOOKUP(A78,'Données projet'!$A$35:$I$55,6,0)),0%,VLOOKUP(A78,'Données projet'!$A$35:$I$55,6,0)*VLOOKUP('Données projet'!$B$9,Paramètres!$A$1:$I$89,7,0))</f>
        <v>9.240000000000001E-2</v>
      </c>
      <c r="Y78" s="16">
        <f>IF(ISNA(VLOOKUP(A78,'Données projet'!$A$35:$I$55,7,0)),0%,VLOOKUP(A78,'Données projet'!$A$35:$I$55,7,0))</f>
        <v>0.13200000000000001</v>
      </c>
      <c r="Z78" s="21">
        <f>EXP(-LN(2)/35)*Z77+(1-EXP(-LN(2)/35))/(LN(2)/35)*V78*W78*VLOOKUP('Données projet'!$B$9,Paramètres!$A$1:$I$89,3,0)*0.475*44/12</f>
        <v>40.773030748156728</v>
      </c>
      <c r="AA78" s="21">
        <f>EXP(-LN(2)/25)*AA77+(1-EXP(-LN(2)/25))/(LN(2)/25)*Calculateur!V78*Calculateur!X78*VLOOKUP('Données projet'!$B$9,Paramètres!$A$1:$I$89,3,0)*0.475*44/12</f>
        <v>19.126450348002148</v>
      </c>
      <c r="AB78" s="21">
        <f>EXP(-LN(2)/2)*AB77+(1-EXP(-LN(2)/2))/(LN(2)/2)*V78*Y78*VLOOKUP('Données projet'!$B$9,Paramètres!$A$1:$I$89,3,0)*0.475*44/12</f>
        <v>6.0944281646214584</v>
      </c>
      <c r="AC78" s="22">
        <f t="shared" si="57"/>
        <v>65.993909260780342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241</v>
      </c>
      <c r="AG78" s="12">
        <f>VLOOKUP(A78,'Données projet'!$A$61:$I$81,9,0)</f>
        <v>4.5999999999999996</v>
      </c>
      <c r="AH78" s="12">
        <f t="array" ref="AH78">INDEX(AG:AG,MIN(IF(ISNUMBER(AG78:AG274),ROW(AG78:AG274),"")))</f>
        <v>4.5999999999999996</v>
      </c>
      <c r="AI78" s="13">
        <f>IF('Données projet'!$A$62&gt;35,AI77+AH78-AQ77,IF(A78&lt;'Données projet'!$A$62,$AF$205^A78,IF(A78='Données projet'!$A$62,'Données projet'!$B$62,AI77+AH78-AQ77)))</f>
        <v>241.00000000000011</v>
      </c>
      <c r="AJ78" s="13">
        <f>AI78*VLOOKUP('Données projet'!$B$10,Paramètres!$A$1:$I$89,3,0)*VLOOKUP('Données projet'!$B$10,Paramètres!$A$1:$I$89,5,0)</f>
        <v>157.90320000000008</v>
      </c>
      <c r="AK78" s="13">
        <f t="shared" si="89"/>
        <v>40.369213826539486</v>
      </c>
      <c r="AL78" s="20">
        <f t="shared" si="58"/>
        <v>345.32445408122311</v>
      </c>
      <c r="AM78" s="59">
        <f t="shared" si="59"/>
        <v>638.65778741455642</v>
      </c>
      <c r="AN78" s="59">
        <f ca="1">AVERAGE(OFFSET($AM$3,0,0,'Données projet'!$E$10+1,1))-AVERAGE(OFFSET($H$3,0,0,'Données projet'!$E$10+1,1))</f>
        <v>244.43587473734613</v>
      </c>
      <c r="AO78" s="59">
        <f t="shared" si="90"/>
        <v>256.80261402149375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18</v>
      </c>
      <c r="AR78" s="16">
        <f>IF(ISNA(VLOOKUP(A78,'Données projet'!$A$61:$I$81,5,0)),0%,VLOOKUP(A78,'Données projet'!$A$61:$I$81,5,0)*VLOOKUP('Données projet'!$B$10,Paramètres!$A$1:$I$89,7,0))</f>
        <v>4.3000000000000003E-2</v>
      </c>
      <c r="AS78" s="16">
        <f>IF(ISNA(VLOOKUP(A78,'Données projet'!$A$61:$I$81,6,0)),0%,VLOOKUP(A78,'Données projet'!$A$61:$I$81,6,0)*VLOOKUP('Données projet'!$B$10,Paramètres!$A$1:$I$89,7,0))</f>
        <v>0.17200000000000001</v>
      </c>
      <c r="AT78" s="16">
        <f>IF(ISNA(VLOOKUP(A78,'Données projet'!$A$61:$I$81,7,0)),0%,VLOOKUP(A78,'Données projet'!$A$61:$I$81,7,0))</f>
        <v>0.3</v>
      </c>
      <c r="AU78" s="21">
        <f>EXP(-LN(2)/35)*AU77+(1-EXP(-LN(2)/35))/(LN(2)/35)*AQ78*AR78*VLOOKUP('Données projet'!$B$10,Paramètres!$A$1:$I$89,3,0)*0.475*44/12</f>
        <v>1.6075675441407582</v>
      </c>
      <c r="AV78" s="21">
        <f>EXP(-LN(2)/25)*AV77+(1-EXP(-LN(2)/25))/(LN(2)/25)*Calculateur!AQ78*Calculateur!AS78*VLOOKUP('Données projet'!$B$10,Paramètres!$A$1:$I$89,3,0)*0.475*44/12</f>
        <v>11.890419599921724</v>
      </c>
      <c r="AW78" s="21">
        <f>EXP(-LN(2)/2)*AW77+(1-EXP(-LN(2)/2))/(LN(2)/2)*AQ78*AT78*VLOOKUP('Données projet'!$B$10,Paramètres!$A$1:$I$89,3,0)*0.475*44/12</f>
        <v>4.1047453439370365</v>
      </c>
      <c r="AX78" s="21">
        <f t="shared" si="60"/>
        <v>17.602732487999518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-2.2737367544323206E-13</v>
      </c>
      <c r="BE78" s="13">
        <f>BD78*VLOOKUP('Données projet'!$B$11,Paramètres!$A$1:$I$89,3,0)*VLOOKUP('Données projet'!$B$11,Paramètres!$A$1:$I$89,5,0)</f>
        <v>-1.2710188457276673E-13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430.60186171079067</v>
      </c>
      <c r="BJ78" s="59">
        <f t="shared" si="92"/>
        <v>533.76627289533985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192.27541704939782</v>
      </c>
      <c r="BQ78" s="21">
        <f>EXP(-LN(2)/25)*BQ77+(1-EXP(-LN(2)/25))/(LN(2)/25)*Calculateur!BL78*Calculateur!BN78*VLOOKUP('Données projet'!$B$11,Paramètres!$A$1:$I$89,3,0)*0.475*44/12</f>
        <v>42.504243604303333</v>
      </c>
      <c r="BR78" s="21">
        <f>EXP(-LN(2)/2)*BR77+(1-EXP(-LN(2)/2))/(LN(2)/2)*BL78*BO78*VLOOKUP('Données projet'!$B$11,Paramètres!$A$1:$I$89,3,0)*0.475*44/12</f>
        <v>0.31113168153684567</v>
      </c>
      <c r="BS78" s="22">
        <f t="shared" si="63"/>
        <v>235.09079233523798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6.2061538461538479</v>
      </c>
      <c r="BY78" s="12">
        <f>IF('Données projet'!$A$114&gt;35,BY77+BX78-CG77,IF(A78&lt;'Données projet'!$A$114,$BV$205^A78,IF(A78='Données projet'!$A$114,'Données projet'!$B$114,BY77+BX78-CG77)))</f>
        <v>279.1384615384614</v>
      </c>
      <c r="BZ78" s="13">
        <f>BY78*VLOOKUP('Données projet'!$B$12,Paramètres!$A$1:$I$89,3,0)*VLOOKUP('Données projet'!$B$12,Paramètres!$A$1:$I$89,5,0)</f>
        <v>166.92479999999992</v>
      </c>
      <c r="CA78" s="13">
        <f t="shared" si="93"/>
        <v>42.400551044671673</v>
      </c>
      <c r="CB78" s="20">
        <f t="shared" si="64"/>
        <v>364.57498640280301</v>
      </c>
      <c r="CC78" s="59">
        <f t="shared" si="65"/>
        <v>657.90831973613626</v>
      </c>
      <c r="CD78" s="59">
        <f ca="1">AVERAGE(OFFSET($CC$3,0,0,'Données projet'!$E$12+1,1))-AVERAGE(OFFSET($H$3,0,0,'Données projet'!$E$12+1,1))</f>
        <v>215.89467197072673</v>
      </c>
      <c r="CE78" s="59">
        <f t="shared" si="94"/>
        <v>188.21397398859534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40.507534791092027</v>
      </c>
      <c r="CL78" s="21">
        <f>EXP(-LN(2)/25)*CL77+(1-EXP(-LN(2)/25))/(LN(2)/25)*Calculateur!CG78*Calculateur!CI78*VLOOKUP('Données projet'!$B$12,Paramètres!$A$1:$I$89,3,0)*0.475*44/12</f>
        <v>10.862732485164416</v>
      </c>
      <c r="CM78" s="21">
        <f>EXP(-LN(2)/2)*CM77+(1-EXP(-LN(2)/2))/(LN(2)/2)*CG78*CJ78*VLOOKUP('Données projet'!$B$12,Paramètres!$A$1:$I$89,3,0)*0.475*44/12</f>
        <v>0.88216912768826661</v>
      </c>
      <c r="CN78" s="22">
        <f t="shared" si="66"/>
        <v>52.252436403944706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4.7339743589743559</v>
      </c>
      <c r="CT78" s="12">
        <f>IF('Données projet'!$A$140&gt;35,CT77+CS78-DB77,IF(A78&lt;'Données projet'!$A$140,$CQ$205^A78,IF(A78='Données projet'!$A$140,'Données projet'!$B$140,CT77+CS78-DB77)))</f>
        <v>141.71794871794881</v>
      </c>
      <c r="CU78" s="17">
        <f>CT78*VLOOKUP('Données projet'!$B$13,Paramètres!$A$1:$I$89,3,0)*VLOOKUP('Données projet'!$B$13,Paramètres!$A$1:$I$89,5,0)</f>
        <v>143.70200000000011</v>
      </c>
      <c r="CV78" s="13">
        <f t="shared" si="95"/>
        <v>37.143789208747911</v>
      </c>
      <c r="CW78" s="20">
        <f t="shared" si="67"/>
        <v>314.97308287190276</v>
      </c>
      <c r="CX78" s="59">
        <f t="shared" si="68"/>
        <v>608.30641620523602</v>
      </c>
      <c r="CY78" s="59">
        <f ca="1">AVERAGE(OFFSET($CX$3,0,0,'Données projet'!$E$13+1,1))-AVERAGE(OFFSET($H$3,0,0,'Données projet'!$E$13+1,1))</f>
        <v>342.82846711287749</v>
      </c>
      <c r="CZ78" s="59">
        <f t="shared" si="96"/>
        <v>152.87724741106297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214</v>
      </c>
      <c r="DM78" s="12">
        <f>VLOOKUP(A78,'Données projet'!$A$165:$I$185,9,0)</f>
        <v>2.6</v>
      </c>
      <c r="DN78" s="12">
        <f t="array" ref="DN78">INDEX(DM:DM,MIN(IF(ISNUMBER(DM78:DM274),ROW(DM78:DM274),"")))</f>
        <v>2.6</v>
      </c>
      <c r="DO78" s="12">
        <f>IF('Données projet'!$A$166&gt;35,DO77+DN78-DW77,IF(A78&lt;'Données projet'!$A$166,$DL$205^A78,IF(A78='Données projet'!$A$166,'Données projet'!$B$166,DO77+DN78-DW77)))</f>
        <v>213.99999999999997</v>
      </c>
      <c r="DP78" s="17">
        <f>DO78*VLOOKUP('Données projet'!$B$14,Paramètres!$A$1:$I$89,3,0)*VLOOKUP('Données projet'!$B$14,Paramètres!$A$1:$I$89,5,0)</f>
        <v>156.90479999999999</v>
      </c>
      <c r="DQ78" s="13">
        <f t="shared" si="97"/>
        <v>40.143592678874334</v>
      </c>
      <c r="DR78" s="20">
        <f t="shared" si="70"/>
        <v>343.19261724903942</v>
      </c>
      <c r="DS78" s="59">
        <f t="shared" si="71"/>
        <v>636.52595058237273</v>
      </c>
      <c r="DT78" s="59">
        <f ca="1">AVERAGE(OFFSET($DS$3,0,0,'Données projet'!$E$14+1,1))-AVERAGE(OFFSET($H$3,0,0,'Données projet'!$E$14+1,1))</f>
        <v>208.48147873805715</v>
      </c>
      <c r="DU78" s="59">
        <f t="shared" si="98"/>
        <v>209.50570914630686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7</v>
      </c>
      <c r="DX78" s="16">
        <f>IF(ISNA(VLOOKUP(A78,'Données projet'!$A$165:$I$185,5,0)),0%,VLOOKUP(A78,'Données projet'!$A$165:$I$185,5,0)*VLOOKUP('Données projet'!$B$14,Paramètres!$A$1:$I$89,7,0))</f>
        <v>0.24509999999999998</v>
      </c>
      <c r="DY78" s="16">
        <f>IF(ISNA(VLOOKUP(A78,'Données projet'!$A$165:$I$185,6,0)),0%,VLOOKUP(A78,'Données projet'!$A$165:$I$185,6,0)*VLOOKUP('Données projet'!$B$14,Paramètres!$A$1:$I$89,7,0))</f>
        <v>0.12469999999999999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7.7648014099582623</v>
      </c>
      <c r="EB78" s="21">
        <f>EXP(-LN(2)/25)*EB77+(1-EXP(-LN(2)/25))/(LN(2)/25)*Calculateur!DW78*Calculateur!DY78*VLOOKUP('Données projet'!$B$14,Paramètres!$A$1:$I$89,3,0)*0.475*44/12</f>
        <v>7.0978850715483599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14.862686481506621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-1.7053025658242404E-13</v>
      </c>
      <c r="EK78" s="17">
        <f>EJ78*VLOOKUP('Données projet'!$B$15,Paramètres!$A$1:$I$89,3,0)*VLOOKUP('Données projet'!$B$15,Paramètres!$A$1:$I$89,5,0)</f>
        <v>-1.0197709343628959E-13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247.31680974612766</v>
      </c>
      <c r="EP78" s="59">
        <f t="shared" si="100"/>
        <v>257.13949761071882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96.383095158419337</v>
      </c>
      <c r="EW78" s="21">
        <f>EXP(-LN(2)/25)*EW77+(1-EXP(-LN(2)/25))/(LN(2)/25)*Calculateur!ER78*Calculateur!ET78*VLOOKUP('Données projet'!$B$15,Paramètres!$A$1:$I$89,3,0)*0.475*44/12</f>
        <v>23.842309184151649</v>
      </c>
      <c r="EX78" s="21">
        <f>EXP(-LN(2)/2)*EX77+(1-EXP(-LN(2)/2))/(LN(2)/2)*ER78*EU78*VLOOKUP('Données projet'!$B$15,Paramètres!$A$1:$I$89,3,0)*0.475*44/12</f>
        <v>0.17657146026017026</v>
      </c>
      <c r="EY78" s="22">
        <f t="shared" si="75"/>
        <v>120.40197580283115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13.515839999999987</v>
      </c>
      <c r="D79" s="11">
        <f t="shared" si="86"/>
        <v>4.6000756804726475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27.968431225992841</v>
      </c>
      <c r="H79" s="67">
        <f t="shared" si="56"/>
        <v>288.21855314348988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9.001923076923072</v>
      </c>
      <c r="N79" s="13">
        <f>IF('Données projet'!$A$36&gt;35,N78+M79-V78,IF(A79&lt;'Données projet'!$A$36,$K$205^A79,IF(A79='Données projet'!$A$36,'Données projet'!$B$36,N78+M79-V78)))</f>
        <v>284.11730769230815</v>
      </c>
      <c r="O79" s="13">
        <f>N79*VLOOKUP('Données projet'!$B$9,Paramètres!$A$1:$I$89,3,0)*VLOOKUP('Données projet'!$B$9,Paramètres!$A$1:$I$89,5,0)</f>
        <v>132.96690000000021</v>
      </c>
      <c r="P79" s="13">
        <f t="shared" si="87"/>
        <v>34.681019848273998</v>
      </c>
      <c r="Q79" s="20">
        <f t="shared" si="54"/>
        <v>291.98679373574424</v>
      </c>
      <c r="R79" s="59">
        <f t="shared" si="55"/>
        <v>585.32012706907756</v>
      </c>
      <c r="S79" s="59">
        <f ca="1">AVERAGE(OFFSET($R$3,0,0,'Données projet'!$E$9+1,1))-AVERAGE(OFFSET($H$3,0,0,'Données projet'!$E$9+1,1))</f>
        <v>223.99456146593315</v>
      </c>
      <c r="T79" s="59">
        <f t="shared" si="88"/>
        <v>132.73290587325937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39.973496484278513</v>
      </c>
      <c r="AA79" s="21">
        <f>EXP(-LN(2)/25)*AA78+(1-EXP(-LN(2)/25))/(LN(2)/25)*Calculateur!V79*Calculateur!X79*VLOOKUP('Données projet'!$B$9,Paramètres!$A$1:$I$89,3,0)*0.475*44/12</f>
        <v>18.60343655741972</v>
      </c>
      <c r="AB79" s="21">
        <f>EXP(-LN(2)/2)*AB78+(1-EXP(-LN(2)/2))/(LN(2)/2)*V79*Y79*VLOOKUP('Données projet'!$B$9,Paramètres!$A$1:$I$89,3,0)*0.475*44/12</f>
        <v>4.3094114826581187</v>
      </c>
      <c r="AC79" s="22">
        <f t="shared" si="57"/>
        <v>62.886344524356353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4.2</v>
      </c>
      <c r="AI79" s="13">
        <f>IF('Données projet'!$A$62&gt;35,AI78+AH79-AQ78,IF(A79&lt;'Données projet'!$A$62,$AF$205^A79,IF(A79='Données projet'!$A$62,'Données projet'!$B$62,AI78+AH79-AQ78)))</f>
        <v>227.2000000000001</v>
      </c>
      <c r="AJ79" s="13">
        <f>AI79*VLOOKUP('Données projet'!$B$10,Paramètres!$A$1:$I$89,3,0)*VLOOKUP('Données projet'!$B$10,Paramètres!$A$1:$I$89,5,0)</f>
        <v>148.86144000000007</v>
      </c>
      <c r="AK79" s="13">
        <f t="shared" si="89"/>
        <v>38.319729148991954</v>
      </c>
      <c r="AL79" s="20">
        <f t="shared" si="58"/>
        <v>326.00720293449439</v>
      </c>
      <c r="AM79" s="59">
        <f t="shared" si="59"/>
        <v>619.3405362678277</v>
      </c>
      <c r="AN79" s="59">
        <f ca="1">AVERAGE(OFFSET($AM$3,0,0,'Données projet'!$E$10+1,1))-AVERAGE(OFFSET($H$3,0,0,'Données projet'!$E$10+1,1))</f>
        <v>244.43587473734613</v>
      </c>
      <c r="AO79" s="59">
        <f t="shared" si="90"/>
        <v>256.80261402149375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1.5760441251195416</v>
      </c>
      <c r="AV79" s="21">
        <f>EXP(-LN(2)/25)*AV78+(1-EXP(-LN(2)/25))/(LN(2)/25)*Calculateur!AQ79*Calculateur!AS79*VLOOKUP('Données projet'!$B$10,Paramètres!$A$1:$I$89,3,0)*0.475*44/12</f>
        <v>11.565275450671875</v>
      </c>
      <c r="AW79" s="21">
        <f>EXP(-LN(2)/2)*AW78+(1-EXP(-LN(2)/2))/(LN(2)/2)*AQ79*AT79*VLOOKUP('Données projet'!$B$10,Paramètres!$A$1:$I$89,3,0)*0.475*44/12</f>
        <v>2.9024932677417858</v>
      </c>
      <c r="AX79" s="21">
        <f t="shared" si="60"/>
        <v>16.043812843533203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-2.2737367544323206E-13</v>
      </c>
      <c r="BE79" s="13">
        <f>BD79*VLOOKUP('Données projet'!$B$11,Paramètres!$A$1:$I$89,3,0)*VLOOKUP('Données projet'!$B$11,Paramètres!$A$1:$I$89,5,0)</f>
        <v>-1.2710188457276673E-13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430.60186171079067</v>
      </c>
      <c r="BJ79" s="59">
        <f t="shared" si="92"/>
        <v>533.76627289533985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188.50501339748345</v>
      </c>
      <c r="BQ79" s="21">
        <f>EXP(-LN(2)/25)*BQ78+(1-EXP(-LN(2)/25))/(LN(2)/25)*Calculateur!BL79*Calculateur!BN79*VLOOKUP('Données projet'!$B$11,Paramètres!$A$1:$I$89,3,0)*0.475*44/12</f>
        <v>41.341962827742634</v>
      </c>
      <c r="BR79" s="21">
        <f>EXP(-LN(2)/2)*BR78+(1-EXP(-LN(2)/2))/(LN(2)/2)*BL79*BO79*VLOOKUP('Données projet'!$B$11,Paramètres!$A$1:$I$89,3,0)*0.475*44/12</f>
        <v>0.22000332185667693</v>
      </c>
      <c r="BS79" s="22">
        <f t="shared" si="63"/>
        <v>230.06697954708275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6.2061538461538479</v>
      </c>
      <c r="BY79" s="12">
        <f>IF('Données projet'!$A$114&gt;35,BY78+BX79-CG78,IF(A79&lt;'Données projet'!$A$114,$BV$205^A79,IF(A79='Données projet'!$A$114,'Données projet'!$B$114,BY78+BX79-CG78)))</f>
        <v>285.34461538461522</v>
      </c>
      <c r="BZ79" s="13">
        <f>BY79*VLOOKUP('Données projet'!$B$12,Paramètres!$A$1:$I$89,3,0)*VLOOKUP('Données projet'!$B$12,Paramètres!$A$1:$I$89,5,0)</f>
        <v>170.63607999999994</v>
      </c>
      <c r="CA79" s="13">
        <f t="shared" si="93"/>
        <v>43.232453366004947</v>
      </c>
      <c r="CB79" s="20">
        <f t="shared" si="64"/>
        <v>372.48769561245854</v>
      </c>
      <c r="CC79" s="59">
        <f t="shared" si="65"/>
        <v>665.8210289457918</v>
      </c>
      <c r="CD79" s="59">
        <f ca="1">AVERAGE(OFFSET($CC$3,0,0,'Données projet'!$E$12+1,1))-AVERAGE(OFFSET($H$3,0,0,'Données projet'!$E$12+1,1))</f>
        <v>215.89467197072673</v>
      </c>
      <c r="CE79" s="59">
        <f t="shared" si="94"/>
        <v>188.21397398859534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39.713206740995304</v>
      </c>
      <c r="CL79" s="21">
        <f>EXP(-LN(2)/25)*CL78+(1-EXP(-LN(2)/25))/(LN(2)/25)*Calculateur!CG79*Calculateur!CI79*VLOOKUP('Données projet'!$B$12,Paramètres!$A$1:$I$89,3,0)*0.475*44/12</f>
        <v>10.565690494111321</v>
      </c>
      <c r="CM79" s="21">
        <f>EXP(-LN(2)/2)*CM78+(1-EXP(-LN(2)/2))/(LN(2)/2)*CG79*CJ79*VLOOKUP('Données projet'!$B$12,Paramètres!$A$1:$I$89,3,0)*0.475*44/12</f>
        <v>0.62378777234179472</v>
      </c>
      <c r="CN79" s="22">
        <f t="shared" si="66"/>
        <v>50.902685007448419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4.7339743589743559</v>
      </c>
      <c r="CT79" s="12">
        <f>IF('Données projet'!$A$140&gt;35,CT78+CS79-DB78,IF(A79&lt;'Données projet'!$A$140,$CQ$205^A79,IF(A79='Données projet'!$A$140,'Données projet'!$B$140,CT78+CS79-DB78)))</f>
        <v>146.45192307692318</v>
      </c>
      <c r="CU79" s="17">
        <f>CT79*VLOOKUP('Données projet'!$B$13,Paramètres!$A$1:$I$89,3,0)*VLOOKUP('Données projet'!$B$13,Paramètres!$A$1:$I$89,5,0)</f>
        <v>148.50225000000012</v>
      </c>
      <c r="CV79" s="13">
        <f t="shared" si="95"/>
        <v>38.238018022355682</v>
      </c>
      <c r="CW79" s="20">
        <f t="shared" si="67"/>
        <v>325.23930013893636</v>
      </c>
      <c r="CX79" s="59">
        <f t="shared" si="68"/>
        <v>618.57263347226967</v>
      </c>
      <c r="CY79" s="59">
        <f ca="1">AVERAGE(OFFSET($CX$3,0,0,'Données projet'!$E$13+1,1))-AVERAGE(OFFSET($H$3,0,0,'Données projet'!$E$13+1,1))</f>
        <v>342.82846711287749</v>
      </c>
      <c r="CZ79" s="59">
        <f t="shared" si="96"/>
        <v>152.87724741106297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2.4</v>
      </c>
      <c r="DO79" s="12">
        <f>IF('Données projet'!$A$166&gt;35,DO78+DN79-DW78,IF(A79&lt;'Données projet'!$A$166,$DL$205^A79,IF(A79='Données projet'!$A$166,'Données projet'!$B$166,DO78+DN79-DW78)))</f>
        <v>209.39999999999998</v>
      </c>
      <c r="DP79" s="17">
        <f>DO79*VLOOKUP('Données projet'!$B$14,Paramètres!$A$1:$I$89,3,0)*VLOOKUP('Données projet'!$B$14,Paramètres!$A$1:$I$89,5,0)</f>
        <v>153.53207999999998</v>
      </c>
      <c r="DQ79" s="13">
        <f t="shared" si="97"/>
        <v>39.380172968602523</v>
      </c>
      <c r="DR79" s="20">
        <f t="shared" si="70"/>
        <v>335.98884058698269</v>
      </c>
      <c r="DS79" s="59">
        <f t="shared" si="71"/>
        <v>629.322173920316</v>
      </c>
      <c r="DT79" s="59">
        <f ca="1">AVERAGE(OFFSET($DS$3,0,0,'Données projet'!$E$14+1,1))-AVERAGE(OFFSET($H$3,0,0,'Données projet'!$E$14+1,1))</f>
        <v>208.48147873805715</v>
      </c>
      <c r="DU79" s="59">
        <f t="shared" si="98"/>
        <v>209.50570914630686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7.6125383903701938</v>
      </c>
      <c r="EB79" s="21">
        <f>EXP(-LN(2)/25)*EB78+(1-EXP(-LN(2)/25))/(LN(2)/25)*Calculateur!DW79*Calculateur!DY79*VLOOKUP('Données projet'!$B$14,Paramètres!$A$1:$I$89,3,0)*0.475*44/12</f>
        <v>6.9037930310053168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14.516331421375511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-1.7053025658242404E-13</v>
      </c>
      <c r="EK79" s="17">
        <f>EJ79*VLOOKUP('Données projet'!$B$15,Paramètres!$A$1:$I$89,3,0)*VLOOKUP('Données projet'!$B$15,Paramètres!$A$1:$I$89,5,0)</f>
        <v>-1.0197709343628959E-13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247.31680974612766</v>
      </c>
      <c r="EP79" s="59">
        <f t="shared" si="100"/>
        <v>257.13949761071882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94.493081450245953</v>
      </c>
      <c r="EW79" s="21">
        <f>EXP(-LN(2)/25)*EW78+(1-EXP(-LN(2)/25))/(LN(2)/25)*Calculateur!ER79*Calculateur!ET79*VLOOKUP('Données projet'!$B$15,Paramètres!$A$1:$I$89,3,0)*0.475*44/12</f>
        <v>23.190339985698476</v>
      </c>
      <c r="EX79" s="21">
        <f>EXP(-LN(2)/2)*EX78+(1-EXP(-LN(2)/2))/(LN(2)/2)*ER79*EU79*VLOOKUP('Données projet'!$B$15,Paramètres!$A$1:$I$89,3,0)*0.475*44/12</f>
        <v>0.1248548769139774</v>
      </c>
      <c r="EY79" s="22">
        <f t="shared" si="75"/>
        <v>117.8082763128584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13.693679999999986</v>
      </c>
      <c r="D80" s="11">
        <f t="shared" si="86"/>
        <v>4.6535168562437743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28.325496900867567</v>
      </c>
      <c r="H80" s="67">
        <f t="shared" si="56"/>
        <v>288.62136785795792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9.001923076923072</v>
      </c>
      <c r="N80" s="13">
        <f>IF('Données projet'!$A$36&gt;35,N79+M80-V79,IF(A80&lt;'Données projet'!$A$36,$K$205^A80,IF(A80='Données projet'!$A$36,'Données projet'!$B$36,N79+M80-V79)))</f>
        <v>293.11923076923119</v>
      </c>
      <c r="O80" s="13">
        <f>N80*VLOOKUP('Données projet'!$B$9,Paramètres!$A$1:$I$89,3,0)*VLOOKUP('Données projet'!$B$9,Paramètres!$A$1:$I$89,5,0)</f>
        <v>137.1798000000002</v>
      </c>
      <c r="P80" s="13">
        <f t="shared" si="87"/>
        <v>35.65017408944302</v>
      </c>
      <c r="Q80" s="20">
        <f t="shared" si="54"/>
        <v>301.01220487244694</v>
      </c>
      <c r="R80" s="59">
        <f t="shared" si="55"/>
        <v>594.34553820578026</v>
      </c>
      <c r="S80" s="59">
        <f ca="1">AVERAGE(OFFSET($R$3,0,0,'Données projet'!$E$9+1,1))-AVERAGE(OFFSET($H$3,0,0,'Données projet'!$E$9+1,1))</f>
        <v>223.99456146593315</v>
      </c>
      <c r="T80" s="59">
        <f t="shared" si="88"/>
        <v>132.73290587325937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39.189640599647198</v>
      </c>
      <c r="AA80" s="21">
        <f>EXP(-LN(2)/25)*AA79+(1-EXP(-LN(2)/25))/(LN(2)/25)*Calculateur!V80*Calculateur!X80*VLOOKUP('Données projet'!$B$9,Paramètres!$A$1:$I$89,3,0)*0.475*44/12</f>
        <v>18.094724606444867</v>
      </c>
      <c r="AB80" s="21">
        <f>EXP(-LN(2)/2)*AB79+(1-EXP(-LN(2)/2))/(LN(2)/2)*V80*Y80*VLOOKUP('Données projet'!$B$9,Paramètres!$A$1:$I$89,3,0)*0.475*44/12</f>
        <v>3.0472140823107301</v>
      </c>
      <c r="AC80" s="22">
        <f t="shared" si="57"/>
        <v>60.331579288402793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4.2</v>
      </c>
      <c r="AI80" s="13">
        <f>IF('Données projet'!$A$62&gt;35,AI79+AH80-AQ79,IF(A80&lt;'Données projet'!$A$62,$AF$205^A80,IF(A80='Données projet'!$A$62,'Données projet'!$B$62,AI79+AH80-AQ79)))</f>
        <v>231.40000000000009</v>
      </c>
      <c r="AJ80" s="13">
        <f>AI80*VLOOKUP('Données projet'!$B$10,Paramètres!$A$1:$I$89,3,0)*VLOOKUP('Données projet'!$B$10,Paramètres!$A$1:$I$89,5,0)</f>
        <v>151.61328000000006</v>
      </c>
      <c r="AK80" s="13">
        <f t="shared" si="89"/>
        <v>38.944980714143632</v>
      </c>
      <c r="AL80" s="20">
        <f t="shared" si="58"/>
        <v>331.88897074380026</v>
      </c>
      <c r="AM80" s="59">
        <f t="shared" si="59"/>
        <v>625.22230407713357</v>
      </c>
      <c r="AN80" s="59">
        <f ca="1">AVERAGE(OFFSET($AM$3,0,0,'Données projet'!$E$10+1,1))-AVERAGE(OFFSET($H$3,0,0,'Données projet'!$E$10+1,1))</f>
        <v>244.43587473734613</v>
      </c>
      <c r="AO80" s="59">
        <f t="shared" si="90"/>
        <v>256.80261402149375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1.545138861117944</v>
      </c>
      <c r="AV80" s="21">
        <f>EXP(-LN(2)/25)*AV79+(1-EXP(-LN(2)/25))/(LN(2)/25)*Calculateur!AQ80*Calculateur!AS80*VLOOKUP('Données projet'!$B$10,Paramètres!$A$1:$I$89,3,0)*0.475*44/12</f>
        <v>11.249022385281849</v>
      </c>
      <c r="AW80" s="21">
        <f>EXP(-LN(2)/2)*AW79+(1-EXP(-LN(2)/2))/(LN(2)/2)*AQ80*AT80*VLOOKUP('Données projet'!$B$10,Paramètres!$A$1:$I$89,3,0)*0.475*44/12</f>
        <v>2.0523726719685182</v>
      </c>
      <c r="AX80" s="21">
        <f t="shared" si="60"/>
        <v>14.846533918368312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-2.2737367544323206E-13</v>
      </c>
      <c r="BE80" s="13">
        <f>BD80*VLOOKUP('Données projet'!$B$11,Paramètres!$A$1:$I$89,3,0)*VLOOKUP('Données projet'!$B$11,Paramètres!$A$1:$I$89,5,0)</f>
        <v>-1.2710188457276673E-13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430.60186171079067</v>
      </c>
      <c r="BJ80" s="59">
        <f t="shared" si="92"/>
        <v>533.76627289533985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184.80854506146397</v>
      </c>
      <c r="BQ80" s="21">
        <f>EXP(-LN(2)/25)*BQ79+(1-EXP(-LN(2)/25))/(LN(2)/25)*Calculateur!BL80*Calculateur!BN80*VLOOKUP('Données projet'!$B$11,Paramètres!$A$1:$I$89,3,0)*0.475*44/12</f>
        <v>40.211464680138675</v>
      </c>
      <c r="BR80" s="21">
        <f>EXP(-LN(2)/2)*BR79+(1-EXP(-LN(2)/2))/(LN(2)/2)*BL80*BO80*VLOOKUP('Données projet'!$B$11,Paramètres!$A$1:$I$89,3,0)*0.475*44/12</f>
        <v>0.15556584076842284</v>
      </c>
      <c r="BS80" s="22">
        <f t="shared" si="63"/>
        <v>225.17557558237107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6.2061538461538479</v>
      </c>
      <c r="BY80" s="12">
        <f>IF('Données projet'!$A$114&gt;35,BY79+BX80-CG79,IF(A80&lt;'Données projet'!$A$114,$BV$205^A80,IF(A80='Données projet'!$A$114,'Données projet'!$B$114,BY79+BX80-CG79)))</f>
        <v>291.55076923076905</v>
      </c>
      <c r="BZ80" s="13">
        <f>BY80*VLOOKUP('Données projet'!$B$12,Paramètres!$A$1:$I$89,3,0)*VLOOKUP('Données projet'!$B$12,Paramètres!$A$1:$I$89,5,0)</f>
        <v>174.3473599999999</v>
      </c>
      <c r="CA80" s="13">
        <f t="shared" si="93"/>
        <v>44.062252079707349</v>
      </c>
      <c r="CB80" s="20">
        <f t="shared" si="64"/>
        <v>380.39674103882345</v>
      </c>
      <c r="CC80" s="59">
        <f t="shared" si="65"/>
        <v>673.73007437215676</v>
      </c>
      <c r="CD80" s="59">
        <f ca="1">AVERAGE(OFFSET($CC$3,0,0,'Données projet'!$E$12+1,1))-AVERAGE(OFFSET($H$3,0,0,'Données projet'!$E$12+1,1))</f>
        <v>215.89467197072673</v>
      </c>
      <c r="CE80" s="59">
        <f t="shared" si="94"/>
        <v>188.21397398859534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38.934454979468711</v>
      </c>
      <c r="CL80" s="21">
        <f>EXP(-LN(2)/25)*CL79+(1-EXP(-LN(2)/25))/(LN(2)/25)*Calculateur!CG80*Calculateur!CI80*VLOOKUP('Données projet'!$B$12,Paramètres!$A$1:$I$89,3,0)*0.475*44/12</f>
        <v>10.276771131924331</v>
      </c>
      <c r="CM80" s="21">
        <f>EXP(-LN(2)/2)*CM79+(1-EXP(-LN(2)/2))/(LN(2)/2)*CG80*CJ80*VLOOKUP('Données projet'!$B$12,Paramètres!$A$1:$I$89,3,0)*0.475*44/12</f>
        <v>0.44108456384413341</v>
      </c>
      <c r="CN80" s="22">
        <f t="shared" si="66"/>
        <v>49.652310675237182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>
        <f>VLOOKUP(A80,'Données projet'!$A$139:$I$159,2,0)</f>
        <v>151.18589743589743</v>
      </c>
      <c r="CR80" s="12">
        <f>VLOOKUP(A80,'Données projet'!$A$139:$I$159,9,0)</f>
        <v>4.7339743589743559</v>
      </c>
      <c r="CS80" s="12">
        <f t="array" ref="CS80">INDEX(CR:CR,MIN(IF(ISNUMBER(CR80:CR276),ROW(CR80:CR276),"")))</f>
        <v>4.7339743589743559</v>
      </c>
      <c r="CT80" s="12">
        <f>IF('Données projet'!$A$140&gt;35,CT79+CS80-DB79,IF(A80&lt;'Données projet'!$A$140,$CQ$205^A80,IF(A80='Données projet'!$A$140,'Données projet'!$B$140,CT79+CS80-DB79)))</f>
        <v>151.18589743589754</v>
      </c>
      <c r="CU80" s="17">
        <f>CT80*VLOOKUP('Données projet'!$B$13,Paramètres!$A$1:$I$89,3,0)*VLOOKUP('Données projet'!$B$13,Paramètres!$A$1:$I$89,5,0)</f>
        <v>153.30250000000012</v>
      </c>
      <c r="CV80" s="13">
        <f t="shared" si="95"/>
        <v>39.328136710451659</v>
      </c>
      <c r="CW80" s="20">
        <f t="shared" si="67"/>
        <v>335.49835893737014</v>
      </c>
      <c r="CX80" s="59">
        <f t="shared" si="68"/>
        <v>628.83169227070346</v>
      </c>
      <c r="CY80" s="59">
        <f ca="1">AVERAGE(OFFSET($CX$3,0,0,'Données projet'!$E$13+1,1))-AVERAGE(OFFSET($H$3,0,0,'Données projet'!$E$13+1,1))</f>
        <v>342.82846711287749</v>
      </c>
      <c r="CZ80" s="59">
        <f t="shared" si="96"/>
        <v>152.87724741106297</v>
      </c>
      <c r="DA80" s="15">
        <f>IF(ISNA(VLOOKUP(A80,'Données projet'!$A$139:$I$159,3,0)),0,VLOOKUP(A80,'Données projet'!$A$139:$I$159,3,0))</f>
        <v>3</v>
      </c>
      <c r="DB80" s="15">
        <f>IF(ISNA(VLOOKUP(A80,'Données projet'!$A$139:$I$159,4,0)),0,VLOOKUP(A80,'Données projet'!$A$139:$I$159,4,0))</f>
        <v>25.53846153846154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2.4</v>
      </c>
      <c r="DO80" s="12">
        <f>IF('Données projet'!$A$166&gt;35,DO79+DN80-DW79,IF(A80&lt;'Données projet'!$A$166,$DL$205^A80,IF(A80='Données projet'!$A$166,'Données projet'!$B$166,DO79+DN80-DW79)))</f>
        <v>211.79999999999998</v>
      </c>
      <c r="DP80" s="17">
        <f>DO80*VLOOKUP('Données projet'!$B$14,Paramètres!$A$1:$I$89,3,0)*VLOOKUP('Données projet'!$B$14,Paramètres!$A$1:$I$89,5,0)</f>
        <v>155.29175999999998</v>
      </c>
      <c r="DQ80" s="13">
        <f t="shared" si="97"/>
        <v>39.778719769696814</v>
      </c>
      <c r="DR80" s="20">
        <f t="shared" si="70"/>
        <v>339.74775226555522</v>
      </c>
      <c r="DS80" s="59">
        <f t="shared" si="71"/>
        <v>633.08108559888854</v>
      </c>
      <c r="DT80" s="59">
        <f ca="1">AVERAGE(OFFSET($DS$3,0,0,'Données projet'!$E$14+1,1))-AVERAGE(OFFSET($H$3,0,0,'Données projet'!$E$14+1,1))</f>
        <v>208.48147873805715</v>
      </c>
      <c r="DU80" s="59">
        <f t="shared" si="98"/>
        <v>209.50570914630686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7.4632611557249753</v>
      </c>
      <c r="EB80" s="21">
        <f>EXP(-LN(2)/25)*EB79+(1-EXP(-LN(2)/25))/(LN(2)/25)*Calculateur!DW80*Calculateur!DY80*VLOOKUP('Données projet'!$B$14,Paramètres!$A$1:$I$89,3,0)*0.475*44/12</f>
        <v>6.7150084475177794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14.178269603242754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-1.7053025658242404E-13</v>
      </c>
      <c r="EK80" s="17">
        <f>EJ80*VLOOKUP('Données projet'!$B$15,Paramètres!$A$1:$I$89,3,0)*VLOOKUP('Données projet'!$B$15,Paramètres!$A$1:$I$89,5,0)</f>
        <v>-1.0197709343628959E-13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247.31680974612766</v>
      </c>
      <c r="EP80" s="59">
        <f t="shared" si="100"/>
        <v>257.13949761071882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92.640129758095327</v>
      </c>
      <c r="EW80" s="21">
        <f>EXP(-LN(2)/25)*EW79+(1-EXP(-LN(2)/25))/(LN(2)/25)*Calculateur!ER80*Calculateur!ET80*VLOOKUP('Données projet'!$B$15,Paramètres!$A$1:$I$89,3,0)*0.475*44/12</f>
        <v>22.556198919262574</v>
      </c>
      <c r="EX80" s="21">
        <f>EXP(-LN(2)/2)*EX79+(1-EXP(-LN(2)/2))/(LN(2)/2)*ER80*EU80*VLOOKUP('Données projet'!$B$15,Paramètres!$A$1:$I$89,3,0)*0.475*44/12</f>
        <v>8.8285730130085144E-2</v>
      </c>
      <c r="EY80" s="22">
        <f t="shared" si="75"/>
        <v>115.28461440748798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13.871519999999986</v>
      </c>
      <c r="D81" s="11">
        <f t="shared" si="86"/>
        <v>4.7068773042456522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28.682437943396774</v>
      </c>
      <c r="H81" s="67">
        <f t="shared" si="56"/>
        <v>289.02404197156119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9.001923076923072</v>
      </c>
      <c r="N81" s="13">
        <f>IF('Données projet'!$A$36&gt;35,N80+M81-V80,IF(A81&lt;'Données projet'!$A$36,$K$205^A81,IF(A81='Données projet'!$A$36,'Données projet'!$B$36,N80+M81-V80)))</f>
        <v>302.12115384615424</v>
      </c>
      <c r="O81" s="13">
        <f>N81*VLOOKUP('Données projet'!$B$9,Paramètres!$A$1:$I$89,3,0)*VLOOKUP('Données projet'!$B$9,Paramètres!$A$1:$I$89,5,0)</f>
        <v>141.39270000000019</v>
      </c>
      <c r="P81" s="13">
        <f t="shared" si="87"/>
        <v>36.615869470582794</v>
      </c>
      <c r="Q81" s="20">
        <f t="shared" si="54"/>
        <v>310.031591827932</v>
      </c>
      <c r="R81" s="59">
        <f t="shared" si="55"/>
        <v>603.36492516126532</v>
      </c>
      <c r="S81" s="59">
        <f ca="1">AVERAGE(OFFSET($R$3,0,0,'Données projet'!$E$9+1,1))-AVERAGE(OFFSET($H$3,0,0,'Données projet'!$E$9+1,1))</f>
        <v>223.99456146593315</v>
      </c>
      <c r="T81" s="59">
        <f t="shared" si="88"/>
        <v>132.73290587325937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38.421155650808629</v>
      </c>
      <c r="AA81" s="21">
        <f>EXP(-LN(2)/25)*AA80+(1-EXP(-LN(2)/25))/(LN(2)/25)*Calculateur!V81*Calculateur!X81*VLOOKUP('Données projet'!$B$9,Paramètres!$A$1:$I$89,3,0)*0.475*44/12</f>
        <v>17.59992341052142</v>
      </c>
      <c r="AB81" s="21">
        <f>EXP(-LN(2)/2)*AB80+(1-EXP(-LN(2)/2))/(LN(2)/2)*V81*Y81*VLOOKUP('Données projet'!$B$9,Paramètres!$A$1:$I$89,3,0)*0.475*44/12</f>
        <v>2.1547057413290598</v>
      </c>
      <c r="AC81" s="22">
        <f t="shared" si="57"/>
        <v>58.175784802659109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4.2</v>
      </c>
      <c r="AI81" s="13">
        <f>IF('Données projet'!$A$62&gt;35,AI80+AH81-AQ80,IF(A81&lt;'Données projet'!$A$62,$AF$205^A81,IF(A81='Données projet'!$A$62,'Données projet'!$B$62,AI80+AH81-AQ80)))</f>
        <v>235.60000000000008</v>
      </c>
      <c r="AJ81" s="13">
        <f>AI81*VLOOKUP('Données projet'!$B$10,Paramètres!$A$1:$I$89,3,0)*VLOOKUP('Données projet'!$B$10,Paramètres!$A$1:$I$89,5,0)</f>
        <v>154.36512000000005</v>
      </c>
      <c r="AK81" s="13">
        <f t="shared" si="89"/>
        <v>39.568912624848309</v>
      </c>
      <c r="AL81" s="20">
        <f t="shared" si="58"/>
        <v>337.76844015494419</v>
      </c>
      <c r="AM81" s="59">
        <f t="shared" si="59"/>
        <v>631.10177348827756</v>
      </c>
      <c r="AN81" s="59">
        <f ca="1">AVERAGE(OFFSET($AM$3,0,0,'Données projet'!$E$10+1,1))-AVERAGE(OFFSET($H$3,0,0,'Données projet'!$E$10+1,1))</f>
        <v>244.43587473734613</v>
      </c>
      <c r="AO81" s="59">
        <f t="shared" si="90"/>
        <v>256.80261402149375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1.514839630493068</v>
      </c>
      <c r="AV81" s="21">
        <f>EXP(-LN(2)/25)*AV80+(1-EXP(-LN(2)/25))/(LN(2)/25)*Calculateur!AQ81*Calculateur!AS81*VLOOKUP('Données projet'!$B$10,Paramètres!$A$1:$I$89,3,0)*0.475*44/12</f>
        <v>10.94141727659594</v>
      </c>
      <c r="AW81" s="21">
        <f>EXP(-LN(2)/2)*AW80+(1-EXP(-LN(2)/2))/(LN(2)/2)*AQ81*AT81*VLOOKUP('Données projet'!$B$10,Paramètres!$A$1:$I$89,3,0)*0.475*44/12</f>
        <v>1.4512466338708929</v>
      </c>
      <c r="AX81" s="21">
        <f t="shared" si="60"/>
        <v>13.907503540959901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-2.2737367544323206E-13</v>
      </c>
      <c r="BE81" s="13">
        <f>BD81*VLOOKUP('Données projet'!$B$11,Paramètres!$A$1:$I$89,3,0)*VLOOKUP('Données projet'!$B$11,Paramètres!$A$1:$I$89,5,0)</f>
        <v>-1.2710188457276673E-13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430.60186171079067</v>
      </c>
      <c r="BJ81" s="59">
        <f t="shared" si="92"/>
        <v>533.76627289533985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181.18456221489078</v>
      </c>
      <c r="BQ81" s="21">
        <f>EXP(-LN(2)/25)*BQ80+(1-EXP(-LN(2)/25))/(LN(2)/25)*Calculateur!BL81*Calculateur!BN81*VLOOKUP('Données projet'!$B$11,Paramètres!$A$1:$I$89,3,0)*0.475*44/12</f>
        <v>39.111880063831258</v>
      </c>
      <c r="BR81" s="21">
        <f>EXP(-LN(2)/2)*BR80+(1-EXP(-LN(2)/2))/(LN(2)/2)*BL81*BO81*VLOOKUP('Données projet'!$B$11,Paramètres!$A$1:$I$89,3,0)*0.475*44/12</f>
        <v>0.11000166092833846</v>
      </c>
      <c r="BS81" s="22">
        <f t="shared" si="63"/>
        <v>220.40644393965036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6.2061538461538479</v>
      </c>
      <c r="BY81" s="12">
        <f>IF('Données projet'!$A$114&gt;35,BY80+BX81-CG80,IF(A81&lt;'Données projet'!$A$114,$BV$205^A81,IF(A81='Données projet'!$A$114,'Données projet'!$B$114,BY80+BX81-CG80)))</f>
        <v>297.75692307692287</v>
      </c>
      <c r="BZ81" s="13">
        <f>BY81*VLOOKUP('Données projet'!$B$12,Paramètres!$A$1:$I$89,3,0)*VLOOKUP('Données projet'!$B$12,Paramètres!$A$1:$I$89,5,0)</f>
        <v>178.05863999999988</v>
      </c>
      <c r="CA81" s="13">
        <f t="shared" si="93"/>
        <v>44.88999712263788</v>
      </c>
      <c r="CB81" s="20">
        <f t="shared" si="64"/>
        <v>388.3022096552607</v>
      </c>
      <c r="CC81" s="59">
        <f t="shared" si="65"/>
        <v>681.63554298859401</v>
      </c>
      <c r="CD81" s="59">
        <f ca="1">AVERAGE(OFFSET($CC$3,0,0,'Données projet'!$E$12+1,1))-AVERAGE(OFFSET($H$3,0,0,'Données projet'!$E$12+1,1))</f>
        <v>215.89467197072673</v>
      </c>
      <c r="CE81" s="59">
        <f t="shared" si="94"/>
        <v>188.21397398859534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38.170974064993977</v>
      </c>
      <c r="CL81" s="21">
        <f>EXP(-LN(2)/25)*CL80+(1-EXP(-LN(2)/25))/(LN(2)/25)*Calculateur!CG81*Calculateur!CI81*VLOOKUP('Données projet'!$B$12,Paramètres!$A$1:$I$89,3,0)*0.475*44/12</f>
        <v>9.9957522848899547</v>
      </c>
      <c r="CM81" s="21">
        <f>EXP(-LN(2)/2)*CM80+(1-EXP(-LN(2)/2))/(LN(2)/2)*CG81*CJ81*VLOOKUP('Données projet'!$B$12,Paramètres!$A$1:$I$89,3,0)*0.475*44/12</f>
        <v>0.31189388617089742</v>
      </c>
      <c r="CN81" s="22">
        <f t="shared" si="66"/>
        <v>48.47862023605483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4.7037037037037051</v>
      </c>
      <c r="CT81" s="12">
        <f>IF('Données projet'!$A$140&gt;35,CT80+CS81-DB80,IF(A81&lt;'Données projet'!$A$140,$CQ$205^A81,IF(A81='Données projet'!$A$140,'Données projet'!$B$140,CT80+CS81-DB80)))</f>
        <v>130.35113960113969</v>
      </c>
      <c r="CU81" s="17">
        <f>CT81*VLOOKUP('Données projet'!$B$13,Paramètres!$A$1:$I$89,3,0)*VLOOKUP('Données projet'!$B$13,Paramètres!$A$1:$I$89,5,0)</f>
        <v>132.17605555555565</v>
      </c>
      <c r="CV81" s="13">
        <f t="shared" si="95"/>
        <v>34.498695053859642</v>
      </c>
      <c r="CW81" s="20">
        <f t="shared" si="67"/>
        <v>290.29185731139825</v>
      </c>
      <c r="CX81" s="59">
        <f t="shared" si="68"/>
        <v>583.62519064473156</v>
      </c>
      <c r="CY81" s="59">
        <f ca="1">AVERAGE(OFFSET($CX$3,0,0,'Données projet'!$E$13+1,1))-AVERAGE(OFFSET($H$3,0,0,'Données projet'!$E$13+1,1))</f>
        <v>342.82846711287749</v>
      </c>
      <c r="CZ81" s="59">
        <f t="shared" si="96"/>
        <v>152.87724741106297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2.4</v>
      </c>
      <c r="DO81" s="12">
        <f>IF('Données projet'!$A$166&gt;35,DO80+DN81-DW80,IF(A81&lt;'Données projet'!$A$166,$DL$205^A81,IF(A81='Données projet'!$A$166,'Données projet'!$B$166,DO80+DN81-DW80)))</f>
        <v>214.2</v>
      </c>
      <c r="DP81" s="17">
        <f>DO81*VLOOKUP('Données projet'!$B$14,Paramètres!$A$1:$I$89,3,0)*VLOOKUP('Données projet'!$B$14,Paramètres!$A$1:$I$89,5,0)</f>
        <v>157.05143999999999</v>
      </c>
      <c r="DQ81" s="13">
        <f t="shared" si="97"/>
        <v>40.176741230099708</v>
      </c>
      <c r="DR81" s="20">
        <f t="shared" si="70"/>
        <v>343.50574897575694</v>
      </c>
      <c r="DS81" s="59">
        <f t="shared" si="71"/>
        <v>636.83908230909026</v>
      </c>
      <c r="DT81" s="59">
        <f ca="1">AVERAGE(OFFSET($DS$3,0,0,'Données projet'!$E$14+1,1))-AVERAGE(OFFSET($H$3,0,0,'Données projet'!$E$14+1,1))</f>
        <v>208.48147873805715</v>
      </c>
      <c r="DU81" s="59">
        <f t="shared" si="98"/>
        <v>209.50570914630686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7.3169111566010274</v>
      </c>
      <c r="EB81" s="21">
        <f>EXP(-LN(2)/25)*EB80+(1-EXP(-LN(2)/25))/(LN(2)/25)*Calculateur!DW81*Calculateur!DY81*VLOOKUP('Données projet'!$B$14,Paramètres!$A$1:$I$89,3,0)*0.475*44/12</f>
        <v>6.5313861883934585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13.848297344994485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-1.7053025658242404E-13</v>
      </c>
      <c r="EK81" s="17">
        <f>EJ81*VLOOKUP('Données projet'!$B$15,Paramètres!$A$1:$I$89,3,0)*VLOOKUP('Données projet'!$B$15,Paramètres!$A$1:$I$89,5,0)</f>
        <v>-1.0197709343628959E-13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247.31680974612766</v>
      </c>
      <c r="EP81" s="59">
        <f t="shared" si="100"/>
        <v>257.13949761071882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90.823513318438827</v>
      </c>
      <c r="EW81" s="21">
        <f>EXP(-LN(2)/25)*EW80+(1-EXP(-LN(2)/25))/(LN(2)/25)*Calculateur!ER81*Calculateur!ET81*VLOOKUP('Données projet'!$B$15,Paramètres!$A$1:$I$89,3,0)*0.475*44/12</f>
        <v>21.939398473636391</v>
      </c>
      <c r="EX81" s="21">
        <f>EXP(-LN(2)/2)*EX80+(1-EXP(-LN(2)/2))/(LN(2)/2)*ER81*EU81*VLOOKUP('Données projet'!$B$15,Paramètres!$A$1:$I$89,3,0)*0.475*44/12</f>
        <v>6.2427438456988706E-2</v>
      </c>
      <c r="EY81" s="22">
        <f t="shared" si="75"/>
        <v>112.82533923053221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14.049359999999986</v>
      </c>
      <c r="D82" s="11">
        <f t="shared" si="86"/>
        <v>4.7601581791222651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29.03925613618874</v>
      </c>
      <c r="H82" s="67">
        <f t="shared" si="56"/>
        <v>289.42657749530463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9.001923076923072</v>
      </c>
      <c r="N82" s="13">
        <f>IF('Données projet'!$A$36&gt;35,N81+M82-V81,IF(A82&lt;'Données projet'!$A$36,$K$205^A82,IF(A82='Données projet'!$A$36,'Données projet'!$B$36,N81+M82-V81)))</f>
        <v>311.12307692307729</v>
      </c>
      <c r="O82" s="13">
        <f>N82*VLOOKUP('Données projet'!$B$9,Paramètres!$A$1:$I$89,3,0)*VLOOKUP('Données projet'!$B$9,Paramètres!$A$1:$I$89,5,0)</f>
        <v>145.60560000000018</v>
      </c>
      <c r="P82" s="13">
        <f t="shared" si="87"/>
        <v>37.578220882267132</v>
      </c>
      <c r="Q82" s="20">
        <f t="shared" si="54"/>
        <v>319.04515470328221</v>
      </c>
      <c r="R82" s="59">
        <f t="shared" si="55"/>
        <v>612.37848803661552</v>
      </c>
      <c r="S82" s="59">
        <f ca="1">AVERAGE(OFFSET($R$3,0,0,'Données projet'!$E$9+1,1))-AVERAGE(OFFSET($H$3,0,0,'Données projet'!$E$9+1,1))</f>
        <v>223.99456146593315</v>
      </c>
      <c r="T82" s="59">
        <f t="shared" si="88"/>
        <v>132.73290587325937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37.667740223087243</v>
      </c>
      <c r="AA82" s="21">
        <f>EXP(-LN(2)/25)*AA81+(1-EXP(-LN(2)/25))/(LN(2)/25)*Calculateur!V82*Calculateur!X82*VLOOKUP('Données projet'!$B$9,Paramètres!$A$1:$I$89,3,0)*0.475*44/12</f>
        <v>17.118652579320965</v>
      </c>
      <c r="AB82" s="21">
        <f>EXP(-LN(2)/2)*AB81+(1-EXP(-LN(2)/2))/(LN(2)/2)*V82*Y82*VLOOKUP('Données projet'!$B$9,Paramètres!$A$1:$I$89,3,0)*0.475*44/12</f>
        <v>1.5236070411553653</v>
      </c>
      <c r="AC82" s="22">
        <f t="shared" si="57"/>
        <v>56.309999843563574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4.2</v>
      </c>
      <c r="AI82" s="13">
        <f>IF('Données projet'!$A$62&gt;35,AI81+AH82-AQ81,IF(A82&lt;'Données projet'!$A$62,$AF$205^A82,IF(A82='Données projet'!$A$62,'Données projet'!$B$62,AI81+AH82-AQ81)))</f>
        <v>239.80000000000007</v>
      </c>
      <c r="AJ82" s="13">
        <f>AI82*VLOOKUP('Données projet'!$B$10,Paramètres!$A$1:$I$89,3,0)*VLOOKUP('Données projet'!$B$10,Paramètres!$A$1:$I$89,5,0)</f>
        <v>157.11696000000003</v>
      </c>
      <c r="AK82" s="13">
        <f t="shared" si="89"/>
        <v>40.191551120265856</v>
      </c>
      <c r="AL82" s="20">
        <f t="shared" si="58"/>
        <v>343.6456568677965</v>
      </c>
      <c r="AM82" s="59">
        <f t="shared" si="59"/>
        <v>636.97899020112982</v>
      </c>
      <c r="AN82" s="59">
        <f ca="1">AVERAGE(OFFSET($AM$3,0,0,'Données projet'!$E$10+1,1))-AVERAGE(OFFSET($H$3,0,0,'Données projet'!$E$10+1,1))</f>
        <v>244.43587473734613</v>
      </c>
      <c r="AO82" s="59">
        <f t="shared" si="90"/>
        <v>256.80261402149375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1.4851345493000401</v>
      </c>
      <c r="AV82" s="21">
        <f>EXP(-LN(2)/25)*AV81+(1-EXP(-LN(2)/25))/(LN(2)/25)*Calculateur!AQ82*Calculateur!AS82*VLOOKUP('Données projet'!$B$10,Paramètres!$A$1:$I$89,3,0)*0.475*44/12</f>
        <v>10.642223645783297</v>
      </c>
      <c r="AW82" s="21">
        <f>EXP(-LN(2)/2)*AW81+(1-EXP(-LN(2)/2))/(LN(2)/2)*AQ82*AT82*VLOOKUP('Données projet'!$B$10,Paramètres!$A$1:$I$89,3,0)*0.475*44/12</f>
        <v>1.0261863359842591</v>
      </c>
      <c r="AX82" s="21">
        <f t="shared" si="60"/>
        <v>13.153544531067595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-2.2737367544323206E-13</v>
      </c>
      <c r="BE82" s="13">
        <f>BD82*VLOOKUP('Données projet'!$B$11,Paramètres!$A$1:$I$89,3,0)*VLOOKUP('Données projet'!$B$11,Paramètres!$A$1:$I$89,5,0)</f>
        <v>-1.2710188457276673E-13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430.60186171079067</v>
      </c>
      <c r="BJ82" s="59">
        <f t="shared" si="92"/>
        <v>533.76627289533985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177.6316434615276</v>
      </c>
      <c r="BQ82" s="21">
        <f>EXP(-LN(2)/25)*BQ81+(1-EXP(-LN(2)/25))/(LN(2)/25)*Calculateur!BL82*Calculateur!BN82*VLOOKUP('Données projet'!$B$11,Paramètres!$A$1:$I$89,3,0)*0.475*44/12</f>
        <v>38.042363646681409</v>
      </c>
      <c r="BR82" s="21">
        <f>EXP(-LN(2)/2)*BR81+(1-EXP(-LN(2)/2))/(LN(2)/2)*BL82*BO82*VLOOKUP('Données projet'!$B$11,Paramètres!$A$1:$I$89,3,0)*0.475*44/12</f>
        <v>7.7782920384211418E-2</v>
      </c>
      <c r="BS82" s="22">
        <f t="shared" si="63"/>
        <v>215.75179002859323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6.2061538461538479</v>
      </c>
      <c r="BY82" s="12">
        <f>IF('Données projet'!$A$114&gt;35,BY81+BX82-CG81,IF(A82&lt;'Données projet'!$A$114,$BV$205^A82,IF(A82='Données projet'!$A$114,'Données projet'!$B$114,BY81+BX82-CG81)))</f>
        <v>303.9630769230767</v>
      </c>
      <c r="BZ82" s="13">
        <f>BY82*VLOOKUP('Données projet'!$B$12,Paramètres!$A$1:$I$89,3,0)*VLOOKUP('Données projet'!$B$12,Paramètres!$A$1:$I$89,5,0)</f>
        <v>181.76991999999987</v>
      </c>
      <c r="CA82" s="13">
        <f t="shared" si="93"/>
        <v>45.715736231023712</v>
      </c>
      <c r="CB82" s="20">
        <f t="shared" si="64"/>
        <v>396.20418460236607</v>
      </c>
      <c r="CC82" s="59">
        <f t="shared" si="65"/>
        <v>689.53751793569938</v>
      </c>
      <c r="CD82" s="59">
        <f ca="1">AVERAGE(OFFSET($CC$3,0,0,'Données projet'!$E$12+1,1))-AVERAGE(OFFSET($H$3,0,0,'Données projet'!$E$12+1,1))</f>
        <v>215.89467197072673</v>
      </c>
      <c r="CE82" s="59">
        <f t="shared" si="94"/>
        <v>188.21397398859534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37.422464545574719</v>
      </c>
      <c r="CL82" s="21">
        <f>EXP(-LN(2)/25)*CL81+(1-EXP(-LN(2)/25))/(LN(2)/25)*Calculateur!CG82*Calculateur!CI82*VLOOKUP('Données projet'!$B$12,Paramètres!$A$1:$I$89,3,0)*0.475*44/12</f>
        <v>9.7224179130058719</v>
      </c>
      <c r="CM82" s="21">
        <f>EXP(-LN(2)/2)*CM81+(1-EXP(-LN(2)/2))/(LN(2)/2)*CG82*CJ82*VLOOKUP('Données projet'!$B$12,Paramètres!$A$1:$I$89,3,0)*0.475*44/12</f>
        <v>0.22054228192206674</v>
      </c>
      <c r="CN82" s="22">
        <f t="shared" si="66"/>
        <v>47.365424740502654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4.7037037037037051</v>
      </c>
      <c r="CT82" s="12">
        <f>IF('Données projet'!$A$140&gt;35,CT81+CS82-DB81,IF(A82&lt;'Données projet'!$A$140,$CQ$205^A82,IF(A82='Données projet'!$A$140,'Données projet'!$B$140,CT81+CS82-DB81)))</f>
        <v>135.05484330484339</v>
      </c>
      <c r="CU82" s="17">
        <f>CT82*VLOOKUP('Données projet'!$B$13,Paramètres!$A$1:$I$89,3,0)*VLOOKUP('Données projet'!$B$13,Paramètres!$A$1:$I$89,5,0)</f>
        <v>136.94561111111122</v>
      </c>
      <c r="CV82" s="13">
        <f t="shared" si="95"/>
        <v>35.596392125344188</v>
      </c>
      <c r="CW82" s="20">
        <f t="shared" si="67"/>
        <v>300.51065563682647</v>
      </c>
      <c r="CX82" s="59">
        <f t="shared" si="68"/>
        <v>593.84398897015978</v>
      </c>
      <c r="CY82" s="59">
        <f ca="1">AVERAGE(OFFSET($CX$3,0,0,'Données projet'!$E$13+1,1))-AVERAGE(OFFSET($H$3,0,0,'Données projet'!$E$13+1,1))</f>
        <v>342.82846711287749</v>
      </c>
      <c r="CZ82" s="59">
        <f t="shared" si="96"/>
        <v>152.87724741106297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2.4</v>
      </c>
      <c r="DO82" s="12">
        <f>IF('Données projet'!$A$166&gt;35,DO81+DN82-DW81,IF(A82&lt;'Données projet'!$A$166,$DL$205^A82,IF(A82='Données projet'!$A$166,'Données projet'!$B$166,DO81+DN82-DW81)))</f>
        <v>216.6</v>
      </c>
      <c r="DP82" s="17">
        <f>DO82*VLOOKUP('Données projet'!$B$14,Paramètres!$A$1:$I$89,3,0)*VLOOKUP('Données projet'!$B$14,Paramètres!$A$1:$I$89,5,0)</f>
        <v>158.81111999999999</v>
      </c>
      <c r="DQ82" s="13">
        <f t="shared" si="97"/>
        <v>40.57424391712447</v>
      </c>
      <c r="DR82" s="20">
        <f t="shared" si="70"/>
        <v>347.26284215565846</v>
      </c>
      <c r="DS82" s="59">
        <f t="shared" si="71"/>
        <v>640.59617548899178</v>
      </c>
      <c r="DT82" s="59">
        <f ca="1">AVERAGE(OFFSET($DS$3,0,0,'Données projet'!$E$14+1,1))-AVERAGE(OFFSET($H$3,0,0,'Données projet'!$E$14+1,1))</f>
        <v>208.48147873805715</v>
      </c>
      <c r="DU82" s="59">
        <f t="shared" si="98"/>
        <v>209.50570914630686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7.1734309916952146</v>
      </c>
      <c r="EB82" s="21">
        <f>EXP(-LN(2)/25)*EB81+(1-EXP(-LN(2)/25))/(LN(2)/25)*Calculateur!DW82*Calculateur!DY82*VLOOKUP('Données projet'!$B$14,Paramètres!$A$1:$I$89,3,0)*0.475*44/12</f>
        <v>6.3527850896011673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13.526216081296383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-1.7053025658242404E-13</v>
      </c>
      <c r="EK82" s="17">
        <f>EJ82*VLOOKUP('Données projet'!$B$15,Paramètres!$A$1:$I$89,3,0)*VLOOKUP('Données projet'!$B$15,Paramètres!$A$1:$I$89,5,0)</f>
        <v>-1.0197709343628959E-13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247.31680974612766</v>
      </c>
      <c r="EP82" s="59">
        <f t="shared" si="100"/>
        <v>257.13949761071882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89.04251961913738</v>
      </c>
      <c r="EW82" s="21">
        <f>EXP(-LN(2)/25)*EW81+(1-EXP(-LN(2)/25))/(LN(2)/25)*Calculateur!ER82*Calculateur!ET82*VLOOKUP('Données projet'!$B$15,Paramètres!$A$1:$I$89,3,0)*0.475*44/12</f>
        <v>21.339464468631981</v>
      </c>
      <c r="EX82" s="21">
        <f>EXP(-LN(2)/2)*EX81+(1-EXP(-LN(2)/2))/(LN(2)/2)*ER82*EU82*VLOOKUP('Données projet'!$B$15,Paramètres!$A$1:$I$89,3,0)*0.475*44/12</f>
        <v>4.4142865065042579E-2</v>
      </c>
      <c r="EY82" s="22">
        <f t="shared" si="75"/>
        <v>110.42612695283439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14.227199999999986</v>
      </c>
      <c r="D83" s="11">
        <f t="shared" si="86"/>
        <v>4.8133606046051556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29.395953214127235</v>
      </c>
      <c r="H83" s="67">
        <f t="shared" si="56"/>
        <v>289.82897638635399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9.001923076923072</v>
      </c>
      <c r="N83" s="13">
        <f>IF('Données projet'!$A$36&gt;35,N82+M83-V82,IF(A83&lt;'Données projet'!$A$36,$K$205^A83,IF(A83='Données projet'!$A$36,'Données projet'!$B$36,N82+M83-V82)))</f>
        <v>320.12500000000034</v>
      </c>
      <c r="O83" s="13">
        <f>N83*VLOOKUP('Données projet'!$B$9,Paramètres!$A$1:$I$89,3,0)*VLOOKUP('Données projet'!$B$9,Paramètres!$A$1:$I$89,5,0)</f>
        <v>149.81850000000017</v>
      </c>
      <c r="P83" s="13">
        <f t="shared" si="87"/>
        <v>38.537336188594026</v>
      </c>
      <c r="Q83" s="20">
        <f t="shared" si="54"/>
        <v>328.0530813618015</v>
      </c>
      <c r="R83" s="59">
        <f t="shared" si="55"/>
        <v>621.38641469513482</v>
      </c>
      <c r="S83" s="59">
        <f ca="1">AVERAGE(OFFSET($R$3,0,0,'Données projet'!$E$9+1,1))-AVERAGE(OFFSET($H$3,0,0,'Données projet'!$E$9+1,1))</f>
        <v>223.99456146593315</v>
      </c>
      <c r="T83" s="59">
        <f t="shared" si="88"/>
        <v>132.73290587325937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36.929098812365439</v>
      </c>
      <c r="AA83" s="21">
        <f>EXP(-LN(2)/25)*AA82+(1-EXP(-LN(2)/25))/(LN(2)/25)*Calculateur!V83*Calculateur!X83*VLOOKUP('Données projet'!$B$9,Paramètres!$A$1:$I$89,3,0)*0.475*44/12</f>
        <v>16.650542124308618</v>
      </c>
      <c r="AB83" s="21">
        <f>EXP(-LN(2)/2)*AB82+(1-EXP(-LN(2)/2))/(LN(2)/2)*V83*Y83*VLOOKUP('Données projet'!$B$9,Paramètres!$A$1:$I$89,3,0)*0.475*44/12</f>
        <v>1.0773528706645301</v>
      </c>
      <c r="AC83" s="22">
        <f t="shared" si="57"/>
        <v>54.65699380733858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244</v>
      </c>
      <c r="AG83" s="12">
        <f>VLOOKUP(A83,'Données projet'!$A$61:$I$81,9,0)</f>
        <v>4.2</v>
      </c>
      <c r="AH83" s="12">
        <f t="array" ref="AH83">INDEX(AG:AG,MIN(IF(ISNUMBER(AG83:AG279),ROW(AG83:AG279),"")))</f>
        <v>4.2</v>
      </c>
      <c r="AI83" s="13">
        <f>IF('Données projet'!$A$62&gt;35,AI82+AH83-AQ82,IF(A83&lt;'Données projet'!$A$62,$AF$205^A83,IF(A83='Données projet'!$A$62,'Données projet'!$B$62,AI82+AH83-AQ82)))</f>
        <v>244.00000000000006</v>
      </c>
      <c r="AJ83" s="13">
        <f>AI83*VLOOKUP('Données projet'!$B$10,Paramètres!$A$1:$I$89,3,0)*VLOOKUP('Données projet'!$B$10,Paramètres!$A$1:$I$89,5,0)</f>
        <v>159.86880000000002</v>
      </c>
      <c r="AK83" s="13">
        <f t="shared" si="89"/>
        <v>40.812921467768035</v>
      </c>
      <c r="AL83" s="20">
        <f t="shared" si="58"/>
        <v>349.52066488969604</v>
      </c>
      <c r="AM83" s="59">
        <f t="shared" si="59"/>
        <v>642.85399822302929</v>
      </c>
      <c r="AN83" s="59">
        <f ca="1">AVERAGE(OFFSET($AM$3,0,0,'Données projet'!$E$10+1,1))-AVERAGE(OFFSET($H$3,0,0,'Données projet'!$E$10+1,1))</f>
        <v>244.43587473734613</v>
      </c>
      <c r="AO83" s="59">
        <f t="shared" si="90"/>
        <v>256.80261402149375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16</v>
      </c>
      <c r="AR83" s="16">
        <f>IF(ISNA(VLOOKUP(A83,'Données projet'!$A$61:$I$81,5,0)),0%,VLOOKUP(A83,'Données projet'!$A$61:$I$81,5,0)*VLOOKUP('Données projet'!$B$10,Paramètres!$A$1:$I$89,7,0))</f>
        <v>8.6000000000000007E-2</v>
      </c>
      <c r="AS83" s="16">
        <f>IF(ISNA(VLOOKUP(A83,'Données projet'!$A$61:$I$81,6,0)),0%,VLOOKUP(A83,'Données projet'!$A$61:$I$81,6,0)*VLOOKUP('Données projet'!$B$10,Paramètres!$A$1:$I$89,7,0))</f>
        <v>0.215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2.4526545357448017</v>
      </c>
      <c r="AV83" s="21">
        <f>EXP(-LN(2)/25)*AV82+(1-EXP(-LN(2)/25))/(LN(2)/25)*Calculateur!AQ83*Calculateur!AS83*VLOOKUP('Données projet'!$B$10,Paramètres!$A$1:$I$89,3,0)*0.475*44/12</f>
        <v>12.833007499460914</v>
      </c>
      <c r="AW83" s="21">
        <f>EXP(-LN(2)/2)*AW82+(1-EXP(-LN(2)/2))/(LN(2)/2)*AQ83*AT83*VLOOKUP('Données projet'!$B$10,Paramètres!$A$1:$I$89,3,0)*0.475*44/12</f>
        <v>2.7038595871736879</v>
      </c>
      <c r="AX83" s="21">
        <f t="shared" si="60"/>
        <v>17.989521622379403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-2.2737367544323206E-13</v>
      </c>
      <c r="BE83" s="13">
        <f>BD83*VLOOKUP('Données projet'!$B$11,Paramètres!$A$1:$I$89,3,0)*VLOOKUP('Données projet'!$B$11,Paramètres!$A$1:$I$89,5,0)</f>
        <v>-1.2710188457276673E-13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430.60186171079067</v>
      </c>
      <c r="BJ83" s="59">
        <f t="shared" si="92"/>
        <v>533.76627289533985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174.14839527785142</v>
      </c>
      <c r="BQ83" s="21">
        <f>EXP(-LN(2)/25)*BQ82+(1-EXP(-LN(2)/25))/(LN(2)/25)*Calculateur!BL83*Calculateur!BN83*VLOOKUP('Données projet'!$B$11,Paramètres!$A$1:$I$89,3,0)*0.475*44/12</f>
        <v>37.002093212201949</v>
      </c>
      <c r="BR83" s="21">
        <f>EXP(-LN(2)/2)*BR82+(1-EXP(-LN(2)/2))/(LN(2)/2)*BL83*BO83*VLOOKUP('Données projet'!$B$11,Paramètres!$A$1:$I$89,3,0)*0.475*44/12</f>
        <v>5.5000830464169231E-2</v>
      </c>
      <c r="BS83" s="22">
        <f t="shared" si="63"/>
        <v>211.20548932051753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310.16923076923081</v>
      </c>
      <c r="BW83" s="12">
        <f>VLOOKUP(A83,'Données projet'!$A$113:$I$133,9,0)</f>
        <v>6.2061538461538479</v>
      </c>
      <c r="BX83" s="12">
        <f t="array" ref="BX83">INDEX(BW:BW,MIN(IF(ISNUMBER(BW83:BW279),ROW(BW83:BW279),"")))</f>
        <v>6.2061538461538479</v>
      </c>
      <c r="BY83" s="12">
        <f>IF('Données projet'!$A$114&gt;35,BY82+BX83-CG82,IF(A83&lt;'Données projet'!$A$114,$BV$205^A83,IF(A83='Données projet'!$A$114,'Données projet'!$B$114,BY82+BX83-CG82)))</f>
        <v>310.16923076923052</v>
      </c>
      <c r="BZ83" s="13">
        <f>BY83*VLOOKUP('Données projet'!$B$12,Paramètres!$A$1:$I$89,3,0)*VLOOKUP('Données projet'!$B$12,Paramètres!$A$1:$I$89,5,0)</f>
        <v>185.48119999999986</v>
      </c>
      <c r="CA83" s="13">
        <f t="shared" si="93"/>
        <v>46.539515080357305</v>
      </c>
      <c r="CB83" s="20">
        <f t="shared" si="64"/>
        <v>404.10274543162205</v>
      </c>
      <c r="CC83" s="59">
        <f t="shared" si="65"/>
        <v>697.43607876495537</v>
      </c>
      <c r="CD83" s="59">
        <f ca="1">AVERAGE(OFFSET($CC$3,0,0,'Données projet'!$E$12+1,1))-AVERAGE(OFFSET($H$3,0,0,'Données projet'!$E$12+1,1))</f>
        <v>215.89467197072673</v>
      </c>
      <c r="CE83" s="59">
        <f t="shared" si="94"/>
        <v>188.21397398859534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310.16923076923081</v>
      </c>
      <c r="CH83" s="16">
        <f>IF(ISNA(VLOOKUP(A83,'Données projet'!$A$113:$I$133,5,0)),0%,VLOOKUP(A83,'Données projet'!$A$113:$I$133,5,0)*VLOOKUP('Données projet'!$B$12,Paramètres!$A$1:$I$89,7,0))</f>
        <v>0.315</v>
      </c>
      <c r="CI83" s="16">
        <f>IF(ISNA(VLOOKUP(A83,'Données projet'!$A$113:$I$133,6,0)),0%,VLOOKUP(A83,'Données projet'!$A$113:$I$133,6,0)*VLOOKUP('Données projet'!$B$12,Paramètres!$A$1:$I$89,7,0))</f>
        <v>7.5600000000000001E-2</v>
      </c>
      <c r="CJ83" s="16">
        <f>IF(ISNA(VLOOKUP(A83,'Données projet'!$A$113:$I$133,7,0)),0%,VLOOKUP(A83,'Données projet'!$A$113:$I$133,7,0))</f>
        <v>0.13200000000000001</v>
      </c>
      <c r="CK83" s="21">
        <f>EXP(-LN(2)/35)*CK82+(1-EXP(-LN(2)/35))/(LN(2)/35)*CG83*CH83*VLOOKUP('Données projet'!$B$12,Paramètres!$A$1:$I$89,3,0)*0.475*44/12</f>
        <v>114.19525446905138</v>
      </c>
      <c r="CL83" s="21">
        <f>EXP(-LN(2)/25)*CL82+(1-EXP(-LN(2)/25))/(LN(2)/25)*Calculateur!CG83*Calculateur!CI83*VLOOKUP('Données projet'!$B$12,Paramètres!$A$1:$I$89,3,0)*0.475*44/12</f>
        <v>27.984905530153995</v>
      </c>
      <c r="CM83" s="21">
        <f>EXP(-LN(2)/2)*CM82+(1-EXP(-LN(2)/2))/(LN(2)/2)*CG83*CJ83*VLOOKUP('Données projet'!$B$12,Paramètres!$A$1:$I$89,3,0)*0.475*44/12</f>
        <v>27.876977232648962</v>
      </c>
      <c r="CN83" s="22">
        <f t="shared" si="66"/>
        <v>170.05713723185434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4.7037037037037051</v>
      </c>
      <c r="CT83" s="12">
        <f>IF('Données projet'!$A$140&gt;35,CT82+CS83-DB82,IF(A83&lt;'Données projet'!$A$140,$CQ$205^A83,IF(A83='Données projet'!$A$140,'Données projet'!$B$140,CT82+CS83-DB82)))</f>
        <v>139.75854700854708</v>
      </c>
      <c r="CU83" s="17">
        <f>CT83*VLOOKUP('Données projet'!$B$13,Paramètres!$A$1:$I$89,3,0)*VLOOKUP('Données projet'!$B$13,Paramètres!$A$1:$I$89,5,0)</f>
        <v>141.71516666666676</v>
      </c>
      <c r="CV83" s="13">
        <f t="shared" si="95"/>
        <v>36.689647202269164</v>
      </c>
      <c r="CW83" s="20">
        <f t="shared" si="67"/>
        <v>310.72171748839673</v>
      </c>
      <c r="CX83" s="59">
        <f t="shared" si="68"/>
        <v>604.05505082172999</v>
      </c>
      <c r="CY83" s="59">
        <f ca="1">AVERAGE(OFFSET($CX$3,0,0,'Données projet'!$E$13+1,1))-AVERAGE(OFFSET($H$3,0,0,'Données projet'!$E$13+1,1))</f>
        <v>342.82846711287749</v>
      </c>
      <c r="CZ83" s="59">
        <f t="shared" si="96"/>
        <v>152.87724741106297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219</v>
      </c>
      <c r="DM83" s="12">
        <f>VLOOKUP(A83,'Données projet'!$A$165:$I$185,9,0)</f>
        <v>2.4</v>
      </c>
      <c r="DN83" s="12">
        <f t="array" ref="DN83">INDEX(DM:DM,MIN(IF(ISNUMBER(DM83:DM279),ROW(DM83:DM279),"")))</f>
        <v>2.4</v>
      </c>
      <c r="DO83" s="12">
        <f>IF('Données projet'!$A$166&gt;35,DO82+DN83-DW82,IF(A83&lt;'Données projet'!$A$166,$DL$205^A83,IF(A83='Données projet'!$A$166,'Données projet'!$B$166,DO82+DN83-DW82)))</f>
        <v>219</v>
      </c>
      <c r="DP83" s="17">
        <f>DO83*VLOOKUP('Données projet'!$B$14,Paramètres!$A$1:$I$89,3,0)*VLOOKUP('Données projet'!$B$14,Paramètres!$A$1:$I$89,5,0)</f>
        <v>160.57079999999999</v>
      </c>
      <c r="DQ83" s="13">
        <f t="shared" si="97"/>
        <v>40.971234244168215</v>
      </c>
      <c r="DR83" s="20">
        <f t="shared" si="70"/>
        <v>351.01904297525965</v>
      </c>
      <c r="DS83" s="59">
        <f t="shared" si="71"/>
        <v>644.35237630859297</v>
      </c>
      <c r="DT83" s="59">
        <f ca="1">AVERAGE(OFFSET($DS$3,0,0,'Données projet'!$E$14+1,1))-AVERAGE(OFFSET($H$3,0,0,'Données projet'!$E$14+1,1))</f>
        <v>208.48147873805715</v>
      </c>
      <c r="DU83" s="59">
        <f t="shared" si="98"/>
        <v>209.50570914630686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219</v>
      </c>
      <c r="DX83" s="16">
        <f>IF(ISNA(VLOOKUP(A83,'Données projet'!$A$165:$I$185,5,0)),0%,VLOOKUP(A83,'Données projet'!$A$165:$I$185,5,0)*VLOOKUP('Données projet'!$B$14,Paramètres!$A$1:$I$89,7,0))</f>
        <v>0.28810000000000002</v>
      </c>
      <c r="DY83" s="16">
        <f>IF(ISNA(VLOOKUP(A83,'Données projet'!$A$165:$I$185,6,0)),0%,VLOOKUP(A83,'Données projet'!$A$165:$I$185,6,0)*VLOOKUP('Données projet'!$B$14,Paramètres!$A$1:$I$89,7,0))</f>
        <v>7.3099999999999998E-2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58.172318818388646</v>
      </c>
      <c r="EB83" s="21">
        <f>EXP(-LN(2)/25)*EB82+(1-EXP(-LN(2)/25))/(LN(2)/25)*Calculateur!DW83*Calculateur!DY83*VLOOKUP('Données projet'!$B$14,Paramètres!$A$1:$I$89,3,0)*0.475*44/12</f>
        <v>19.103685382573531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77.276004200962177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-1.7053025658242404E-13</v>
      </c>
      <c r="EK83" s="17">
        <f>EJ83*VLOOKUP('Données projet'!$B$15,Paramètres!$A$1:$I$89,3,0)*VLOOKUP('Données projet'!$B$15,Paramètres!$A$1:$I$89,5,0)</f>
        <v>-1.0197709343628959E-13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247.31680974612766</v>
      </c>
      <c r="EP83" s="59">
        <f t="shared" si="100"/>
        <v>257.13949761071882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87.296450119980335</v>
      </c>
      <c r="EW83" s="21">
        <f>EXP(-LN(2)/25)*EW82+(1-EXP(-LN(2)/25))/(LN(2)/25)*Calculateur!ER83*Calculateur!ET83*VLOOKUP('Données projet'!$B$15,Paramètres!$A$1:$I$89,3,0)*0.475*44/12</f>
        <v>20.755935690543573</v>
      </c>
      <c r="EX83" s="21">
        <f>EXP(-LN(2)/2)*EX82+(1-EXP(-LN(2)/2))/(LN(2)/2)*ER83*EU83*VLOOKUP('Données projet'!$B$15,Paramètres!$A$1:$I$89,3,0)*0.475*44/12</f>
        <v>3.1213719228494356E-2</v>
      </c>
      <c r="EY83" s="22">
        <f t="shared" si="75"/>
        <v>108.08359952975239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14.405039999999985</v>
      </c>
      <c r="D84" s="11">
        <f t="shared" si="86"/>
        <v>4.8664856747168654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29.752530866229524</v>
      </c>
      <c r="H84" s="67">
        <f t="shared" si="56"/>
        <v>290.23124055013187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9.001923076923072</v>
      </c>
      <c r="N84" s="13">
        <f>IF('Données projet'!$A$36&gt;35,N83+M84-V83,IF(A84&lt;'Données projet'!$A$36,$K$205^A84,IF(A84='Données projet'!$A$36,'Données projet'!$B$36,N83+M84-V83)))</f>
        <v>329.12692307692339</v>
      </c>
      <c r="O84" s="13">
        <f>N84*VLOOKUP('Données projet'!$B$9,Paramètres!$A$1:$I$89,3,0)*VLOOKUP('Données projet'!$B$9,Paramètres!$A$1:$I$89,5,0)</f>
        <v>154.03140000000016</v>
      </c>
      <c r="P84" s="13">
        <f t="shared" si="87"/>
        <v>39.493316842260541</v>
      </c>
      <c r="Q84" s="20">
        <f t="shared" si="54"/>
        <v>337.05554850027073</v>
      </c>
      <c r="R84" s="59">
        <f t="shared" si="55"/>
        <v>630.38888183360405</v>
      </c>
      <c r="S84" s="59">
        <f ca="1">AVERAGE(OFFSET($R$3,0,0,'Données projet'!$E$9+1,1))-AVERAGE(OFFSET($H$3,0,0,'Données projet'!$E$9+1,1))</f>
        <v>223.99456146593315</v>
      </c>
      <c r="T84" s="59">
        <f t="shared" si="88"/>
        <v>132.73290587325937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36.204941709181114</v>
      </c>
      <c r="AA84" s="21">
        <f>EXP(-LN(2)/25)*AA83+(1-EXP(-LN(2)/25))/(LN(2)/25)*Calculateur!V84*Calculateur!X84*VLOOKUP('Données projet'!$B$9,Paramètres!$A$1:$I$89,3,0)*0.475*44/12</f>
        <v>16.195232174305445</v>
      </c>
      <c r="AB84" s="21">
        <f>EXP(-LN(2)/2)*AB83+(1-EXP(-LN(2)/2))/(LN(2)/2)*V84*Y84*VLOOKUP('Données projet'!$B$9,Paramètres!$A$1:$I$89,3,0)*0.475*44/12</f>
        <v>0.76180352057768275</v>
      </c>
      <c r="AC84" s="22">
        <f t="shared" si="57"/>
        <v>53.161977404064245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3.8</v>
      </c>
      <c r="AI84" s="13">
        <f>IF('Données projet'!$A$62&gt;35,AI83+AH84-AQ83,IF(A84&lt;'Données projet'!$A$62,$AF$205^A84,IF(A84='Données projet'!$A$62,'Données projet'!$B$62,AI83+AH84-AQ83)))</f>
        <v>231.80000000000007</v>
      </c>
      <c r="AJ84" s="13">
        <f>AI84*VLOOKUP('Données projet'!$B$10,Paramètres!$A$1:$I$89,3,0)*VLOOKUP('Données projet'!$B$10,Paramètres!$A$1:$I$89,5,0)</f>
        <v>151.87536000000003</v>
      </c>
      <c r="AK84" s="13">
        <f t="shared" si="89"/>
        <v>39.004459236504758</v>
      </c>
      <c r="AL84" s="20">
        <f t="shared" si="58"/>
        <v>332.44901850357911</v>
      </c>
      <c r="AM84" s="59">
        <f t="shared" si="59"/>
        <v>625.78235183691243</v>
      </c>
      <c r="AN84" s="59">
        <f ca="1">AVERAGE(OFFSET($AM$3,0,0,'Données projet'!$E$10+1,1))-AVERAGE(OFFSET($H$3,0,0,'Données projet'!$E$10+1,1))</f>
        <v>244.43587473734613</v>
      </c>
      <c r="AO84" s="59">
        <f t="shared" si="90"/>
        <v>256.80261402149375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2.4045594762703981</v>
      </c>
      <c r="AV84" s="21">
        <f>EXP(-LN(2)/25)*AV83+(1-EXP(-LN(2)/25))/(LN(2)/25)*Calculateur!AQ84*Calculateur!AS84*VLOOKUP('Données projet'!$B$10,Paramètres!$A$1:$I$89,3,0)*0.475*44/12</f>
        <v>12.482088234529622</v>
      </c>
      <c r="AW84" s="21">
        <f>EXP(-LN(2)/2)*AW83+(1-EXP(-LN(2)/2))/(LN(2)/2)*AQ84*AT84*VLOOKUP('Données projet'!$B$10,Paramètres!$A$1:$I$89,3,0)*0.475*44/12</f>
        <v>1.9119174494667739</v>
      </c>
      <c r="AX84" s="21">
        <f t="shared" si="60"/>
        <v>16.798565160266794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-2.2737367544323206E-13</v>
      </c>
      <c r="BE84" s="13">
        <f>BD84*VLOOKUP('Données projet'!$B$11,Paramètres!$A$1:$I$89,3,0)*VLOOKUP('Données projet'!$B$11,Paramètres!$A$1:$I$89,5,0)</f>
        <v>-1.2710188457276673E-13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430.60186171079067</v>
      </c>
      <c r="BJ84" s="59">
        <f t="shared" si="92"/>
        <v>533.76627289533985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170.73345146648552</v>
      </c>
      <c r="BQ84" s="21">
        <f>EXP(-LN(2)/25)*BQ83+(1-EXP(-LN(2)/25))/(LN(2)/25)*Calculateur!BL84*Calculateur!BN84*VLOOKUP('Données projet'!$B$11,Paramètres!$A$1:$I$89,3,0)*0.475*44/12</f>
        <v>35.990269027458773</v>
      </c>
      <c r="BR84" s="21">
        <f>EXP(-LN(2)/2)*BR83+(1-EXP(-LN(2)/2))/(LN(2)/2)*BL84*BO84*VLOOKUP('Données projet'!$B$11,Paramètres!$A$1:$I$89,3,0)*0.475*44/12</f>
        <v>3.8891460192105709E-2</v>
      </c>
      <c r="BS84" s="22">
        <f t="shared" si="63"/>
        <v>206.76261195413639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-1.69961822393816E-13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215.89467197072673</v>
      </c>
      <c r="CE84" s="59">
        <f t="shared" si="94"/>
        <v>188.21397398859534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111.95595518114092</v>
      </c>
      <c r="CL84" s="21">
        <f>EXP(-LN(2)/25)*CL83+(1-EXP(-LN(2)/25))/(LN(2)/25)*Calculateur!CG84*Calculateur!CI84*VLOOKUP('Données projet'!$B$12,Paramètres!$A$1:$I$89,3,0)*0.475*44/12</f>
        <v>27.219656816769714</v>
      </c>
      <c r="CM84" s="21">
        <f>EXP(-LN(2)/2)*CM83+(1-EXP(-LN(2)/2))/(LN(2)/2)*CG84*CJ84*VLOOKUP('Données projet'!$B$12,Paramètres!$A$1:$I$89,3,0)*0.475*44/12</f>
        <v>19.711999640189077</v>
      </c>
      <c r="CN84" s="22">
        <f t="shared" si="66"/>
        <v>158.88761163809971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4.7037037037037051</v>
      </c>
      <c r="CT84" s="12">
        <f>IF('Données projet'!$A$140&gt;35,CT83+CS84-DB83,IF(A84&lt;'Données projet'!$A$140,$CQ$205^A84,IF(A84='Données projet'!$A$140,'Données projet'!$B$140,CT83+CS84-DB83)))</f>
        <v>144.46225071225078</v>
      </c>
      <c r="CU84" s="17">
        <f>CT84*VLOOKUP('Données projet'!$B$13,Paramètres!$A$1:$I$89,3,0)*VLOOKUP('Données projet'!$B$13,Paramètres!$A$1:$I$89,5,0)</f>
        <v>146.4847222222223</v>
      </c>
      <c r="CV84" s="13">
        <f t="shared" si="95"/>
        <v>37.778626923236629</v>
      </c>
      <c r="CW84" s="20">
        <f t="shared" si="67"/>
        <v>320.9253330950076</v>
      </c>
      <c r="CX84" s="59">
        <f t="shared" si="68"/>
        <v>614.25866642834092</v>
      </c>
      <c r="CY84" s="59">
        <f ca="1">AVERAGE(OFFSET($CX$3,0,0,'Données projet'!$E$13+1,1))-AVERAGE(OFFSET($H$3,0,0,'Données projet'!$E$13+1,1))</f>
        <v>342.82846711287749</v>
      </c>
      <c r="CZ84" s="59">
        <f t="shared" si="96"/>
        <v>152.87724741106297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>
        <f>DO84*VLOOKUP('Données projet'!$B$14,Paramètres!$A$1:$I$89,3,0)*VLOOKUP('Données projet'!$B$14,Paramètres!$A$1:$I$89,5,0)</f>
        <v>0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208.48147873805715</v>
      </c>
      <c r="DU84" s="59">
        <f t="shared" si="98"/>
        <v>209.50570914630686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57.031595127971009</v>
      </c>
      <c r="EB84" s="21">
        <f>EXP(-LN(2)/25)*EB83+(1-EXP(-LN(2)/25))/(LN(2)/25)*Calculateur!DW84*Calculateur!DY84*VLOOKUP('Données projet'!$B$14,Paramètres!$A$1:$I$89,3,0)*0.475*44/12</f>
        <v>18.581294101167906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75.612889229138915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-1.7053025658242404E-13</v>
      </c>
      <c r="EK84" s="17">
        <f>EJ84*VLOOKUP('Données projet'!$B$15,Paramètres!$A$1:$I$89,3,0)*VLOOKUP('Données projet'!$B$15,Paramètres!$A$1:$I$89,5,0)</f>
        <v>-1.0197709343628959E-13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247.31680974612766</v>
      </c>
      <c r="EP84" s="59">
        <f t="shared" si="100"/>
        <v>257.13949761071882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85.584619978704524</v>
      </c>
      <c r="EW84" s="21">
        <f>EXP(-LN(2)/25)*EW83+(1-EXP(-LN(2)/25))/(LN(2)/25)*Calculateur!ER84*Calculateur!ET84*VLOOKUP('Données projet'!$B$15,Paramètres!$A$1:$I$89,3,0)*0.475*44/12</f>
        <v>20.188363537578439</v>
      </c>
      <c r="EX84" s="21">
        <f>EXP(-LN(2)/2)*EX83+(1-EXP(-LN(2)/2))/(LN(2)/2)*ER84*EU84*VLOOKUP('Données projet'!$B$15,Paramètres!$A$1:$I$89,3,0)*0.475*44/12</f>
        <v>2.2071432532521293E-2</v>
      </c>
      <c r="EY84" s="22">
        <f t="shared" si="75"/>
        <v>105.79505494881549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14.582879999999985</v>
      </c>
      <c r="D85" s="11">
        <f t="shared" si="86"/>
        <v>4.9195344549132445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30.108990737409901</v>
      </c>
      <c r="H85" s="67">
        <f t="shared" si="56"/>
        <v>290.63337184230721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9.001923076923072</v>
      </c>
      <c r="N85" s="13">
        <f>IF('Données projet'!$A$36&gt;35,N84+M85-V84,IF(A85&lt;'Données projet'!$A$36,$K$205^A85,IF(A85='Données projet'!$A$36,'Données projet'!$B$36,N84+M85-V84)))</f>
        <v>338.12884615384644</v>
      </c>
      <c r="O85" s="13">
        <f>N85*VLOOKUP('Données projet'!$B$9,Paramètres!$A$1:$I$89,3,0)*VLOOKUP('Données projet'!$B$9,Paramètres!$A$1:$I$89,5,0)</f>
        <v>158.24430000000012</v>
      </c>
      <c r="P85" s="13">
        <f t="shared" si="87"/>
        <v>40.446258430453724</v>
      </c>
      <c r="Q85" s="20">
        <f t="shared" si="54"/>
        <v>346.05272259970707</v>
      </c>
      <c r="R85" s="59">
        <f t="shared" si="55"/>
        <v>639.38605593304032</v>
      </c>
      <c r="S85" s="59">
        <f ca="1">AVERAGE(OFFSET($R$3,0,0,'Données projet'!$E$9+1,1))-AVERAGE(OFFSET($H$3,0,0,'Données projet'!$E$9+1,1))</f>
        <v>223.99456146593315</v>
      </c>
      <c r="T85" s="59">
        <f t="shared" si="88"/>
        <v>132.73290587325937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35.494984885098013</v>
      </c>
      <c r="AA85" s="21">
        <f>EXP(-LN(2)/25)*AA84+(1-EXP(-LN(2)/25))/(LN(2)/25)*Calculateur!V85*Calculateur!X85*VLOOKUP('Données projet'!$B$9,Paramètres!$A$1:$I$89,3,0)*0.475*44/12</f>
        <v>15.752372698828818</v>
      </c>
      <c r="AB85" s="21">
        <f>EXP(-LN(2)/2)*AB84+(1-EXP(-LN(2)/2))/(LN(2)/2)*V85*Y85*VLOOKUP('Données projet'!$B$9,Paramètres!$A$1:$I$89,3,0)*0.475*44/12</f>
        <v>0.53867643533226506</v>
      </c>
      <c r="AC85" s="22">
        <f t="shared" si="57"/>
        <v>51.786034019259091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3.8</v>
      </c>
      <c r="AI85" s="13">
        <f>IF('Données projet'!$A$62&gt;35,AI84+AH85-AQ84,IF(A85&lt;'Données projet'!$A$62,$AF$205^A85,IF(A85='Données projet'!$A$62,'Données projet'!$B$62,AI84+AH85-AQ84)))</f>
        <v>235.60000000000008</v>
      </c>
      <c r="AJ85" s="13">
        <f>AI85*VLOOKUP('Données projet'!$B$10,Paramètres!$A$1:$I$89,3,0)*VLOOKUP('Données projet'!$B$10,Paramètres!$A$1:$I$89,5,0)</f>
        <v>154.36512000000005</v>
      </c>
      <c r="AK85" s="13">
        <f t="shared" si="89"/>
        <v>39.568912624848309</v>
      </c>
      <c r="AL85" s="20">
        <f t="shared" si="58"/>
        <v>337.76844015494419</v>
      </c>
      <c r="AM85" s="59">
        <f t="shared" si="59"/>
        <v>631.10177348827756</v>
      </c>
      <c r="AN85" s="59">
        <f ca="1">AVERAGE(OFFSET($AM$3,0,0,'Données projet'!$E$10+1,1))-AVERAGE(OFFSET($H$3,0,0,'Données projet'!$E$10+1,1))</f>
        <v>244.43587473734613</v>
      </c>
      <c r="AO85" s="59">
        <f t="shared" si="90"/>
        <v>256.80261402149375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2.3574075315771976</v>
      </c>
      <c r="AV85" s="21">
        <f>EXP(-LN(2)/25)*AV84+(1-EXP(-LN(2)/25))/(LN(2)/25)*Calculateur!AQ85*Calculateur!AS85*VLOOKUP('Données projet'!$B$10,Paramètres!$A$1:$I$89,3,0)*0.475*44/12</f>
        <v>12.140764875351916</v>
      </c>
      <c r="AW85" s="21">
        <f>EXP(-LN(2)/2)*AW84+(1-EXP(-LN(2)/2))/(LN(2)/2)*AQ85*AT85*VLOOKUP('Données projet'!$B$10,Paramètres!$A$1:$I$89,3,0)*0.475*44/12</f>
        <v>1.3519297935868442</v>
      </c>
      <c r="AX85" s="21">
        <f t="shared" si="60"/>
        <v>15.850102200515959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-2.2737367544323206E-13</v>
      </c>
      <c r="BE85" s="13">
        <f>BD85*VLOOKUP('Données projet'!$B$11,Paramètres!$A$1:$I$89,3,0)*VLOOKUP('Données projet'!$B$11,Paramètres!$A$1:$I$89,5,0)</f>
        <v>-1.2710188457276673E-13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430.60186171079067</v>
      </c>
      <c r="BJ85" s="59">
        <f t="shared" si="92"/>
        <v>533.76627289533985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167.38547262035044</v>
      </c>
      <c r="BQ85" s="21">
        <f>EXP(-LN(2)/25)*BQ84+(1-EXP(-LN(2)/25))/(LN(2)/25)*Calculateur!BL85*Calculateur!BN85*VLOOKUP('Données projet'!$B$11,Paramètres!$A$1:$I$89,3,0)*0.475*44/12</f>
        <v>35.006113228256922</v>
      </c>
      <c r="BR85" s="21">
        <f>EXP(-LN(2)/2)*BR84+(1-EXP(-LN(2)/2))/(LN(2)/2)*BL85*BO85*VLOOKUP('Données projet'!$B$11,Paramètres!$A$1:$I$89,3,0)*0.475*44/12</f>
        <v>2.7500415232084616E-2</v>
      </c>
      <c r="BS85" s="22">
        <f t="shared" si="63"/>
        <v>202.41908626383943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-1.69961822393816E-13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215.89467197072673</v>
      </c>
      <c r="CE85" s="59">
        <f t="shared" si="94"/>
        <v>188.21397398859534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109.76056718642869</v>
      </c>
      <c r="CL85" s="21">
        <f>EXP(-LN(2)/25)*CL84+(1-EXP(-LN(2)/25))/(LN(2)/25)*Calculateur!CG85*Calculateur!CI85*VLOOKUP('Données projet'!$B$12,Paramètres!$A$1:$I$89,3,0)*0.475*44/12</f>
        <v>26.475333869695604</v>
      </c>
      <c r="CM85" s="21">
        <f>EXP(-LN(2)/2)*CM84+(1-EXP(-LN(2)/2))/(LN(2)/2)*CG85*CJ85*VLOOKUP('Données projet'!$B$12,Paramètres!$A$1:$I$89,3,0)*0.475*44/12</f>
        <v>13.938488616324483</v>
      </c>
      <c r="CN85" s="22">
        <f t="shared" si="66"/>
        <v>150.1743896724488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4.7037037037037051</v>
      </c>
      <c r="CT85" s="12">
        <f>IF('Données projet'!$A$140&gt;35,CT84+CS85-DB84,IF(A85&lt;'Données projet'!$A$140,$CQ$205^A85,IF(A85='Données projet'!$A$140,'Données projet'!$B$140,CT84+CS85-DB84)))</f>
        <v>149.16595441595447</v>
      </c>
      <c r="CU85" s="17">
        <f>CT85*VLOOKUP('Données projet'!$B$13,Paramètres!$A$1:$I$89,3,0)*VLOOKUP('Données projet'!$B$13,Paramètres!$A$1:$I$89,5,0)</f>
        <v>151.25427777777784</v>
      </c>
      <c r="CV85" s="13">
        <f t="shared" si="95"/>
        <v>38.863486459330588</v>
      </c>
      <c r="CW85" s="20">
        <f t="shared" si="67"/>
        <v>331.12177271296383</v>
      </c>
      <c r="CX85" s="59">
        <f t="shared" si="68"/>
        <v>624.45510604629715</v>
      </c>
      <c r="CY85" s="59">
        <f ca="1">AVERAGE(OFFSET($CX$3,0,0,'Données projet'!$E$13+1,1))-AVERAGE(OFFSET($H$3,0,0,'Données projet'!$E$13+1,1))</f>
        <v>342.82846711287749</v>
      </c>
      <c r="CZ85" s="59">
        <f t="shared" si="96"/>
        <v>152.87724741106297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>
        <f>DO85*VLOOKUP('Données projet'!$B$14,Paramètres!$A$1:$I$89,3,0)*VLOOKUP('Données projet'!$B$14,Paramètres!$A$1:$I$89,5,0)</f>
        <v>0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208.48147873805715</v>
      </c>
      <c r="DU85" s="59">
        <f t="shared" si="98"/>
        <v>209.50570914630686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55.913240333349712</v>
      </c>
      <c r="EB85" s="21">
        <f>EXP(-LN(2)/25)*EB84+(1-EXP(-LN(2)/25))/(LN(2)/25)*Calculateur!DW85*Calculateur!DY85*VLOOKUP('Données projet'!$B$14,Paramètres!$A$1:$I$89,3,0)*0.475*44/12</f>
        <v>18.073187636823679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73.986427970173395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-1.7053025658242404E-13</v>
      </c>
      <c r="EK85" s="17">
        <f>EJ85*VLOOKUP('Données projet'!$B$15,Paramètres!$A$1:$I$89,3,0)*VLOOKUP('Données projet'!$B$15,Paramètres!$A$1:$I$89,5,0)</f>
        <v>-1.0197709343628959E-13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247.31680974612766</v>
      </c>
      <c r="EP85" s="59">
        <f t="shared" si="100"/>
        <v>257.13949761071882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83.906357782385854</v>
      </c>
      <c r="EW85" s="21">
        <f>EXP(-LN(2)/25)*EW84+(1-EXP(-LN(2)/25))/(LN(2)/25)*Calculateur!ER85*Calculateur!ET85*VLOOKUP('Données projet'!$B$15,Paramètres!$A$1:$I$89,3,0)*0.475*44/12</f>
        <v>19.63631167498346</v>
      </c>
      <c r="EX85" s="21">
        <f>EXP(-LN(2)/2)*EX84+(1-EXP(-LN(2)/2))/(LN(2)/2)*ER85*EU85*VLOOKUP('Données projet'!$B$15,Paramètres!$A$1:$I$89,3,0)*0.475*44/12</f>
        <v>1.5606859614247182E-2</v>
      </c>
      <c r="EY85" s="22">
        <f t="shared" si="75"/>
        <v>103.55827631698357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14.760719999999985</v>
      </c>
      <c r="D86" s="11">
        <f t="shared" si="86"/>
        <v>4.9725079831684713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30.465334430154808</v>
      </c>
      <c r="H86" s="67">
        <f t="shared" si="56"/>
        <v>291.03537207068507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9.001923076923072</v>
      </c>
      <c r="N86" s="13">
        <f>IF('Données projet'!$A$36&gt;35,N85+M86-V85,IF(A86&lt;'Données projet'!$A$36,$K$205^A86,IF(A86='Données projet'!$A$36,'Données projet'!$B$36,N85+M86-V85)))</f>
        <v>347.13076923076949</v>
      </c>
      <c r="O86" s="13">
        <f>N86*VLOOKUP('Données projet'!$B$9,Paramètres!$A$1:$I$89,3,0)*VLOOKUP('Données projet'!$B$9,Paramètres!$A$1:$I$89,5,0)</f>
        <v>162.45720000000011</v>
      </c>
      <c r="P86" s="13">
        <f t="shared" si="87"/>
        <v>41.396251160974799</v>
      </c>
      <c r="Q86" s="20">
        <f t="shared" si="54"/>
        <v>355.04476077203134</v>
      </c>
      <c r="R86" s="59">
        <f t="shared" si="55"/>
        <v>648.37809410536465</v>
      </c>
      <c r="S86" s="59">
        <f ca="1">AVERAGE(OFFSET($R$3,0,0,'Données projet'!$E$9+1,1))-AVERAGE(OFFSET($H$3,0,0,'Données projet'!$E$9+1,1))</f>
        <v>223.99456146593315</v>
      </c>
      <c r="T86" s="59">
        <f t="shared" si="88"/>
        <v>132.73290587325937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34.798949881304281</v>
      </c>
      <c r="AA86" s="21">
        <f>EXP(-LN(2)/25)*AA85+(1-EXP(-LN(2)/25))/(LN(2)/25)*Calculateur!V86*Calculateur!X86*VLOOKUP('Données projet'!$B$9,Paramètres!$A$1:$I$89,3,0)*0.475*44/12</f>
        <v>15.321623238998066</v>
      </c>
      <c r="AB86" s="21">
        <f>EXP(-LN(2)/2)*AB85+(1-EXP(-LN(2)/2))/(LN(2)/2)*V86*Y86*VLOOKUP('Données projet'!$B$9,Paramètres!$A$1:$I$89,3,0)*0.475*44/12</f>
        <v>0.38090176028884137</v>
      </c>
      <c r="AC86" s="22">
        <f t="shared" si="57"/>
        <v>50.501474880591189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3.8</v>
      </c>
      <c r="AI86" s="13">
        <f>IF('Données projet'!$A$62&gt;35,AI85+AH86-AQ85,IF(A86&lt;'Données projet'!$A$62,$AF$205^A86,IF(A86='Données projet'!$A$62,'Données projet'!$B$62,AI85+AH86-AQ85)))</f>
        <v>239.40000000000009</v>
      </c>
      <c r="AJ86" s="13">
        <f>AI86*VLOOKUP('Données projet'!$B$10,Paramètres!$A$1:$I$89,3,0)*VLOOKUP('Données projet'!$B$10,Paramètres!$A$1:$I$89,5,0)</f>
        <v>156.85488000000007</v>
      </c>
      <c r="AK86" s="13">
        <f t="shared" si="89"/>
        <v>40.132307243083858</v>
      </c>
      <c r="AL86" s="20">
        <f t="shared" si="58"/>
        <v>343.08601778170447</v>
      </c>
      <c r="AM86" s="59">
        <f t="shared" si="59"/>
        <v>636.41935111503778</v>
      </c>
      <c r="AN86" s="59">
        <f ca="1">AVERAGE(OFFSET($AM$3,0,0,'Données projet'!$E$10+1,1))-AVERAGE(OFFSET($H$3,0,0,'Données projet'!$E$10+1,1))</f>
        <v>244.43587473734613</v>
      </c>
      <c r="AO86" s="59">
        <f t="shared" si="90"/>
        <v>256.80261402149375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2.3111802077595844</v>
      </c>
      <c r="AV86" s="21">
        <f>EXP(-LN(2)/25)*AV85+(1-EXP(-LN(2)/25))/(LN(2)/25)*Calculateur!AQ86*Calculateur!AS86*VLOOKUP('Données projet'!$B$10,Paramètres!$A$1:$I$89,3,0)*0.475*44/12</f>
        <v>11.808775021380342</v>
      </c>
      <c r="AW86" s="21">
        <f>EXP(-LN(2)/2)*AW85+(1-EXP(-LN(2)/2))/(LN(2)/2)*AQ86*AT86*VLOOKUP('Données projet'!$B$10,Paramètres!$A$1:$I$89,3,0)*0.475*44/12</f>
        <v>0.95595872473338706</v>
      </c>
      <c r="AX86" s="21">
        <f t="shared" si="60"/>
        <v>15.075913953873313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-2.2737367544323206E-13</v>
      </c>
      <c r="BE86" s="13">
        <f>BD86*VLOOKUP('Données projet'!$B$11,Paramètres!$A$1:$I$89,3,0)*VLOOKUP('Données projet'!$B$11,Paramètres!$A$1:$I$89,5,0)</f>
        <v>-1.2710188457276673E-13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430.60186171079067</v>
      </c>
      <c r="BJ86" s="59">
        <f t="shared" si="92"/>
        <v>533.76627289533985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164.10314559732262</v>
      </c>
      <c r="BQ86" s="21">
        <f>EXP(-LN(2)/25)*BQ85+(1-EXP(-LN(2)/25))/(LN(2)/25)*Calculateur!BL86*Calculateur!BN86*VLOOKUP('Données projet'!$B$11,Paramètres!$A$1:$I$89,3,0)*0.475*44/12</f>
        <v>34.048869221138752</v>
      </c>
      <c r="BR86" s="21">
        <f>EXP(-LN(2)/2)*BR85+(1-EXP(-LN(2)/2))/(LN(2)/2)*BL86*BO86*VLOOKUP('Données projet'!$B$11,Paramètres!$A$1:$I$89,3,0)*0.475*44/12</f>
        <v>1.9445730096052855E-2</v>
      </c>
      <c r="BS86" s="22">
        <f t="shared" si="63"/>
        <v>198.17146054855743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-1.69961822393816E-13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215.89467197072673</v>
      </c>
      <c r="CE86" s="59">
        <f t="shared" si="94"/>
        <v>188.21397398859534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107.6082294112383</v>
      </c>
      <c r="CL86" s="21">
        <f>EXP(-LN(2)/25)*CL85+(1-EXP(-LN(2)/25))/(LN(2)/25)*Calculateur!CG86*Calculateur!CI86*VLOOKUP('Données projet'!$B$12,Paramètres!$A$1:$I$89,3,0)*0.475*44/12</f>
        <v>25.751364472751479</v>
      </c>
      <c r="CM86" s="21">
        <f>EXP(-LN(2)/2)*CM85+(1-EXP(-LN(2)/2))/(LN(2)/2)*CG86*CJ86*VLOOKUP('Données projet'!$B$12,Paramètres!$A$1:$I$89,3,0)*0.475*44/12</f>
        <v>9.8559998200945405</v>
      </c>
      <c r="CN86" s="22">
        <f t="shared" si="66"/>
        <v>143.21559370408434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4.7037037037037051</v>
      </c>
      <c r="CT86" s="12">
        <f>IF('Données projet'!$A$140&gt;35,CT85+CS86-DB85,IF(A86&lt;'Données projet'!$A$140,$CQ$205^A86,IF(A86='Données projet'!$A$140,'Données projet'!$B$140,CT85+CS86-DB85)))</f>
        <v>153.86965811965817</v>
      </c>
      <c r="CU86" s="17">
        <f>CT86*VLOOKUP('Données projet'!$B$13,Paramètres!$A$1:$I$89,3,0)*VLOOKUP('Données projet'!$B$13,Paramètres!$A$1:$I$89,5,0)</f>
        <v>156.02383333333339</v>
      </c>
      <c r="CV86" s="13">
        <f t="shared" si="95"/>
        <v>39.944370639730963</v>
      </c>
      <c r="CW86" s="20">
        <f t="shared" si="67"/>
        <v>341.3112885864204</v>
      </c>
      <c r="CX86" s="59">
        <f t="shared" si="68"/>
        <v>634.64462191975372</v>
      </c>
      <c r="CY86" s="59">
        <f ca="1">AVERAGE(OFFSET($CX$3,0,0,'Données projet'!$E$13+1,1))-AVERAGE(OFFSET($H$3,0,0,'Données projet'!$E$13+1,1))</f>
        <v>342.82846711287749</v>
      </c>
      <c r="CZ86" s="59">
        <f t="shared" si="96"/>
        <v>152.87724741106297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>
        <f>DO86*VLOOKUP('Données projet'!$B$14,Paramètres!$A$1:$I$89,3,0)*VLOOKUP('Données projet'!$B$14,Paramètres!$A$1:$I$89,5,0)</f>
        <v>0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208.48147873805715</v>
      </c>
      <c r="DU86" s="59">
        <f t="shared" si="98"/>
        <v>209.50570914630686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54.816815794121865</v>
      </c>
      <c r="EB86" s="21">
        <f>EXP(-LN(2)/25)*EB85+(1-EXP(-LN(2)/25))/(LN(2)/25)*Calculateur!DW86*Calculateur!DY86*VLOOKUP('Données projet'!$B$14,Paramètres!$A$1:$I$89,3,0)*0.475*44/12</f>
        <v>17.578975370467106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72.395791164588971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-1.7053025658242404E-13</v>
      </c>
      <c r="EK86" s="17">
        <f>EJ86*VLOOKUP('Données projet'!$B$15,Paramètres!$A$1:$I$89,3,0)*VLOOKUP('Données projet'!$B$15,Paramètres!$A$1:$I$89,5,0)</f>
        <v>-1.0197709343628959E-13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247.31680974612766</v>
      </c>
      <c r="EP86" s="59">
        <f t="shared" si="100"/>
        <v>257.13949761071882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82.261005284098118</v>
      </c>
      <c r="EW86" s="21">
        <f>EXP(-LN(2)/25)*EW85+(1-EXP(-LN(2)/25))/(LN(2)/25)*Calculateur!ER86*Calculateur!ET86*VLOOKUP('Données projet'!$B$15,Paramètres!$A$1:$I$89,3,0)*0.475*44/12</f>
        <v>19.099355699602285</v>
      </c>
      <c r="EX86" s="21">
        <f>EXP(-LN(2)/2)*EX85+(1-EXP(-LN(2)/2))/(LN(2)/2)*ER86*EU86*VLOOKUP('Données projet'!$B$15,Paramètres!$A$1:$I$89,3,0)*0.475*44/12</f>
        <v>1.1035716266260648E-2</v>
      </c>
      <c r="EY86" s="22">
        <f t="shared" si="75"/>
        <v>101.37139669996667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14.938559999999985</v>
      </c>
      <c r="D87" s="11">
        <f t="shared" si="86"/>
        <v>5.0254072710062836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30.821563506114941</v>
      </c>
      <c r="H87" s="67">
        <f t="shared" si="56"/>
        <v>291.43724299700261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9.001923076923072</v>
      </c>
      <c r="N87" s="13">
        <f>IF('Données projet'!$A$36&gt;35,N86+M87-V86,IF(A87&lt;'Données projet'!$A$36,$K$205^A87,IF(A87='Données projet'!$A$36,'Données projet'!$B$36,N86+M87-V86)))</f>
        <v>356.13269230769254</v>
      </c>
      <c r="O87" s="13">
        <f>N87*VLOOKUP('Données projet'!$B$9,Paramètres!$A$1:$I$89,3,0)*VLOOKUP('Données projet'!$B$9,Paramètres!$A$1:$I$89,5,0)</f>
        <v>166.6701000000001</v>
      </c>
      <c r="P87" s="13">
        <f t="shared" si="87"/>
        <v>42.34338029651839</v>
      </c>
      <c r="Q87" s="20">
        <f t="shared" si="54"/>
        <v>364.03181151643639</v>
      </c>
      <c r="R87" s="59">
        <f t="shared" si="55"/>
        <v>657.36514484976965</v>
      </c>
      <c r="S87" s="59">
        <f ca="1">AVERAGE(OFFSET($R$3,0,0,'Données projet'!$E$9+1,1))-AVERAGE(OFFSET($H$3,0,0,'Données projet'!$E$9+1,1))</f>
        <v>223.99456146593315</v>
      </c>
      <c r="T87" s="59">
        <f t="shared" si="88"/>
        <v>132.73290587325937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34.116563699395513</v>
      </c>
      <c r="AA87" s="21">
        <f>EXP(-LN(2)/25)*AA86+(1-EXP(-LN(2)/25))/(LN(2)/25)*Calculateur!V87*Calculateur!X87*VLOOKUP('Données projet'!$B$9,Paramètres!$A$1:$I$89,3,0)*0.475*44/12</f>
        <v>14.902652645798517</v>
      </c>
      <c r="AB87" s="21">
        <f>EXP(-LN(2)/2)*AB86+(1-EXP(-LN(2)/2))/(LN(2)/2)*V87*Y87*VLOOKUP('Données projet'!$B$9,Paramètres!$A$1:$I$89,3,0)*0.475*44/12</f>
        <v>0.26933821766613253</v>
      </c>
      <c r="AC87" s="22">
        <f t="shared" si="57"/>
        <v>49.288554562860163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3.8</v>
      </c>
      <c r="AI87" s="13">
        <f>IF('Données projet'!$A$62&gt;35,AI86+AH87-AQ86,IF(A87&lt;'Données projet'!$A$62,$AF$205^A87,IF(A87='Données projet'!$A$62,'Données projet'!$B$62,AI86+AH87-AQ86)))</f>
        <v>243.2000000000001</v>
      </c>
      <c r="AJ87" s="13">
        <f>AI87*VLOOKUP('Données projet'!$B$10,Paramètres!$A$1:$I$89,3,0)*VLOOKUP('Données projet'!$B$10,Paramètres!$A$1:$I$89,5,0)</f>
        <v>159.34464000000006</v>
      </c>
      <c r="AK87" s="13">
        <f t="shared" si="89"/>
        <v>40.694661837553809</v>
      </c>
      <c r="AL87" s="20">
        <f t="shared" si="58"/>
        <v>348.40178403373966</v>
      </c>
      <c r="AM87" s="59">
        <f t="shared" si="59"/>
        <v>641.73511736707292</v>
      </c>
      <c r="AN87" s="59">
        <f ca="1">AVERAGE(OFFSET($AM$3,0,0,'Données projet'!$E$10+1,1))-AVERAGE(OFFSET($H$3,0,0,'Données projet'!$E$10+1,1))</f>
        <v>244.43587473734613</v>
      </c>
      <c r="AO87" s="59">
        <f t="shared" si="90"/>
        <v>256.80261402149375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2.2658593735661512</v>
      </c>
      <c r="AV87" s="21">
        <f>EXP(-LN(2)/25)*AV86+(1-EXP(-LN(2)/25))/(LN(2)/25)*Calculateur!AQ87*Calculateur!AS87*VLOOKUP('Données projet'!$B$10,Paramètres!$A$1:$I$89,3,0)*0.475*44/12</f>
        <v>11.485863447424208</v>
      </c>
      <c r="AW87" s="21">
        <f>EXP(-LN(2)/2)*AW86+(1-EXP(-LN(2)/2))/(LN(2)/2)*AQ87*AT87*VLOOKUP('Données projet'!$B$10,Paramètres!$A$1:$I$89,3,0)*0.475*44/12</f>
        <v>0.6759648967934222</v>
      </c>
      <c r="AX87" s="21">
        <f t="shared" si="60"/>
        <v>14.427687717783781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-2.2737367544323206E-13</v>
      </c>
      <c r="BE87" s="13">
        <f>BD87*VLOOKUP('Données projet'!$B$11,Paramètres!$A$1:$I$89,3,0)*VLOOKUP('Données projet'!$B$11,Paramètres!$A$1:$I$89,5,0)</f>
        <v>-1.2710188457276673E-13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430.60186171079067</v>
      </c>
      <c r="BJ87" s="59">
        <f t="shared" si="92"/>
        <v>533.76627289533985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160.88518300519456</v>
      </c>
      <c r="BQ87" s="21">
        <f>EXP(-LN(2)/25)*BQ86+(1-EXP(-LN(2)/25))/(LN(2)/25)*Calculateur!BL87*Calculateur!BN87*VLOOKUP('Données projet'!$B$11,Paramètres!$A$1:$I$89,3,0)*0.475*44/12</f>
        <v>33.1178011017345</v>
      </c>
      <c r="BR87" s="21">
        <f>EXP(-LN(2)/2)*BR86+(1-EXP(-LN(2)/2))/(LN(2)/2)*BL87*BO87*VLOOKUP('Données projet'!$B$11,Paramètres!$A$1:$I$89,3,0)*0.475*44/12</f>
        <v>1.3750207616042308E-2</v>
      </c>
      <c r="BS87" s="22">
        <f t="shared" si="63"/>
        <v>194.01673431454512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-1.69961822393816E-13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215.89467197072673</v>
      </c>
      <c r="CE87" s="59">
        <f t="shared" si="94"/>
        <v>188.21397398859534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105.49809766702299</v>
      </c>
      <c r="CL87" s="21">
        <f>EXP(-LN(2)/25)*CL86+(1-EXP(-LN(2)/25))/(LN(2)/25)*Calculateur!CG87*Calculateur!CI87*VLOOKUP('Données projet'!$B$12,Paramètres!$A$1:$I$89,3,0)*0.475*44/12</f>
        <v>25.047192057038689</v>
      </c>
      <c r="CM87" s="21">
        <f>EXP(-LN(2)/2)*CM86+(1-EXP(-LN(2)/2))/(LN(2)/2)*CG87*CJ87*VLOOKUP('Données projet'!$B$12,Paramètres!$A$1:$I$89,3,0)*0.475*44/12</f>
        <v>6.9692443081622422</v>
      </c>
      <c r="CN87" s="22">
        <f t="shared" si="66"/>
        <v>137.51453403222393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4.7037037037037051</v>
      </c>
      <c r="CT87" s="12">
        <f>IF('Données projet'!$A$140&gt;35,CT86+CS87-DB86,IF(A87&lt;'Données projet'!$A$140,$CQ$205^A87,IF(A87='Données projet'!$A$140,'Données projet'!$B$140,CT86+CS87-DB86)))</f>
        <v>158.57336182336186</v>
      </c>
      <c r="CU87" s="17">
        <f>CT87*VLOOKUP('Données projet'!$B$13,Paramètres!$A$1:$I$89,3,0)*VLOOKUP('Données projet'!$B$13,Paramètres!$A$1:$I$89,5,0)</f>
        <v>160.79338888888896</v>
      </c>
      <c r="CV87" s="13">
        <f t="shared" si="95"/>
        <v>41.021414935823614</v>
      </c>
      <c r="CW87" s="20">
        <f t="shared" si="67"/>
        <v>351.49411666137439</v>
      </c>
      <c r="CX87" s="59">
        <f t="shared" si="68"/>
        <v>644.82744999470765</v>
      </c>
      <c r="CY87" s="59">
        <f ca="1">AVERAGE(OFFSET($CX$3,0,0,'Données projet'!$E$13+1,1))-AVERAGE(OFFSET($H$3,0,0,'Données projet'!$E$13+1,1))</f>
        <v>342.82846711287749</v>
      </c>
      <c r="CZ87" s="59">
        <f t="shared" si="96"/>
        <v>152.87724741106297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>
        <f>DO87*VLOOKUP('Données projet'!$B$14,Paramètres!$A$1:$I$89,3,0)*VLOOKUP('Données projet'!$B$14,Paramètres!$A$1:$I$89,5,0)</f>
        <v>0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208.48147873805715</v>
      </c>
      <c r="DU87" s="59">
        <f t="shared" si="98"/>
        <v>209.50570914630686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53.741891471355345</v>
      </c>
      <c r="EB87" s="21">
        <f>EXP(-LN(2)/25)*EB86+(1-EXP(-LN(2)/25))/(LN(2)/25)*Calculateur!DW87*Calculateur!DY87*VLOOKUP('Données projet'!$B$14,Paramètres!$A$1:$I$89,3,0)*0.475*44/12</f>
        <v>17.098277364523547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70.840168835878899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-1.7053025658242404E-13</v>
      </c>
      <c r="EK87" s="17">
        <f>EJ87*VLOOKUP('Données projet'!$B$15,Paramètres!$A$1:$I$89,3,0)*VLOOKUP('Données projet'!$B$15,Paramètres!$A$1:$I$89,5,0)</f>
        <v>-1.0197709343628959E-13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247.31680974612766</v>
      </c>
      <c r="EP87" s="59">
        <f t="shared" si="100"/>
        <v>257.13949761071882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80.647917144735885</v>
      </c>
      <c r="EW87" s="21">
        <f>EXP(-LN(2)/25)*EW86+(1-EXP(-LN(2)/25))/(LN(2)/25)*Calculateur!ER87*Calculateur!ET87*VLOOKUP('Données projet'!$B$15,Paramètres!$A$1:$I$89,3,0)*0.475*44/12</f>
        <v>18.577082813605195</v>
      </c>
      <c r="EX87" s="21">
        <f>EXP(-LN(2)/2)*EX86+(1-EXP(-LN(2)/2))/(LN(2)/2)*ER87*EU87*VLOOKUP('Données projet'!$B$15,Paramètres!$A$1:$I$89,3,0)*0.475*44/12</f>
        <v>7.8034298071235917E-3</v>
      </c>
      <c r="EY87" s="22">
        <f t="shared" si="75"/>
        <v>99.232803388148199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15.116399999999985</v>
      </c>
      <c r="D88" s="11">
        <f t="shared" si="86"/>
        <v>5.0782333044806887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31.177679487619287</v>
      </c>
      <c r="H88" s="67">
        <f t="shared" si="56"/>
        <v>291.8389863386372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9.001923076923072</v>
      </c>
      <c r="N88" s="13">
        <f>IF('Données projet'!$A$36&gt;35,N87+M88-V87,IF(A88&lt;'Données projet'!$A$36,$K$205^A88,IF(A88='Données projet'!$A$36,'Données projet'!$B$36,N87+M88-V87)))</f>
        <v>365.13461538461559</v>
      </c>
      <c r="O88" s="13">
        <f>N88*VLOOKUP('Données projet'!$B$9,Paramètres!$A$1:$I$89,3,0)*VLOOKUP('Données projet'!$B$9,Paramètres!$A$1:$I$89,5,0)</f>
        <v>170.8830000000001</v>
      </c>
      <c r="P88" s="13">
        <f t="shared" si="87"/>
        <v>43.287726543807658</v>
      </c>
      <c r="Q88" s="20">
        <f t="shared" si="54"/>
        <v>373.0140153971318</v>
      </c>
      <c r="R88" s="59">
        <f t="shared" si="55"/>
        <v>666.34734873046511</v>
      </c>
      <c r="S88" s="59">
        <f ca="1">AVERAGE(OFFSET($R$3,0,0,'Données projet'!$E$9+1,1))-AVERAGE(OFFSET($H$3,0,0,'Données projet'!$E$9+1,1))</f>
        <v>223.99456146593315</v>
      </c>
      <c r="T88" s="59">
        <f t="shared" si="88"/>
        <v>132.73290587325937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33.447558694299502</v>
      </c>
      <c r="AA88" s="21">
        <f>EXP(-LN(2)/25)*AA87+(1-EXP(-LN(2)/25))/(LN(2)/25)*Calculateur!V88*Calculateur!X88*VLOOKUP('Données projet'!$B$9,Paramètres!$A$1:$I$89,3,0)*0.475*44/12</f>
        <v>14.495138825502714</v>
      </c>
      <c r="AB88" s="21">
        <f>EXP(-LN(2)/2)*AB87+(1-EXP(-LN(2)/2))/(LN(2)/2)*V88*Y88*VLOOKUP('Données projet'!$B$9,Paramètres!$A$1:$I$89,3,0)*0.475*44/12</f>
        <v>0.19045088014442069</v>
      </c>
      <c r="AC88" s="22">
        <f t="shared" si="57"/>
        <v>48.133148399946634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247</v>
      </c>
      <c r="AG88" s="12">
        <f>VLOOKUP(A88,'Données projet'!$A$61:$I$81,9,0)</f>
        <v>3.8</v>
      </c>
      <c r="AH88" s="12">
        <f t="array" ref="AH88">INDEX(AG:AG,MIN(IF(ISNUMBER(AG88:AG284),ROW(AG88:AG284),"")))</f>
        <v>3.8</v>
      </c>
      <c r="AI88" s="13">
        <f>IF('Données projet'!$A$62&gt;35,AI87+AH88-AQ87,IF(A88&lt;'Données projet'!$A$62,$AF$205^A88,IF(A88='Données projet'!$A$62,'Données projet'!$B$62,AI87+AH88-AQ87)))</f>
        <v>247.00000000000011</v>
      </c>
      <c r="AJ88" s="13">
        <f>AI88*VLOOKUP('Données projet'!$B$10,Paramètres!$A$1:$I$89,3,0)*VLOOKUP('Données projet'!$B$10,Paramètres!$A$1:$I$89,5,0)</f>
        <v>161.83440000000007</v>
      </c>
      <c r="AK88" s="13">
        <f t="shared" si="89"/>
        <v>41.255994535170515</v>
      </c>
      <c r="AL88" s="20">
        <f t="shared" si="58"/>
        <v>353.71577048208877</v>
      </c>
      <c r="AM88" s="59">
        <f t="shared" si="59"/>
        <v>647.04910381542209</v>
      </c>
      <c r="AN88" s="59">
        <f ca="1">AVERAGE(OFFSET($AM$3,0,0,'Données projet'!$E$10+1,1))-AVERAGE(OFFSET($H$3,0,0,'Données projet'!$E$10+1,1))</f>
        <v>244.43587473734613</v>
      </c>
      <c r="AO88" s="59">
        <f t="shared" si="90"/>
        <v>256.80261402149375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15</v>
      </c>
      <c r="AR88" s="16">
        <f>IF(ISNA(VLOOKUP(A88,'Données projet'!$A$61:$I$81,5,0)),0%,VLOOKUP(A88,'Données projet'!$A$61:$I$81,5,0)*VLOOKUP('Données projet'!$B$10,Paramètres!$A$1:$I$89,7,0))</f>
        <v>8.6000000000000007E-2</v>
      </c>
      <c r="AS88" s="16">
        <f>IF(ISNA(VLOOKUP(A88,'Données projet'!$A$61:$I$81,6,0)),0%,VLOOKUP(A88,'Données projet'!$A$61:$I$81,6,0)*VLOOKUP('Données projet'!$B$10,Paramètres!$A$1:$I$89,7,0))</f>
        <v>0.215</v>
      </c>
      <c r="AT88" s="16">
        <f>IF(ISNA(VLOOKUP(A88,'Données projet'!$A$61:$I$81,7,0)),0%,VLOOKUP(A88,'Données projet'!$A$61:$I$81,7,0))</f>
        <v>0.2</v>
      </c>
      <c r="AU88" s="21">
        <f>EXP(-LN(2)/35)*AU87+(1-EXP(-LN(2)/35))/(LN(2)/35)*AQ88*AR88*VLOOKUP('Données projet'!$B$10,Paramètres!$A$1:$I$89,3,0)*0.475*44/12</f>
        <v>3.1557796618325575</v>
      </c>
      <c r="AV88" s="21">
        <f>EXP(-LN(2)/25)*AV87+(1-EXP(-LN(2)/25))/(LN(2)/25)*Calculateur!AQ88*Calculateur!AS88*VLOOKUP('Données projet'!$B$10,Paramètres!$A$1:$I$89,3,0)*0.475*44/12</f>
        <v>13.498465675178256</v>
      </c>
      <c r="AW88" s="21">
        <f>EXP(-LN(2)/2)*AW87+(1-EXP(-LN(2)/2))/(LN(2)/2)*AQ88*AT88*VLOOKUP('Données projet'!$B$10,Paramètres!$A$1:$I$89,3,0)*0.475*44/12</f>
        <v>2.3325758657150448</v>
      </c>
      <c r="AX88" s="21">
        <f t="shared" si="60"/>
        <v>18.986821202725856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-2.2737367544323206E-13</v>
      </c>
      <c r="BE88" s="13">
        <f>BD88*VLOOKUP('Données projet'!$B$11,Paramètres!$A$1:$I$89,3,0)*VLOOKUP('Données projet'!$B$11,Paramètres!$A$1:$I$89,5,0)</f>
        <v>-1.2710188457276673E-13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430.60186171079067</v>
      </c>
      <c r="BJ88" s="59">
        <f t="shared" si="92"/>
        <v>533.76627289533985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157.73032269673476</v>
      </c>
      <c r="BQ88" s="21">
        <f>EXP(-LN(2)/25)*BQ87+(1-EXP(-LN(2)/25))/(LN(2)/25)*Calculateur!BL88*Calculateur!BN88*VLOOKUP('Données projet'!$B$11,Paramètres!$A$1:$I$89,3,0)*0.475*44/12</f>
        <v>32.212193089018101</v>
      </c>
      <c r="BR88" s="21">
        <f>EXP(-LN(2)/2)*BR87+(1-EXP(-LN(2)/2))/(LN(2)/2)*BL88*BO88*VLOOKUP('Données projet'!$B$11,Paramètres!$A$1:$I$89,3,0)*0.475*44/12</f>
        <v>9.7228650480264273E-3</v>
      </c>
      <c r="BS88" s="22">
        <f t="shared" si="63"/>
        <v>189.95223865080087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-1.69961822393816E-13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215.89467197072673</v>
      </c>
      <c r="CE88" s="59">
        <f t="shared" si="94"/>
        <v>188.21397398859534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103.42934431925846</v>
      </c>
      <c r="CL88" s="21">
        <f>EXP(-LN(2)/25)*CL87+(1-EXP(-LN(2)/25))/(LN(2)/25)*Calculateur!CG88*Calculateur!CI88*VLOOKUP('Données projet'!$B$12,Paramètres!$A$1:$I$89,3,0)*0.475*44/12</f>
        <v>24.362275273064384</v>
      </c>
      <c r="CM88" s="21">
        <f>EXP(-LN(2)/2)*CM87+(1-EXP(-LN(2)/2))/(LN(2)/2)*CG88*CJ88*VLOOKUP('Données projet'!$B$12,Paramètres!$A$1:$I$89,3,0)*0.475*44/12</f>
        <v>4.9279999100472711</v>
      </c>
      <c r="CN88" s="22">
        <f t="shared" si="66"/>
        <v>132.71961950237011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4.7037037037037051</v>
      </c>
      <c r="CT88" s="12">
        <f>IF('Données projet'!$A$140&gt;35,CT87+CS88-DB87,IF(A88&lt;'Données projet'!$A$140,$CQ$205^A88,IF(A88='Données projet'!$A$140,'Données projet'!$B$140,CT87+CS88-DB87)))</f>
        <v>163.27706552706556</v>
      </c>
      <c r="CU88" s="17">
        <f>CT88*VLOOKUP('Données projet'!$B$13,Paramètres!$A$1:$I$89,3,0)*VLOOKUP('Données projet'!$B$13,Paramètres!$A$1:$I$89,5,0)</f>
        <v>165.5629444444445</v>
      </c>
      <c r="CV88" s="13">
        <f t="shared" si="95"/>
        <v>42.094746325263792</v>
      </c>
      <c r="CW88" s="20">
        <f t="shared" si="67"/>
        <v>361.67047809057527</v>
      </c>
      <c r="CX88" s="59">
        <f t="shared" si="68"/>
        <v>655.00381142390859</v>
      </c>
      <c r="CY88" s="59">
        <f ca="1">AVERAGE(OFFSET($CX$3,0,0,'Données projet'!$E$13+1,1))-AVERAGE(OFFSET($H$3,0,0,'Données projet'!$E$13+1,1))</f>
        <v>342.82846711287749</v>
      </c>
      <c r="CZ88" s="59">
        <f t="shared" si="96"/>
        <v>152.87724741106297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>
        <f>DO88*VLOOKUP('Données projet'!$B$14,Paramètres!$A$1:$I$89,3,0)*VLOOKUP('Données projet'!$B$14,Paramètres!$A$1:$I$89,5,0)</f>
        <v>0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208.48147873805715</v>
      </c>
      <c r="DU88" s="59">
        <f t="shared" si="98"/>
        <v>209.50570914630686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52.688045758919174</v>
      </c>
      <c r="EB88" s="21">
        <f>EXP(-LN(2)/25)*EB87+(1-EXP(-LN(2)/25))/(LN(2)/25)*Calculateur!DW88*Calculateur!DY88*VLOOKUP('Données projet'!$B$14,Paramètres!$A$1:$I$89,3,0)*0.475*44/12</f>
        <v>16.630724070831324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69.318769829750494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-1.7053025658242404E-13</v>
      </c>
      <c r="EK88" s="17">
        <f>EJ88*VLOOKUP('Données projet'!$B$15,Paramètres!$A$1:$I$89,3,0)*VLOOKUP('Données projet'!$B$15,Paramètres!$A$1:$I$89,5,0)</f>
        <v>-1.0197709343628959E-13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247.31680974612766</v>
      </c>
      <c r="EP88" s="59">
        <f t="shared" si="100"/>
        <v>257.13949761071882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79.066460679899933</v>
      </c>
      <c r="EW88" s="21">
        <f>EXP(-LN(2)/25)*EW87+(1-EXP(-LN(2)/25))/(LN(2)/25)*Calculateur!ER88*Calculateur!ET88*VLOOKUP('Données projet'!$B$15,Paramètres!$A$1:$I$89,3,0)*0.475*44/12</f>
        <v>18.069091507140833</v>
      </c>
      <c r="EX88" s="21">
        <f>EXP(-LN(2)/2)*EX87+(1-EXP(-LN(2)/2))/(LN(2)/2)*ER88*EU88*VLOOKUP('Données projet'!$B$15,Paramètres!$A$1:$I$89,3,0)*0.475*44/12</f>
        <v>5.517858133130325E-3</v>
      </c>
      <c r="EY88" s="22">
        <f t="shared" si="75"/>
        <v>97.14107004517389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15.294239999999984</v>
      </c>
      <c r="D89" s="11">
        <f t="shared" si="86"/>
        <v>5.1309870451092321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31.533683859115985</v>
      </c>
      <c r="H89" s="67">
        <f t="shared" si="56"/>
        <v>292.24060377023193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9.001923076923072</v>
      </c>
      <c r="N89" s="13">
        <f>IF('Données projet'!$A$36&gt;35,N88+M89-V88,IF(A89&lt;'Données projet'!$A$36,$K$205^A89,IF(A89='Données projet'!$A$36,'Données projet'!$B$36,N88+M89-V88)))</f>
        <v>374.13653846153863</v>
      </c>
      <c r="O89" s="13">
        <f>N89*VLOOKUP('Données projet'!$B$9,Paramètres!$A$1:$I$89,3,0)*VLOOKUP('Données projet'!$B$9,Paramètres!$A$1:$I$89,5,0)</f>
        <v>175.09590000000009</v>
      </c>
      <c r="P89" s="13">
        <f t="shared" si="87"/>
        <v>44.229366403274248</v>
      </c>
      <c r="Q89" s="20">
        <f t="shared" si="54"/>
        <v>381.99150565236943</v>
      </c>
      <c r="R89" s="59">
        <f t="shared" si="55"/>
        <v>675.32483898570274</v>
      </c>
      <c r="S89" s="59">
        <f ca="1">AVERAGE(OFFSET($R$3,0,0,'Données projet'!$E$9+1,1))-AVERAGE(OFFSET($H$3,0,0,'Données projet'!$E$9+1,1))</f>
        <v>223.99456146593315</v>
      </c>
      <c r="T89" s="59">
        <f t="shared" si="88"/>
        <v>132.73290587325937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32.791672469300664</v>
      </c>
      <c r="AA89" s="21">
        <f>EXP(-LN(2)/25)*AA88+(1-EXP(-LN(2)/25))/(LN(2)/25)*Calculateur!V89*Calculateur!X89*VLOOKUP('Données projet'!$B$9,Paramètres!$A$1:$I$89,3,0)*0.475*44/12</f>
        <v>14.09876849205312</v>
      </c>
      <c r="AB89" s="21">
        <f>EXP(-LN(2)/2)*AB88+(1-EXP(-LN(2)/2))/(LN(2)/2)*V89*Y89*VLOOKUP('Données projet'!$B$9,Paramètres!$A$1:$I$89,3,0)*0.475*44/12</f>
        <v>0.13466910883306626</v>
      </c>
      <c r="AC89" s="22">
        <f t="shared" si="57"/>
        <v>47.025110070186848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3.6</v>
      </c>
      <c r="AI89" s="13">
        <f>IF('Données projet'!$A$62&gt;35,AI88+AH89-AQ88,IF(A89&lt;'Données projet'!$A$62,$AF$205^A89,IF(A89='Données projet'!$A$62,'Données projet'!$B$62,AI88+AH89-AQ88)))</f>
        <v>235.60000000000011</v>
      </c>
      <c r="AJ89" s="13">
        <f>AI89*VLOOKUP('Données projet'!$B$10,Paramètres!$A$1:$I$89,3,0)*VLOOKUP('Données projet'!$B$10,Paramètres!$A$1:$I$89,5,0)</f>
        <v>154.36512000000008</v>
      </c>
      <c r="AK89" s="13">
        <f t="shared" si="89"/>
        <v>39.568912624848309</v>
      </c>
      <c r="AL89" s="20">
        <f t="shared" si="58"/>
        <v>337.76844015494424</v>
      </c>
      <c r="AM89" s="59">
        <f t="shared" si="59"/>
        <v>631.10177348827756</v>
      </c>
      <c r="AN89" s="59">
        <f ca="1">AVERAGE(OFFSET($AM$3,0,0,'Données projet'!$E$10+1,1))-AVERAGE(OFFSET($H$3,0,0,'Données projet'!$E$10+1,1))</f>
        <v>244.43587473734613</v>
      </c>
      <c r="AO89" s="59">
        <f t="shared" si="90"/>
        <v>256.80261402149375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3.0938967474995529</v>
      </c>
      <c r="AV89" s="21">
        <f>EXP(-LN(2)/25)*AV88+(1-EXP(-LN(2)/25))/(LN(2)/25)*Calculateur!AQ89*Calculateur!AS89*VLOOKUP('Données projet'!$B$10,Paramètres!$A$1:$I$89,3,0)*0.475*44/12</f>
        <v>13.129349421437048</v>
      </c>
      <c r="AW89" s="21">
        <f>EXP(-LN(2)/2)*AW88+(1-EXP(-LN(2)/2))/(LN(2)/2)*AQ89*AT89*VLOOKUP('Données projet'!$B$10,Paramètres!$A$1:$I$89,3,0)*0.475*44/12</f>
        <v>1.6493802122791901</v>
      </c>
      <c r="AX89" s="21">
        <f t="shared" si="60"/>
        <v>17.872626381215792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-2.2737367544323206E-13</v>
      </c>
      <c r="BE89" s="13">
        <f>BD89*VLOOKUP('Données projet'!$B$11,Paramètres!$A$1:$I$89,3,0)*VLOOKUP('Données projet'!$B$11,Paramètres!$A$1:$I$89,5,0)</f>
        <v>-1.2710188457276673E-13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430.60186171079067</v>
      </c>
      <c r="BJ89" s="59">
        <f t="shared" si="92"/>
        <v>533.76627289533985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154.6373272746491</v>
      </c>
      <c r="BQ89" s="21">
        <f>EXP(-LN(2)/25)*BQ88+(1-EXP(-LN(2)/25))/(LN(2)/25)*Calculateur!BL89*Calculateur!BN89*VLOOKUP('Données projet'!$B$11,Paramètres!$A$1:$I$89,3,0)*0.475*44/12</f>
        <v>31.331348975033286</v>
      </c>
      <c r="BR89" s="21">
        <f>EXP(-LN(2)/2)*BR88+(1-EXP(-LN(2)/2))/(LN(2)/2)*BL89*BO89*VLOOKUP('Données projet'!$B$11,Paramètres!$A$1:$I$89,3,0)*0.475*44/12</f>
        <v>6.8751038080211539E-3</v>
      </c>
      <c r="BS89" s="22">
        <f t="shared" si="63"/>
        <v>185.9755513534904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-1.69961822393816E-13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215.89467197072673</v>
      </c>
      <c r="CE89" s="59">
        <f t="shared" si="94"/>
        <v>188.21397398859534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101.40115796282865</v>
      </c>
      <c r="CL89" s="21">
        <f>EXP(-LN(2)/25)*CL88+(1-EXP(-LN(2)/25))/(LN(2)/25)*Calculateur!CG89*Calculateur!CI89*VLOOKUP('Données projet'!$B$12,Paramètres!$A$1:$I$89,3,0)*0.475*44/12</f>
        <v>23.696087574566061</v>
      </c>
      <c r="CM89" s="21">
        <f>EXP(-LN(2)/2)*CM88+(1-EXP(-LN(2)/2))/(LN(2)/2)*CG89*CJ89*VLOOKUP('Données projet'!$B$12,Paramètres!$A$1:$I$89,3,0)*0.475*44/12</f>
        <v>3.484622154081122</v>
      </c>
      <c r="CN89" s="22">
        <f t="shared" si="66"/>
        <v>128.58186769147582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>
        <f>VLOOKUP(A89,'Données projet'!$A$139:$I$159,2,0)</f>
        <v>167.98076923076923</v>
      </c>
      <c r="CR89" s="12">
        <f>VLOOKUP(A89,'Données projet'!$A$139:$I$159,9,0)</f>
        <v>4.7037037037037051</v>
      </c>
      <c r="CS89" s="12">
        <f t="array" ref="CS89">INDEX(CR:CR,MIN(IF(ISNUMBER(CR89:CR285),ROW(CR89:CR285),"")))</f>
        <v>4.7037037037037051</v>
      </c>
      <c r="CT89" s="12">
        <f>IF('Données projet'!$A$140&gt;35,CT88+CS89-DB88,IF(A89&lt;'Données projet'!$A$140,$CQ$205^A89,IF(A89='Données projet'!$A$140,'Données projet'!$B$140,CT88+CS89-DB88)))</f>
        <v>167.98076923076925</v>
      </c>
      <c r="CU89" s="17">
        <f>CT89*VLOOKUP('Données projet'!$B$13,Paramètres!$A$1:$I$89,3,0)*VLOOKUP('Données projet'!$B$13,Paramètres!$A$1:$I$89,5,0)</f>
        <v>170.33250000000004</v>
      </c>
      <c r="CV89" s="13">
        <f t="shared" si="95"/>
        <v>43.164484053673483</v>
      </c>
      <c r="CW89" s="20">
        <f t="shared" si="67"/>
        <v>371.84058056014806</v>
      </c>
      <c r="CX89" s="59">
        <f t="shared" si="68"/>
        <v>665.17391389348131</v>
      </c>
      <c r="CY89" s="59">
        <f ca="1">AVERAGE(OFFSET($CX$3,0,0,'Données projet'!$E$13+1,1))-AVERAGE(OFFSET($H$3,0,0,'Données projet'!$E$13+1,1))</f>
        <v>342.82846711287749</v>
      </c>
      <c r="CZ89" s="59">
        <f t="shared" si="96"/>
        <v>152.87724741106297</v>
      </c>
      <c r="DA89" s="15">
        <f>IF(ISNA(VLOOKUP(A89,'Données projet'!$A$139:$I$159,3,0)),0,VLOOKUP(A89,'Données projet'!$A$139:$I$159,3,0))</f>
        <v>4</v>
      </c>
      <c r="DB89" s="15">
        <f>IF(ISNA(VLOOKUP(A89,'Données projet'!$A$139:$I$159,4,0)),0,VLOOKUP(A89,'Données projet'!$A$139:$I$159,4,0))</f>
        <v>27.583333333333332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>
        <f>DO89*VLOOKUP('Données projet'!$B$14,Paramètres!$A$1:$I$89,3,0)*VLOOKUP('Données projet'!$B$14,Paramètres!$A$1:$I$89,5,0)</f>
        <v>0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208.48147873805715</v>
      </c>
      <c r="DU89" s="59">
        <f t="shared" si="98"/>
        <v>209.50570914630686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51.654865318121459</v>
      </c>
      <c r="EB89" s="21">
        <f>EXP(-LN(2)/25)*EB88+(1-EXP(-LN(2)/25))/(LN(2)/25)*Calculateur!DW89*Calculateur!DY89*VLOOKUP('Données projet'!$B$14,Paramètres!$A$1:$I$89,3,0)*0.475*44/12</f>
        <v>16.175956046542673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67.830821364664132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-1.7053025658242404E-13</v>
      </c>
      <c r="EK89" s="17">
        <f>EJ89*VLOOKUP('Données projet'!$B$15,Paramètres!$A$1:$I$89,3,0)*VLOOKUP('Données projet'!$B$15,Paramètres!$A$1:$I$89,5,0)</f>
        <v>-1.0197709343628959E-13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247.31680974612766</v>
      </c>
      <c r="EP89" s="59">
        <f t="shared" si="100"/>
        <v>257.13949761071882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77.516015611746212</v>
      </c>
      <c r="EW89" s="21">
        <f>EXP(-LN(2)/25)*EW88+(1-EXP(-LN(2)/25))/(LN(2)/25)*Calculateur!ER89*Calculateur!ET89*VLOOKUP('Données projet'!$B$15,Paramètres!$A$1:$I$89,3,0)*0.475*44/12</f>
        <v>17.574991249665842</v>
      </c>
      <c r="EX89" s="21">
        <f>EXP(-LN(2)/2)*EX88+(1-EXP(-LN(2)/2))/(LN(2)/2)*ER89*EU89*VLOOKUP('Données projet'!$B$15,Paramètres!$A$1:$I$89,3,0)*0.475*44/12</f>
        <v>3.9017149035617967E-3</v>
      </c>
      <c r="EY89" s="22">
        <f t="shared" si="75"/>
        <v>95.094908576315618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15.472079999999984</v>
      </c>
      <c r="D90" s="11">
        <f t="shared" si="86"/>
        <v>5.1836694307616114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31.889578068544221</v>
      </c>
      <c r="H90" s="67">
        <f t="shared" si="56"/>
        <v>292.64209692524315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383.13846153846151</v>
      </c>
      <c r="L90" s="12">
        <f>VLOOKUP(A90,'Données projet'!$A$35:$I$55,9,0)</f>
        <v>9.001923076923072</v>
      </c>
      <c r="M90" s="12">
        <f t="array" ref="M90">INDEX(L:L,MIN(IF(ISNUMBER(L90:L286),ROW(L90:L286),"")))</f>
        <v>9.001923076923072</v>
      </c>
      <c r="N90" s="13">
        <f>IF('Données projet'!$A$36&gt;35,N89+M90-V89,IF(A90&lt;'Données projet'!$A$36,$K$205^A90,IF(A90='Données projet'!$A$36,'Données projet'!$B$36,N89+M90-V89)))</f>
        <v>383.13846153846168</v>
      </c>
      <c r="O90" s="13">
        <f>N90*VLOOKUP('Données projet'!$B$9,Paramètres!$A$1:$I$89,3,0)*VLOOKUP('Données projet'!$B$9,Paramètres!$A$1:$I$89,5,0)</f>
        <v>179.30880000000008</v>
      </c>
      <c r="P90" s="13">
        <f t="shared" si="87"/>
        <v>45.168372484136597</v>
      </c>
      <c r="Q90" s="20">
        <f t="shared" si="54"/>
        <v>390.96440874320461</v>
      </c>
      <c r="R90" s="59">
        <f t="shared" si="55"/>
        <v>684.29774207653793</v>
      </c>
      <c r="S90" s="59">
        <f ca="1">AVERAGE(OFFSET($R$3,0,0,'Données projet'!$E$9+1,1))-AVERAGE(OFFSET($H$3,0,0,'Données projet'!$E$9+1,1))</f>
        <v>223.99456146593315</v>
      </c>
      <c r="T90" s="59">
        <f t="shared" si="88"/>
        <v>132.73290587325937</v>
      </c>
      <c r="U90" s="15">
        <f>IF(ISNA(VLOOKUP(A90,'Données projet'!$A$35:$I$55,3,0)),0,VLOOKUP(A90,'Données projet'!$A$35:$I$55,3,0))</f>
        <v>4</v>
      </c>
      <c r="V90" s="15">
        <f>IF(ISNA(VLOOKUP(A90,'Données projet'!$A$35:$I$55,4,0)),0,VLOOKUP(A90,'Données projet'!$A$35:$I$55,4,0))</f>
        <v>82.938461538461524</v>
      </c>
      <c r="W90" s="16">
        <f>IF(ISNA(VLOOKUP(A90,'Données projet'!$A$35:$I$55,5,0)),0%,VLOOKUP(A90,'Données projet'!$A$35:$I$55,5,0)*VLOOKUP('Données projet'!$B$9,Paramètres!$A$1:$I$89,7,0))</f>
        <v>0.38500000000000001</v>
      </c>
      <c r="X90" s="16">
        <f>IF(ISNA(VLOOKUP(A90,'Données projet'!$A$35:$I$55,6,0)),0%,VLOOKUP(A90,'Données projet'!$A$35:$I$55,6,0)*VLOOKUP('Données projet'!$B$9,Paramètres!$A$1:$I$89,7,0))</f>
        <v>9.240000000000001E-2</v>
      </c>
      <c r="Y90" s="16">
        <f>IF(ISNA(VLOOKUP(A90,'Données projet'!$A$35:$I$55,7,0)),0%,VLOOKUP(A90,'Données projet'!$A$35:$I$55,7,0))</f>
        <v>0.13200000000000001</v>
      </c>
      <c r="Z90" s="21">
        <f>EXP(-LN(2)/35)*Z89+(1-EXP(-LN(2)/35))/(LN(2)/35)*V90*W90*VLOOKUP('Données projet'!$B$9,Paramètres!$A$1:$I$89,3,0)*0.475*44/12</f>
        <v>51.972630663672035</v>
      </c>
      <c r="AA90" s="21">
        <f>EXP(-LN(2)/25)*AA89+(1-EXP(-LN(2)/25))/(LN(2)/25)*Calculateur!V90*Calculateur!X90*VLOOKUP('Données projet'!$B$9,Paramètres!$A$1:$I$89,3,0)*0.475*44/12</f>
        <v>18.452259722146952</v>
      </c>
      <c r="AB90" s="21">
        <f>EXP(-LN(2)/2)*AB89+(1-EXP(-LN(2)/2))/(LN(2)/2)*V90*Y90*VLOOKUP('Données projet'!$B$9,Paramètres!$A$1:$I$89,3,0)*0.475*44/12</f>
        <v>5.8963380859655139</v>
      </c>
      <c r="AC90" s="22">
        <f t="shared" si="57"/>
        <v>76.321228471784494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3.6</v>
      </c>
      <c r="AI90" s="13">
        <f>IF('Données projet'!$A$62&gt;35,AI89+AH90-AQ89,IF(A90&lt;'Données projet'!$A$62,$AF$205^A90,IF(A90='Données projet'!$A$62,'Données projet'!$B$62,AI89+AH90-AQ89)))</f>
        <v>239.2000000000001</v>
      </c>
      <c r="AJ90" s="13">
        <f>AI90*VLOOKUP('Données projet'!$B$10,Paramètres!$A$1:$I$89,3,0)*VLOOKUP('Données projet'!$B$10,Paramètres!$A$1:$I$89,5,0)</f>
        <v>156.72384000000008</v>
      </c>
      <c r="AK90" s="13">
        <f t="shared" si="89"/>
        <v>40.102680984620484</v>
      </c>
      <c r="AL90" s="20">
        <f t="shared" si="58"/>
        <v>342.80619071488081</v>
      </c>
      <c r="AM90" s="59">
        <f t="shared" si="59"/>
        <v>636.13952404821407</v>
      </c>
      <c r="AN90" s="59">
        <f ca="1">AVERAGE(OFFSET($AM$3,0,0,'Données projet'!$E$10+1,1))-AVERAGE(OFFSET($H$3,0,0,'Données projet'!$E$10+1,1))</f>
        <v>244.43587473734613</v>
      </c>
      <c r="AO90" s="59">
        <f t="shared" si="90"/>
        <v>256.80261402149375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3.0332273193717678</v>
      </c>
      <c r="AV90" s="21">
        <f>EXP(-LN(2)/25)*AV89+(1-EXP(-LN(2)/25))/(LN(2)/25)*Calculateur!AQ90*Calculateur!AS90*VLOOKUP('Données projet'!$B$10,Paramètres!$A$1:$I$89,3,0)*0.475*44/12</f>
        <v>12.770326671065373</v>
      </c>
      <c r="AW90" s="21">
        <f>EXP(-LN(2)/2)*AW89+(1-EXP(-LN(2)/2))/(LN(2)/2)*AQ90*AT90*VLOOKUP('Données projet'!$B$10,Paramètres!$A$1:$I$89,3,0)*0.475*44/12</f>
        <v>1.1662879328575226</v>
      </c>
      <c r="AX90" s="21">
        <f t="shared" si="60"/>
        <v>16.969841923294663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-2.2737367544323206E-13</v>
      </c>
      <c r="BE90" s="13">
        <f>BD90*VLOOKUP('Données projet'!$B$11,Paramètres!$A$1:$I$89,3,0)*VLOOKUP('Données projet'!$B$11,Paramètres!$A$1:$I$89,5,0)</f>
        <v>-1.2710188457276673E-13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430.60186171079067</v>
      </c>
      <c r="BJ90" s="59">
        <f t="shared" si="92"/>
        <v>533.76627289533985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151.60498360624959</v>
      </c>
      <c r="BQ90" s="21">
        <f>EXP(-LN(2)/25)*BQ89+(1-EXP(-LN(2)/25))/(LN(2)/25)*Calculateur!BL90*Calculateur!BN90*VLOOKUP('Données projet'!$B$11,Paramètres!$A$1:$I$89,3,0)*0.475*44/12</f>
        <v>30.474591589666968</v>
      </c>
      <c r="BR90" s="21">
        <f>EXP(-LN(2)/2)*BR89+(1-EXP(-LN(2)/2))/(LN(2)/2)*BL90*BO90*VLOOKUP('Données projet'!$B$11,Paramètres!$A$1:$I$89,3,0)*0.475*44/12</f>
        <v>4.8614325240132136E-3</v>
      </c>
      <c r="BS90" s="22">
        <f t="shared" si="63"/>
        <v>182.08443662844059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-1.69961822393816E-13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215.89467197072673</v>
      </c>
      <c r="CE90" s="59">
        <f t="shared" si="94"/>
        <v>188.21397398859534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99.41274310377689</v>
      </c>
      <c r="CL90" s="21">
        <f>EXP(-LN(2)/25)*CL89+(1-EXP(-LN(2)/25))/(LN(2)/25)*Calculateur!CG90*Calculateur!CI90*VLOOKUP('Données projet'!$B$12,Paramètres!$A$1:$I$89,3,0)*0.475*44/12</f>
        <v>23.048116813716465</v>
      </c>
      <c r="CM90" s="21">
        <f>EXP(-LN(2)/2)*CM89+(1-EXP(-LN(2)/2))/(LN(2)/2)*CG90*CJ90*VLOOKUP('Données projet'!$B$12,Paramètres!$A$1:$I$89,3,0)*0.475*44/12</f>
        <v>2.463999955023636</v>
      </c>
      <c r="CN90" s="22">
        <f t="shared" si="66"/>
        <v>124.92485987251699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4.6887464387464428</v>
      </c>
      <c r="CT90" s="12">
        <f>IF('Données projet'!$A$140&gt;35,CT89+CS90-DB89,IF(A90&lt;'Données projet'!$A$140,$CQ$205^A90,IF(A90='Données projet'!$A$140,'Données projet'!$B$140,CT89+CS90-DB89)))</f>
        <v>145.08618233618236</v>
      </c>
      <c r="CU90" s="17">
        <f>CT90*VLOOKUP('Données projet'!$B$13,Paramètres!$A$1:$I$89,3,0)*VLOOKUP('Données projet'!$B$13,Paramètres!$A$1:$I$89,5,0)</f>
        <v>147.11738888888894</v>
      </c>
      <c r="CV90" s="13">
        <f t="shared" si="95"/>
        <v>37.922763927930312</v>
      </c>
      <c r="CW90" s="20">
        <f t="shared" si="67"/>
        <v>322.27826615596018</v>
      </c>
      <c r="CX90" s="59">
        <f t="shared" si="68"/>
        <v>615.61159948929344</v>
      </c>
      <c r="CY90" s="59">
        <f ca="1">AVERAGE(OFFSET($CX$3,0,0,'Données projet'!$E$13+1,1))-AVERAGE(OFFSET($H$3,0,0,'Données projet'!$E$13+1,1))</f>
        <v>342.82846711287749</v>
      </c>
      <c r="CZ90" s="59">
        <f t="shared" si="96"/>
        <v>152.87724741106297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>
        <f>DO90*VLOOKUP('Données projet'!$B$14,Paramètres!$A$1:$I$89,3,0)*VLOOKUP('Données projet'!$B$14,Paramètres!$A$1:$I$89,5,0)</f>
        <v>0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208.48147873805715</v>
      </c>
      <c r="DU90" s="59">
        <f t="shared" si="98"/>
        <v>209.50570914630686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50.641944915589946</v>
      </c>
      <c r="EB90" s="21">
        <f>EXP(-LN(2)/25)*EB89+(1-EXP(-LN(2)/25))/(LN(2)/25)*Calculateur!DW90*Calculateur!DY90*VLOOKUP('Données projet'!$B$14,Paramètres!$A$1:$I$89,3,0)*0.475*44/12</f>
        <v>15.733623677793405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66.375568593383349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-1.7053025658242404E-13</v>
      </c>
      <c r="EK90" s="17">
        <f>EJ90*VLOOKUP('Données projet'!$B$15,Paramètres!$A$1:$I$89,3,0)*VLOOKUP('Données projet'!$B$15,Paramètres!$A$1:$I$89,5,0)</f>
        <v>-1.0197709343628959E-13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247.31680974612766</v>
      </c>
      <c r="EP90" s="59">
        <f t="shared" si="100"/>
        <v>257.13949761071882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75.995973825700872</v>
      </c>
      <c r="EW90" s="21">
        <f>EXP(-LN(2)/25)*EW89+(1-EXP(-LN(2)/25))/(LN(2)/25)*Calculateur!ER90*Calculateur!ET90*VLOOKUP('Données projet'!$B$15,Paramètres!$A$1:$I$89,3,0)*0.475*44/12</f>
        <v>17.094402189715108</v>
      </c>
      <c r="EX90" s="21">
        <f>EXP(-LN(2)/2)*EX89+(1-EXP(-LN(2)/2))/(LN(2)/2)*ER90*EU90*VLOOKUP('Données projet'!$B$15,Paramètres!$A$1:$I$89,3,0)*0.475*44/12</f>
        <v>2.7589290665651629E-3</v>
      </c>
      <c r="EY90" s="22">
        <f t="shared" si="75"/>
        <v>93.093134944482543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15.649919999999984</v>
      </c>
      <c r="D91" s="11">
        <f t="shared" si="86"/>
        <v>5.2362813765062448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32.245363528641199</v>
      </c>
      <c r="H91" s="67">
        <f t="shared" si="56"/>
        <v>293.04346739741504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8.1391025641025667</v>
      </c>
      <c r="N91" s="13">
        <f>IF('Données projet'!$A$36&gt;35,N90+M91-V90,IF(A91&lt;'Données projet'!$A$36,$K$205^A91,IF(A91='Données projet'!$A$36,'Données projet'!$B$36,N90+M91-V90)))</f>
        <v>308.33910256410275</v>
      </c>
      <c r="O91" s="13">
        <f>N91*VLOOKUP('Données projet'!$B$9,Paramètres!$A$1:$I$89,3,0)*VLOOKUP('Données projet'!$B$9,Paramètres!$A$1:$I$89,5,0)</f>
        <v>144.30270000000007</v>
      </c>
      <c r="P91" s="13">
        <f t="shared" si="87"/>
        <v>37.280950392910917</v>
      </c>
      <c r="Q91" s="20">
        <f t="shared" si="54"/>
        <v>316.25819110098661</v>
      </c>
      <c r="R91" s="59">
        <f t="shared" si="55"/>
        <v>609.59152443431992</v>
      </c>
      <c r="S91" s="59">
        <f ca="1">AVERAGE(OFFSET($R$3,0,0,'Données projet'!$E$9+1,1))-AVERAGE(OFFSET($H$3,0,0,'Données projet'!$E$9+1,1))</f>
        <v>223.99456146593315</v>
      </c>
      <c r="T91" s="59">
        <f t="shared" si="88"/>
        <v>132.73290587325937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50.953479076531998</v>
      </c>
      <c r="AA91" s="21">
        <f>EXP(-LN(2)/25)*AA90+(1-EXP(-LN(2)/25))/(LN(2)/25)*Calculateur!V91*Calculateur!X91*VLOOKUP('Données projet'!$B$9,Paramètres!$A$1:$I$89,3,0)*0.475*44/12</f>
        <v>17.947681709682676</v>
      </c>
      <c r="AB91" s="21">
        <f>EXP(-LN(2)/2)*AB90+(1-EXP(-LN(2)/2))/(LN(2)/2)*V91*Y91*VLOOKUP('Données projet'!$B$9,Paramètres!$A$1:$I$89,3,0)*0.475*44/12</f>
        <v>4.1693406447547234</v>
      </c>
      <c r="AC91" s="22">
        <f t="shared" si="57"/>
        <v>73.070501430969401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3.6</v>
      </c>
      <c r="AI91" s="13">
        <f>IF('Données projet'!$A$62&gt;35,AI90+AH91-AQ90,IF(A91&lt;'Données projet'!$A$62,$AF$205^A91,IF(A91='Données projet'!$A$62,'Données projet'!$B$62,AI90+AH91-AQ90)))</f>
        <v>242.8000000000001</v>
      </c>
      <c r="AJ91" s="13">
        <f>AI91*VLOOKUP('Données projet'!$B$10,Paramètres!$A$1:$I$89,3,0)*VLOOKUP('Données projet'!$B$10,Paramètres!$A$1:$I$89,5,0)</f>
        <v>159.08256000000006</v>
      </c>
      <c r="AK91" s="13">
        <f t="shared" si="89"/>
        <v>40.635515049195902</v>
      </c>
      <c r="AL91" s="20">
        <f t="shared" si="58"/>
        <v>347.84231404401629</v>
      </c>
      <c r="AM91" s="59">
        <f t="shared" si="59"/>
        <v>641.17564737734961</v>
      </c>
      <c r="AN91" s="59">
        <f ca="1">AVERAGE(OFFSET($AM$3,0,0,'Données projet'!$E$10+1,1))-AVERAGE(OFFSET($H$3,0,0,'Données projet'!$E$10+1,1))</f>
        <v>244.43587473734613</v>
      </c>
      <c r="AO91" s="59">
        <f t="shared" si="90"/>
        <v>256.80261402149375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2.9737475817248713</v>
      </c>
      <c r="AV91" s="21">
        <f>EXP(-LN(2)/25)*AV90+(1-EXP(-LN(2)/25))/(LN(2)/25)*Calculateur!AQ91*Calculateur!AS91*VLOOKUP('Données projet'!$B$10,Paramètres!$A$1:$I$89,3,0)*0.475*44/12</f>
        <v>12.421121416682798</v>
      </c>
      <c r="AW91" s="21">
        <f>EXP(-LN(2)/2)*AW90+(1-EXP(-LN(2)/2))/(LN(2)/2)*AQ91*AT91*VLOOKUP('Données projet'!$B$10,Paramètres!$A$1:$I$89,3,0)*0.475*44/12</f>
        <v>0.82469010613959515</v>
      </c>
      <c r="AX91" s="21">
        <f t="shared" si="60"/>
        <v>16.219559104547265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-2.2737367544323206E-13</v>
      </c>
      <c r="BE91" s="13">
        <f>BD91*VLOOKUP('Données projet'!$B$11,Paramètres!$A$1:$I$89,3,0)*VLOOKUP('Données projet'!$B$11,Paramètres!$A$1:$I$89,5,0)</f>
        <v>-1.2710188457276673E-13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430.60186171079067</v>
      </c>
      <c r="BJ91" s="59">
        <f t="shared" si="92"/>
        <v>533.76627289533985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148.6321023476404</v>
      </c>
      <c r="BQ91" s="21">
        <f>EXP(-LN(2)/25)*BQ90+(1-EXP(-LN(2)/25))/(LN(2)/25)*Calculateur!BL91*Calculateur!BN91*VLOOKUP('Données projet'!$B$11,Paramètres!$A$1:$I$89,3,0)*0.475*44/12</f>
        <v>29.641262280058402</v>
      </c>
      <c r="BR91" s="21">
        <f>EXP(-LN(2)/2)*BR90+(1-EXP(-LN(2)/2))/(LN(2)/2)*BL91*BO91*VLOOKUP('Données projet'!$B$11,Paramètres!$A$1:$I$89,3,0)*0.475*44/12</f>
        <v>3.437551904010577E-3</v>
      </c>
      <c r="BS91" s="22">
        <f t="shared" si="63"/>
        <v>178.27680217960281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-1.69961822393816E-13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215.89467197072673</v>
      </c>
      <c r="CE91" s="59">
        <f t="shared" si="94"/>
        <v>188.21397398859534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97.463319847297825</v>
      </c>
      <c r="CL91" s="21">
        <f>EXP(-LN(2)/25)*CL90+(1-EXP(-LN(2)/25))/(LN(2)/25)*Calculateur!CG91*Calculateur!CI91*VLOOKUP('Données projet'!$B$12,Paramètres!$A$1:$I$89,3,0)*0.475*44/12</f>
        <v>22.417864847397603</v>
      </c>
      <c r="CM91" s="21">
        <f>EXP(-LN(2)/2)*CM90+(1-EXP(-LN(2)/2))/(LN(2)/2)*CG91*CJ91*VLOOKUP('Données projet'!$B$12,Paramètres!$A$1:$I$89,3,0)*0.475*44/12</f>
        <v>1.7423110770405612</v>
      </c>
      <c r="CN91" s="22">
        <f t="shared" si="66"/>
        <v>121.62349577173599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4.6887464387464428</v>
      </c>
      <c r="CT91" s="12">
        <f>IF('Données projet'!$A$140&gt;35,CT90+CS91-DB90,IF(A91&lt;'Données projet'!$A$140,$CQ$205^A91,IF(A91='Données projet'!$A$140,'Données projet'!$B$140,CT90+CS91-DB90)))</f>
        <v>149.77492877492881</v>
      </c>
      <c r="CU91" s="17">
        <f>CT91*VLOOKUP('Données projet'!$B$13,Paramètres!$A$1:$I$89,3,0)*VLOOKUP('Données projet'!$B$13,Paramètres!$A$1:$I$89,5,0)</f>
        <v>151.87177777777782</v>
      </c>
      <c r="CV91" s="13">
        <f t="shared" si="95"/>
        <v>39.003646339042326</v>
      </c>
      <c r="CW91" s="20">
        <f t="shared" si="67"/>
        <v>332.4413636701284</v>
      </c>
      <c r="CX91" s="59">
        <f t="shared" si="68"/>
        <v>625.77469700346171</v>
      </c>
      <c r="CY91" s="59">
        <f ca="1">AVERAGE(OFFSET($CX$3,0,0,'Données projet'!$E$13+1,1))-AVERAGE(OFFSET($H$3,0,0,'Données projet'!$E$13+1,1))</f>
        <v>342.82846711287749</v>
      </c>
      <c r="CZ91" s="59">
        <f t="shared" si="96"/>
        <v>152.87724741106297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>
        <f>DO91*VLOOKUP('Données projet'!$B$14,Paramètres!$A$1:$I$89,3,0)*VLOOKUP('Données projet'!$B$14,Paramètres!$A$1:$I$89,5,0)</f>
        <v>0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208.48147873805715</v>
      </c>
      <c r="DU91" s="59">
        <f t="shared" si="98"/>
        <v>209.50570914630686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49.648887264331634</v>
      </c>
      <c r="EB91" s="21">
        <f>EXP(-LN(2)/25)*EB90+(1-EXP(-LN(2)/25))/(LN(2)/25)*Calculateur!DW91*Calculateur!DY91*VLOOKUP('Données projet'!$B$14,Paramètres!$A$1:$I$89,3,0)*0.475*44/12</f>
        <v>15.303386910928834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64.95227417526047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-1.7053025658242404E-13</v>
      </c>
      <c r="EK91" s="17">
        <f>EJ91*VLOOKUP('Données projet'!$B$15,Paramètres!$A$1:$I$89,3,0)*VLOOKUP('Données projet'!$B$15,Paramètres!$A$1:$I$89,5,0)</f>
        <v>-1.0197709343628959E-13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247.31680974612766</v>
      </c>
      <c r="EP91" s="59">
        <f t="shared" si="100"/>
        <v>257.13949761071882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74.50573913194593</v>
      </c>
      <c r="EW91" s="21">
        <f>EXP(-LN(2)/25)*EW90+(1-EXP(-LN(2)/25))/(LN(2)/25)*Calculateur!ER91*Calculateur!ET91*VLOOKUP('Données projet'!$B$15,Paramètres!$A$1:$I$89,3,0)*0.475*44/12</f>
        <v>16.626954862881806</v>
      </c>
      <c r="EX91" s="21">
        <f>EXP(-LN(2)/2)*EX90+(1-EXP(-LN(2)/2))/(LN(2)/2)*ER91*EU91*VLOOKUP('Données projet'!$B$15,Paramètres!$A$1:$I$89,3,0)*0.475*44/12</f>
        <v>1.9508574517808986E-3</v>
      </c>
      <c r="EY91" s="22">
        <f t="shared" si="75"/>
        <v>91.134644852279507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15.827759999999984</v>
      </c>
      <c r="D92" s="11">
        <f t="shared" si="86"/>
        <v>5.2888237754173035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32.601041618188098</v>
      </c>
      <c r="H92" s="67">
        <f t="shared" si="56"/>
        <v>293.44471674218511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8.1391025641025667</v>
      </c>
      <c r="N92" s="13">
        <f>IF('Données projet'!$A$36&gt;35,N91+M92-V91,IF(A92&lt;'Données projet'!$A$36,$K$205^A92,IF(A92='Données projet'!$A$36,'Données projet'!$B$36,N91+M92-V91)))</f>
        <v>316.47820512820533</v>
      </c>
      <c r="O92" s="13">
        <f>N92*VLOOKUP('Données projet'!$B$9,Paramètres!$A$1:$I$89,3,0)*VLOOKUP('Données projet'!$B$9,Paramètres!$A$1:$I$89,5,0)</f>
        <v>148.11180000000007</v>
      </c>
      <c r="P92" s="13">
        <f t="shared" si="87"/>
        <v>38.149169544694949</v>
      </c>
      <c r="Q92" s="20">
        <f t="shared" si="54"/>
        <v>324.4045219570105</v>
      </c>
      <c r="R92" s="59">
        <f t="shared" si="55"/>
        <v>617.73785529034376</v>
      </c>
      <c r="S92" s="59">
        <f ca="1">AVERAGE(OFFSET($R$3,0,0,'Données projet'!$E$9+1,1))-AVERAGE(OFFSET($H$3,0,0,'Données projet'!$E$9+1,1))</f>
        <v>223.99456146593315</v>
      </c>
      <c r="T92" s="59">
        <f t="shared" si="88"/>
        <v>132.73290587325937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49.954312430394687</v>
      </c>
      <c r="AA92" s="21">
        <f>EXP(-LN(2)/25)*AA91+(1-EXP(-LN(2)/25))/(LN(2)/25)*Calculateur!V92*Calculateur!X92*VLOOKUP('Données projet'!$B$9,Paramètres!$A$1:$I$89,3,0)*0.475*44/12</f>
        <v>17.456901409503843</v>
      </c>
      <c r="AB92" s="21">
        <f>EXP(-LN(2)/2)*AB91+(1-EXP(-LN(2)/2))/(LN(2)/2)*V92*Y92*VLOOKUP('Données projet'!$B$9,Paramètres!$A$1:$I$89,3,0)*0.475*44/12</f>
        <v>2.9481690429827574</v>
      </c>
      <c r="AC92" s="22">
        <f t="shared" si="57"/>
        <v>70.359382882881278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3.6</v>
      </c>
      <c r="AI92" s="13">
        <f>IF('Données projet'!$A$62&gt;35,AI91+AH92-AQ91,IF(A92&lt;'Données projet'!$A$62,$AF$205^A92,IF(A92='Données projet'!$A$62,'Données projet'!$B$62,AI91+AH92-AQ91)))</f>
        <v>246.40000000000009</v>
      </c>
      <c r="AJ92" s="13">
        <f>AI92*VLOOKUP('Données projet'!$B$10,Paramètres!$A$1:$I$89,3,0)*VLOOKUP('Données projet'!$B$10,Paramètres!$A$1:$I$89,5,0)</f>
        <v>161.44128000000006</v>
      </c>
      <c r="AK92" s="13">
        <f t="shared" si="89"/>
        <v>41.167430271655704</v>
      </c>
      <c r="AL92" s="20">
        <f t="shared" si="58"/>
        <v>352.87683705646708</v>
      </c>
      <c r="AM92" s="59">
        <f t="shared" si="59"/>
        <v>646.2101703898004</v>
      </c>
      <c r="AN92" s="59">
        <f ca="1">AVERAGE(OFFSET($AM$3,0,0,'Données projet'!$E$10+1,1))-AVERAGE(OFFSET($H$3,0,0,'Données projet'!$E$10+1,1))</f>
        <v>244.43587473734613</v>
      </c>
      <c r="AO92" s="59">
        <f t="shared" si="90"/>
        <v>256.80261402149375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2.9154342054541731</v>
      </c>
      <c r="AV92" s="21">
        <f>EXP(-LN(2)/25)*AV91+(1-EXP(-LN(2)/25))/(LN(2)/25)*Calculateur!AQ92*Calculateur!AS92*VLOOKUP('Données projet'!$B$10,Paramètres!$A$1:$I$89,3,0)*0.475*44/12</f>
        <v>12.081465198345221</v>
      </c>
      <c r="AW92" s="21">
        <f>EXP(-LN(2)/2)*AW91+(1-EXP(-LN(2)/2))/(LN(2)/2)*AQ92*AT92*VLOOKUP('Données projet'!$B$10,Paramètres!$A$1:$I$89,3,0)*0.475*44/12</f>
        <v>0.58314396642876143</v>
      </c>
      <c r="AX92" s="21">
        <f t="shared" si="60"/>
        <v>15.580043370228154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-2.2737367544323206E-13</v>
      </c>
      <c r="BE92" s="13">
        <f>BD92*VLOOKUP('Données projet'!$B$11,Paramètres!$A$1:$I$89,3,0)*VLOOKUP('Données projet'!$B$11,Paramètres!$A$1:$I$89,5,0)</f>
        <v>-1.2710188457276673E-13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430.60186171079067</v>
      </c>
      <c r="BJ92" s="59">
        <f t="shared" si="92"/>
        <v>533.76627289533985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145.717517477234</v>
      </c>
      <c r="BQ92" s="21">
        <f>EXP(-LN(2)/25)*BQ91+(1-EXP(-LN(2)/25))/(LN(2)/25)*Calculateur!BL92*Calculateur!BN92*VLOOKUP('Données projet'!$B$11,Paramètres!$A$1:$I$89,3,0)*0.475*44/12</f>
        <v>28.830720404243969</v>
      </c>
      <c r="BR92" s="21">
        <f>EXP(-LN(2)/2)*BR91+(1-EXP(-LN(2)/2))/(LN(2)/2)*BL92*BO92*VLOOKUP('Données projet'!$B$11,Paramètres!$A$1:$I$89,3,0)*0.475*44/12</f>
        <v>2.4307162620066068E-3</v>
      </c>
      <c r="BS92" s="22">
        <f t="shared" si="63"/>
        <v>174.55066859773999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-1.69961822393816E-13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215.89467197072673</v>
      </c>
      <c r="CE92" s="59">
        <f t="shared" si="94"/>
        <v>188.21397398859534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95.552123591847547</v>
      </c>
      <c r="CL92" s="21">
        <f>EXP(-LN(2)/25)*CL91+(1-EXP(-LN(2)/25))/(LN(2)/25)*Calculateur!CG92*Calculateur!CI92*VLOOKUP('Données projet'!$B$12,Paramètres!$A$1:$I$89,3,0)*0.475*44/12</f>
        <v>21.804847154241241</v>
      </c>
      <c r="CM92" s="21">
        <f>EXP(-LN(2)/2)*CM91+(1-EXP(-LN(2)/2))/(LN(2)/2)*CG92*CJ92*VLOOKUP('Données projet'!$B$12,Paramètres!$A$1:$I$89,3,0)*0.475*44/12</f>
        <v>1.2319999775118182</v>
      </c>
      <c r="CN92" s="22">
        <f t="shared" si="66"/>
        <v>118.58897072360061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4.6887464387464428</v>
      </c>
      <c r="CT92" s="12">
        <f>IF('Données projet'!$A$140&gt;35,CT91+CS92-DB91,IF(A92&lt;'Données projet'!$A$140,$CQ$205^A92,IF(A92='Données projet'!$A$140,'Données projet'!$B$140,CT91+CS92-DB91)))</f>
        <v>154.46367521367526</v>
      </c>
      <c r="CU92" s="17">
        <f>CT92*VLOOKUP('Données projet'!$B$13,Paramètres!$A$1:$I$89,3,0)*VLOOKUP('Données projet'!$B$13,Paramètres!$A$1:$I$89,5,0)</f>
        <v>156.62616666666671</v>
      </c>
      <c r="CV92" s="13">
        <f t="shared" si="95"/>
        <v>40.080596573885479</v>
      </c>
      <c r="CW92" s="20">
        <f t="shared" si="67"/>
        <v>342.59761264396167</v>
      </c>
      <c r="CX92" s="59">
        <f t="shared" si="68"/>
        <v>635.93094597729498</v>
      </c>
      <c r="CY92" s="59">
        <f ca="1">AVERAGE(OFFSET($CX$3,0,0,'Données projet'!$E$13+1,1))-AVERAGE(OFFSET($H$3,0,0,'Données projet'!$E$13+1,1))</f>
        <v>342.82846711287749</v>
      </c>
      <c r="CZ92" s="59">
        <f t="shared" si="96"/>
        <v>152.87724741106297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>
        <f>DO92*VLOOKUP('Données projet'!$B$14,Paramètres!$A$1:$I$89,3,0)*VLOOKUP('Données projet'!$B$14,Paramètres!$A$1:$I$89,5,0)</f>
        <v>0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208.48147873805715</v>
      </c>
      <c r="DU92" s="59">
        <f t="shared" si="98"/>
        <v>209.50570914630686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48.675302867909139</v>
      </c>
      <c r="EB92" s="21">
        <f>EXP(-LN(2)/25)*EB91+(1-EXP(-LN(2)/25))/(LN(2)/25)*Calculateur!DW92*Calculateur!DY92*VLOOKUP('Données projet'!$B$14,Paramètres!$A$1:$I$89,3,0)*0.475*44/12</f>
        <v>14.884914991079343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63.56021785898848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-1.7053025658242404E-13</v>
      </c>
      <c r="EK92" s="17">
        <f>EJ92*VLOOKUP('Données projet'!$B$15,Paramètres!$A$1:$I$89,3,0)*VLOOKUP('Données projet'!$B$15,Paramètres!$A$1:$I$89,5,0)</f>
        <v>-1.0197709343628959E-13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247.31680974612766</v>
      </c>
      <c r="EP92" s="59">
        <f t="shared" si="100"/>
        <v>257.13949761071882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73.044727031582113</v>
      </c>
      <c r="EW92" s="21">
        <f>EXP(-LN(2)/25)*EW91+(1-EXP(-LN(2)/25))/(LN(2)/25)*Calculateur!ER92*Calculateur!ET92*VLOOKUP('Données projet'!$B$15,Paramètres!$A$1:$I$89,3,0)*0.475*44/12</f>
        <v>16.172289907782748</v>
      </c>
      <c r="EX92" s="21">
        <f>EXP(-LN(2)/2)*EX91+(1-EXP(-LN(2)/2))/(LN(2)/2)*ER92*EU92*VLOOKUP('Données projet'!$B$15,Paramètres!$A$1:$I$89,3,0)*0.475*44/12</f>
        <v>1.3794645332825817E-3</v>
      </c>
      <c r="EY92" s="22">
        <f t="shared" si="75"/>
        <v>89.218396403898154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16.005599999999983</v>
      </c>
      <c r="D93" s="11">
        <f t="shared" si="86"/>
        <v>5.3412974993444111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32.956613683198363</v>
      </c>
      <c r="H93" s="67">
        <f t="shared" si="56"/>
        <v>293.84584647802484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8.1391025641025667</v>
      </c>
      <c r="N93" s="13">
        <f>IF('Données projet'!$A$36&gt;35,N92+M93-V92,IF(A93&lt;'Données projet'!$A$36,$K$205^A93,IF(A93='Données projet'!$A$36,'Données projet'!$B$36,N92+M93-V92)))</f>
        <v>324.61730769230792</v>
      </c>
      <c r="O93" s="13">
        <f>N93*VLOOKUP('Données projet'!$B$9,Paramètres!$A$1:$I$89,3,0)*VLOOKUP('Données projet'!$B$9,Paramètres!$A$1:$I$89,5,0)</f>
        <v>151.9209000000001</v>
      </c>
      <c r="P93" s="13">
        <f t="shared" si="87"/>
        <v>39.014793227910218</v>
      </c>
      <c r="Q93" s="20">
        <f t="shared" si="54"/>
        <v>332.54633237194383</v>
      </c>
      <c r="R93" s="59">
        <f t="shared" si="55"/>
        <v>625.87966570527715</v>
      </c>
      <c r="S93" s="59">
        <f ca="1">AVERAGE(OFFSET($R$3,0,0,'Données projet'!$E$9+1,1))-AVERAGE(OFFSET($H$3,0,0,'Données projet'!$E$9+1,1))</f>
        <v>223.99456146593315</v>
      </c>
      <c r="T93" s="59">
        <f t="shared" si="88"/>
        <v>132.73290587325937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48.974738832756657</v>
      </c>
      <c r="AA93" s="21">
        <f>EXP(-LN(2)/25)*AA92+(1-EXP(-LN(2)/25))/(LN(2)/25)*Calculateur!V93*Calculateur!X93*VLOOKUP('Données projet'!$B$9,Paramètres!$A$1:$I$89,3,0)*0.475*44/12</f>
        <v>16.979541522442414</v>
      </c>
      <c r="AB93" s="21">
        <f>EXP(-LN(2)/2)*AB92+(1-EXP(-LN(2)/2))/(LN(2)/2)*V93*Y93*VLOOKUP('Données projet'!$B$9,Paramètres!$A$1:$I$89,3,0)*0.475*44/12</f>
        <v>2.0846703223773622</v>
      </c>
      <c r="AC93" s="22">
        <f t="shared" si="57"/>
        <v>68.038950677576437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250</v>
      </c>
      <c r="AG93" s="12">
        <f>VLOOKUP(A93,'Données projet'!$A$61:$I$81,9,0)</f>
        <v>3.6</v>
      </c>
      <c r="AH93" s="12">
        <f t="array" ref="AH93">INDEX(AG:AG,MIN(IF(ISNUMBER(AG93:AG289),ROW(AG93:AG289),"")))</f>
        <v>3.6</v>
      </c>
      <c r="AI93" s="13">
        <f>IF('Données projet'!$A$62&gt;35,AI92+AH93-AQ92,IF(A93&lt;'Données projet'!$A$62,$AF$205^A93,IF(A93='Données projet'!$A$62,'Données projet'!$B$62,AI92+AH93-AQ92)))</f>
        <v>250.00000000000009</v>
      </c>
      <c r="AJ93" s="13">
        <f>AI93*VLOOKUP('Données projet'!$B$10,Paramètres!$A$1:$I$89,3,0)*VLOOKUP('Données projet'!$B$10,Paramètres!$A$1:$I$89,5,0)</f>
        <v>163.80000000000004</v>
      </c>
      <c r="AK93" s="13">
        <f t="shared" si="89"/>
        <v>41.698441627605334</v>
      </c>
      <c r="AL93" s="20">
        <f t="shared" si="58"/>
        <v>357.90978583474595</v>
      </c>
      <c r="AM93" s="59">
        <f t="shared" si="59"/>
        <v>651.24311916807926</v>
      </c>
      <c r="AN93" s="59">
        <f ca="1">AVERAGE(OFFSET($AM$3,0,0,'Données projet'!$E$10+1,1))-AVERAGE(OFFSET($H$3,0,0,'Données projet'!$E$10+1,1))</f>
        <v>244.43587473734613</v>
      </c>
      <c r="AO93" s="59">
        <f t="shared" si="90"/>
        <v>256.80261402149375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250</v>
      </c>
      <c r="AR93" s="16">
        <f>IF(ISNA(VLOOKUP(A93,'Données projet'!$A$61:$I$81,5,0)),0%,VLOOKUP(A93,'Données projet'!$A$61:$I$81,5,0)*VLOOKUP('Données projet'!$B$10,Paramètres!$A$1:$I$89,7,0))</f>
        <v>8.6000000000000007E-2</v>
      </c>
      <c r="AS93" s="16">
        <f>IF(ISNA(VLOOKUP(A93,'Données projet'!$A$61:$I$81,6,0)),0%,VLOOKUP(A93,'Données projet'!$A$61:$I$81,6,0)*VLOOKUP('Données projet'!$B$10,Paramètres!$A$1:$I$89,7,0))</f>
        <v>0.215</v>
      </c>
      <c r="AT93" s="16">
        <f>IF(ISNA(VLOOKUP(A93,'Données projet'!$A$61:$I$81,7,0)),0%,VLOOKUP(A93,'Données projet'!$A$61:$I$81,7,0))</f>
        <v>0.2</v>
      </c>
      <c r="AU93" s="21">
        <f>EXP(-LN(2)/35)*AU92+(1-EXP(-LN(2)/35))/(LN(2)/35)*AQ93*AR93*VLOOKUP('Données projet'!$B$10,Paramètres!$A$1:$I$89,3,0)*0.475*44/12</f>
        <v>18.430804461329256</v>
      </c>
      <c r="AV93" s="21">
        <f>EXP(-LN(2)/25)*AV92+(1-EXP(-LN(2)/25))/(LN(2)/25)*Calculateur!AQ93*Calculateur!AS93*VLOOKUP('Données projet'!$B$10,Paramètres!$A$1:$I$89,3,0)*0.475*44/12</f>
        <v>50.529159692812655</v>
      </c>
      <c r="AW93" s="21">
        <f>EXP(-LN(2)/2)*AW92+(1-EXP(-LN(2)/2))/(LN(2)/2)*AQ93*AT93*VLOOKUP('Données projet'!$B$10,Paramètres!$A$1:$I$89,3,0)*0.475*44/12</f>
        <v>31.32228677554231</v>
      </c>
      <c r="AX93" s="21">
        <f t="shared" si="60"/>
        <v>100.28225092968422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-2.2737367544323206E-13</v>
      </c>
      <c r="BE93" s="13">
        <f>BD93*VLOOKUP('Données projet'!$B$11,Paramètres!$A$1:$I$89,3,0)*VLOOKUP('Données projet'!$B$11,Paramètres!$A$1:$I$89,5,0)</f>
        <v>-1.2710188457276673E-13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430.60186171079067</v>
      </c>
      <c r="BJ93" s="59">
        <f t="shared" si="92"/>
        <v>533.76627289533985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142.86008583841505</v>
      </c>
      <c r="BQ93" s="21">
        <f>EXP(-LN(2)/25)*BQ92+(1-EXP(-LN(2)/25))/(LN(2)/25)*Calculateur!BL93*Calculateur!BN93*VLOOKUP('Données projet'!$B$11,Paramètres!$A$1:$I$89,3,0)*0.475*44/12</f>
        <v>28.042342838648224</v>
      </c>
      <c r="BR93" s="21">
        <f>EXP(-LN(2)/2)*BR92+(1-EXP(-LN(2)/2))/(LN(2)/2)*BL93*BO93*VLOOKUP('Données projet'!$B$11,Paramètres!$A$1:$I$89,3,0)*0.475*44/12</f>
        <v>1.7187759520052885E-3</v>
      </c>
      <c r="BS93" s="22">
        <f t="shared" si="63"/>
        <v>170.90414745301527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-1.69961822393816E-13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215.89467197072673</v>
      </c>
      <c r="CE93" s="59">
        <f t="shared" si="94"/>
        <v>188.21397398859534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93.678404729252037</v>
      </c>
      <c r="CL93" s="21">
        <f>EXP(-LN(2)/25)*CL92+(1-EXP(-LN(2)/25))/(LN(2)/25)*Calculateur!CG93*Calculateur!CI93*VLOOKUP('Données projet'!$B$12,Paramètres!$A$1:$I$89,3,0)*0.475*44/12</f>
        <v>21.208592462141439</v>
      </c>
      <c r="CM93" s="21">
        <f>EXP(-LN(2)/2)*CM92+(1-EXP(-LN(2)/2))/(LN(2)/2)*CG93*CJ93*VLOOKUP('Données projet'!$B$12,Paramètres!$A$1:$I$89,3,0)*0.475*44/12</f>
        <v>0.87115553852028083</v>
      </c>
      <c r="CN93" s="22">
        <f t="shared" si="66"/>
        <v>115.75815272991376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4.6887464387464428</v>
      </c>
      <c r="CT93" s="12">
        <f>IF('Données projet'!$A$140&gt;35,CT92+CS93-DB92,IF(A93&lt;'Données projet'!$A$140,$CQ$205^A93,IF(A93='Données projet'!$A$140,'Données projet'!$B$140,CT92+CS93-DB92)))</f>
        <v>159.15242165242171</v>
      </c>
      <c r="CU93" s="17">
        <f>CT93*VLOOKUP('Données projet'!$B$13,Paramètres!$A$1:$I$89,3,0)*VLOOKUP('Données projet'!$B$13,Paramètres!$A$1:$I$89,5,0)</f>
        <v>161.38055555555562</v>
      </c>
      <c r="CV93" s="13">
        <f t="shared" si="95"/>
        <v>41.153747693666212</v>
      </c>
      <c r="CW93" s="20">
        <f t="shared" si="67"/>
        <v>352.74724482572805</v>
      </c>
      <c r="CX93" s="59">
        <f t="shared" si="68"/>
        <v>646.08057815906136</v>
      </c>
      <c r="CY93" s="59">
        <f ca="1">AVERAGE(OFFSET($CX$3,0,0,'Données projet'!$E$13+1,1))-AVERAGE(OFFSET($H$3,0,0,'Données projet'!$E$13+1,1))</f>
        <v>342.82846711287749</v>
      </c>
      <c r="CZ93" s="59">
        <f t="shared" si="96"/>
        <v>152.87724741106297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>
        <f>DO93*VLOOKUP('Données projet'!$B$14,Paramètres!$A$1:$I$89,3,0)*VLOOKUP('Données projet'!$B$14,Paramètres!$A$1:$I$89,5,0)</f>
        <v>0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208.48147873805715</v>
      </c>
      <c r="DU93" s="59">
        <f t="shared" si="98"/>
        <v>209.50570914630686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47.720809867672642</v>
      </c>
      <c r="EB93" s="21">
        <f>EXP(-LN(2)/25)*EB92+(1-EXP(-LN(2)/25))/(LN(2)/25)*Calculateur!DW93*Calculateur!DY93*VLOOKUP('Données projet'!$B$14,Paramètres!$A$1:$I$89,3,0)*0.475*44/12</f>
        <v>14.47788620788462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62.198696075557265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-1.7053025658242404E-13</v>
      </c>
      <c r="EK93" s="17">
        <f>EJ93*VLOOKUP('Données projet'!$B$15,Paramètres!$A$1:$I$89,3,0)*VLOOKUP('Données projet'!$B$15,Paramètres!$A$1:$I$89,5,0)</f>
        <v>-1.0197709343628959E-13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247.31680974612766</v>
      </c>
      <c r="EP93" s="59">
        <f t="shared" si="100"/>
        <v>257.13949761071882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71.61236448737705</v>
      </c>
      <c r="EW93" s="21">
        <f>EXP(-LN(2)/25)*EW92+(1-EXP(-LN(2)/25))/(LN(2)/25)*Calculateur!ER93*Calculateur!ET93*VLOOKUP('Données projet'!$B$15,Paramètres!$A$1:$I$89,3,0)*0.475*44/12</f>
        <v>15.730057789790665</v>
      </c>
      <c r="EX93" s="21">
        <f>EXP(-LN(2)/2)*EX92+(1-EXP(-LN(2)/2))/(LN(2)/2)*ER93*EU93*VLOOKUP('Données projet'!$B$15,Paramètres!$A$1:$I$89,3,0)*0.475*44/12</f>
        <v>9.754287258904495E-4</v>
      </c>
      <c r="EY93" s="22">
        <f t="shared" si="75"/>
        <v>87.343397705893608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16.183439999999983</v>
      </c>
      <c r="D94" s="11">
        <f t="shared" si="86"/>
        <v>5.3937033996471575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33.31208103805173</v>
      </c>
      <c r="H94" s="67">
        <f t="shared" si="56"/>
        <v>294.24685808771881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8.1391025641025667</v>
      </c>
      <c r="N94" s="13">
        <f>IF('Données projet'!$A$36&gt;35,N93+M94-V93,IF(A94&lt;'Données projet'!$A$36,$K$205^A94,IF(A94='Données projet'!$A$36,'Données projet'!$B$36,N93+M94-V93)))</f>
        <v>332.7564102564105</v>
      </c>
      <c r="O94" s="13">
        <f>N94*VLOOKUP('Données projet'!$B$9,Paramètres!$A$1:$I$89,3,0)*VLOOKUP('Données projet'!$B$9,Paramètres!$A$1:$I$89,5,0)</f>
        <v>155.7300000000001</v>
      </c>
      <c r="P94" s="13">
        <f t="shared" si="87"/>
        <v>39.877894002833592</v>
      </c>
      <c r="Q94" s="20">
        <f t="shared" si="54"/>
        <v>340.68374872160194</v>
      </c>
      <c r="R94" s="59">
        <f t="shared" si="55"/>
        <v>634.01708205493526</v>
      </c>
      <c r="S94" s="59">
        <f ca="1">AVERAGE(OFFSET($R$3,0,0,'Données projet'!$E$9+1,1))-AVERAGE(OFFSET($H$3,0,0,'Données projet'!$E$9+1,1))</f>
        <v>223.99456146593315</v>
      </c>
      <c r="T94" s="59">
        <f t="shared" si="88"/>
        <v>132.73290587325937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48.01437407588741</v>
      </c>
      <c r="AA94" s="21">
        <f>EXP(-LN(2)/25)*AA93+(1-EXP(-LN(2)/25))/(LN(2)/25)*Calculateur!V94*Calculateur!X94*VLOOKUP('Données projet'!$B$9,Paramètres!$A$1:$I$89,3,0)*0.475*44/12</f>
        <v>16.515235066595945</v>
      </c>
      <c r="AB94" s="21">
        <f>EXP(-LN(2)/2)*AB93+(1-EXP(-LN(2)/2))/(LN(2)/2)*V94*Y94*VLOOKUP('Données projet'!$B$9,Paramètres!$A$1:$I$89,3,0)*0.475*44/12</f>
        <v>1.4740845214913789</v>
      </c>
      <c r="AC94" s="22">
        <f t="shared" si="57"/>
        <v>66.00369366397473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8.5265128291212022E-14</v>
      </c>
      <c r="AJ94" s="13">
        <f>AI94*VLOOKUP('Données projet'!$B$10,Paramètres!$A$1:$I$89,3,0)*VLOOKUP('Données projet'!$B$10,Paramètres!$A$1:$I$89,5,0)</f>
        <v>5.5865712056402117E-14</v>
      </c>
      <c r="AK94" s="13">
        <f t="shared" si="89"/>
        <v>8.9811031843713517E-13</v>
      </c>
      <c r="AL94" s="20">
        <f t="shared" si="58"/>
        <v>1.6615082531095774E-12</v>
      </c>
      <c r="AM94" s="59">
        <f t="shared" si="59"/>
        <v>293.33333333333496</v>
      </c>
      <c r="AN94" s="59">
        <f ca="1">AVERAGE(OFFSET($AM$3,0,0,'Données projet'!$E$10+1,1))-AVERAGE(OFFSET($H$3,0,0,'Données projet'!$E$10+1,1))</f>
        <v>244.43587473734613</v>
      </c>
      <c r="AO94" s="59">
        <f t="shared" si="90"/>
        <v>256.80261402149375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18.069387627523287</v>
      </c>
      <c r="AV94" s="21">
        <f>EXP(-LN(2)/25)*AV93+(1-EXP(-LN(2)/25))/(LN(2)/25)*Calculateur!AQ94*Calculateur!AS94*VLOOKUP('Données projet'!$B$10,Paramètres!$A$1:$I$89,3,0)*0.475*44/12</f>
        <v>49.147437163799673</v>
      </c>
      <c r="AW94" s="21">
        <f>EXP(-LN(2)/2)*AW93+(1-EXP(-LN(2)/2))/(LN(2)/2)*AQ94*AT94*VLOOKUP('Données projet'!$B$10,Paramètres!$A$1:$I$89,3,0)*0.475*44/12</f>
        <v>22.148201381255689</v>
      </c>
      <c r="AX94" s="21">
        <f t="shared" si="60"/>
        <v>89.365026172578652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-2.2737367544323206E-13</v>
      </c>
      <c r="BE94" s="13">
        <f>BD94*VLOOKUP('Données projet'!$B$11,Paramètres!$A$1:$I$89,3,0)*VLOOKUP('Données projet'!$B$11,Paramètres!$A$1:$I$89,5,0)</f>
        <v>-1.2710188457276673E-13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430.60186171079067</v>
      </c>
      <c r="BJ94" s="59">
        <f t="shared" si="92"/>
        <v>533.76627289533985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140.05868669117211</v>
      </c>
      <c r="BQ94" s="21">
        <f>EXP(-LN(2)/25)*BQ93+(1-EXP(-LN(2)/25))/(LN(2)/25)*Calculateur!BL94*Calculateur!BN94*VLOOKUP('Données projet'!$B$11,Paramètres!$A$1:$I$89,3,0)*0.475*44/12</f>
        <v>27.27552349904267</v>
      </c>
      <c r="BR94" s="21">
        <f>EXP(-LN(2)/2)*BR93+(1-EXP(-LN(2)/2))/(LN(2)/2)*BL94*BO94*VLOOKUP('Données projet'!$B$11,Paramètres!$A$1:$I$89,3,0)*0.475*44/12</f>
        <v>1.2153581310033034E-3</v>
      </c>
      <c r="BS94" s="22">
        <f t="shared" si="63"/>
        <v>167.33542554834577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-1.69961822393816E-13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215.89467197072673</v>
      </c>
      <c r="CE94" s="59">
        <f t="shared" si="94"/>
        <v>188.21397398859534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91.841428350696361</v>
      </c>
      <c r="CL94" s="21">
        <f>EXP(-LN(2)/25)*CL93+(1-EXP(-LN(2)/25))/(LN(2)/25)*Calculateur!CG94*Calculateur!CI94*VLOOKUP('Données projet'!$B$12,Paramètres!$A$1:$I$89,3,0)*0.475*44/12</f>
        <v>20.628642385952777</v>
      </c>
      <c r="CM94" s="21">
        <f>EXP(-LN(2)/2)*CM93+(1-EXP(-LN(2)/2))/(LN(2)/2)*CG94*CJ94*VLOOKUP('Données projet'!$B$12,Paramètres!$A$1:$I$89,3,0)*0.475*44/12</f>
        <v>0.61599998875590922</v>
      </c>
      <c r="CN94" s="22">
        <f t="shared" si="66"/>
        <v>113.08607072540504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4.6887464387464428</v>
      </c>
      <c r="CT94" s="12">
        <f>IF('Données projet'!$A$140&gt;35,CT93+CS94-DB93,IF(A94&lt;'Données projet'!$A$140,$CQ$205^A94,IF(A94='Données projet'!$A$140,'Données projet'!$B$140,CT93+CS94-DB93)))</f>
        <v>163.84116809116816</v>
      </c>
      <c r="CU94" s="17">
        <f>CT94*VLOOKUP('Données projet'!$B$13,Paramètres!$A$1:$I$89,3,0)*VLOOKUP('Données projet'!$B$13,Paramètres!$A$1:$I$89,5,0)</f>
        <v>166.13494444444453</v>
      </c>
      <c r="CV94" s="13">
        <f t="shared" si="95"/>
        <v>42.223224473712335</v>
      </c>
      <c r="CW94" s="20">
        <f t="shared" si="67"/>
        <v>362.89047753245654</v>
      </c>
      <c r="CX94" s="59">
        <f t="shared" si="68"/>
        <v>656.2238108657898</v>
      </c>
      <c r="CY94" s="59">
        <f ca="1">AVERAGE(OFFSET($CX$3,0,0,'Données projet'!$E$13+1,1))-AVERAGE(OFFSET($H$3,0,0,'Données projet'!$E$13+1,1))</f>
        <v>342.82846711287749</v>
      </c>
      <c r="CZ94" s="59">
        <f t="shared" si="96"/>
        <v>152.87724741106297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>
        <f>DO94*VLOOKUP('Données projet'!$B$14,Paramètres!$A$1:$I$89,3,0)*VLOOKUP('Données projet'!$B$14,Paramètres!$A$1:$I$89,5,0)</f>
        <v>0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208.48147873805715</v>
      </c>
      <c r="DU94" s="59">
        <f t="shared" si="98"/>
        <v>209.50570914630686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46.785033892987542</v>
      </c>
      <c r="EB94" s="21">
        <f>EXP(-LN(2)/25)*EB93+(1-EXP(-LN(2)/25))/(LN(2)/25)*Calculateur!DW94*Calculateur!DY94*VLOOKUP('Données projet'!$B$14,Paramètres!$A$1:$I$89,3,0)*0.475*44/12</f>
        <v>14.081987648171069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60.867021541158607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-1.7053025658242404E-13</v>
      </c>
      <c r="EK94" s="17">
        <f>EJ94*VLOOKUP('Données projet'!$B$15,Paramètres!$A$1:$I$89,3,0)*VLOOKUP('Données projet'!$B$15,Paramètres!$A$1:$I$89,5,0)</f>
        <v>-1.0197709343628959E-13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247.31680974612766</v>
      </c>
      <c r="EP94" s="59">
        <f t="shared" si="100"/>
        <v>257.13949761071882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70.208089699008951</v>
      </c>
      <c r="EW94" s="21">
        <f>EXP(-LN(2)/25)*EW93+(1-EXP(-LN(2)/25))/(LN(2)/25)*Calculateur!ER94*Calculateur!ET94*VLOOKUP('Données projet'!$B$15,Paramètres!$A$1:$I$89,3,0)*0.475*44/12</f>
        <v>15.299918532321051</v>
      </c>
      <c r="EX94" s="21">
        <f>EXP(-LN(2)/2)*EX93+(1-EXP(-LN(2)/2))/(LN(2)/2)*ER94*EU94*VLOOKUP('Données projet'!$B$15,Paramètres!$A$1:$I$89,3,0)*0.475*44/12</f>
        <v>6.8973226664129094E-4</v>
      </c>
      <c r="EY94" s="22">
        <f t="shared" si="75"/>
        <v>85.508697963596632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16.361279999999983</v>
      </c>
      <c r="D95" s="11">
        <f t="shared" si="86"/>
        <v>5.4460423078964162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33.667444966576902</v>
      </c>
      <c r="H95" s="67">
        <f t="shared" si="56"/>
        <v>294.64775301958622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8.1391025641025667</v>
      </c>
      <c r="N95" s="13">
        <f>IF('Données projet'!$A$36&gt;35,N94+M95-V94,IF(A95&lt;'Données projet'!$A$36,$K$205^A95,IF(A95='Données projet'!$A$36,'Données projet'!$B$36,N94+M95-V94)))</f>
        <v>340.89551282051309</v>
      </c>
      <c r="O95" s="13">
        <f>N95*VLOOKUP('Données projet'!$B$9,Paramètres!$A$1:$I$89,3,0)*VLOOKUP('Données projet'!$B$9,Paramètres!$A$1:$I$89,5,0)</f>
        <v>159.53910000000013</v>
      </c>
      <c r="P95" s="13">
        <f t="shared" si="87"/>
        <v>40.73854067777345</v>
      </c>
      <c r="Q95" s="20">
        <f t="shared" si="54"/>
        <v>348.81689084712229</v>
      </c>
      <c r="R95" s="59">
        <f t="shared" si="55"/>
        <v>642.15022418045555</v>
      </c>
      <c r="S95" s="59">
        <f ca="1">AVERAGE(OFFSET($R$3,0,0,'Données projet'!$E$9+1,1))-AVERAGE(OFFSET($H$3,0,0,'Données projet'!$E$9+1,1))</f>
        <v>223.99456146593315</v>
      </c>
      <c r="T95" s="59">
        <f t="shared" si="88"/>
        <v>132.73290587325937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47.072841486135701</v>
      </c>
      <c r="AA95" s="21">
        <f>EXP(-LN(2)/25)*AA94+(1-EXP(-LN(2)/25))/(LN(2)/25)*Calculateur!V95*Calculateur!X95*VLOOKUP('Données projet'!$B$9,Paramètres!$A$1:$I$89,3,0)*0.475*44/12</f>
        <v>16.063625095201413</v>
      </c>
      <c r="AB95" s="21">
        <f>EXP(-LN(2)/2)*AB94+(1-EXP(-LN(2)/2))/(LN(2)/2)*V95*Y95*VLOOKUP('Données projet'!$B$9,Paramètres!$A$1:$I$89,3,0)*0.475*44/12</f>
        <v>1.0423351611886811</v>
      </c>
      <c r="AC95" s="22">
        <f t="shared" si="57"/>
        <v>64.178801742525792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8.5265128291212022E-14</v>
      </c>
      <c r="AJ95" s="13">
        <f>AI95*VLOOKUP('Données projet'!$B$10,Paramètres!$A$1:$I$89,3,0)*VLOOKUP('Données projet'!$B$10,Paramètres!$A$1:$I$89,5,0)</f>
        <v>5.5865712056402117E-14</v>
      </c>
      <c r="AK95" s="13">
        <f t="shared" si="89"/>
        <v>8.9811031843713517E-13</v>
      </c>
      <c r="AL95" s="20">
        <f t="shared" si="58"/>
        <v>1.6615082531095774E-12</v>
      </c>
      <c r="AM95" s="59">
        <f t="shared" si="59"/>
        <v>293.33333333333496</v>
      </c>
      <c r="AN95" s="59">
        <f ca="1">AVERAGE(OFFSET($AM$3,0,0,'Données projet'!$E$10+1,1))-AVERAGE(OFFSET($H$3,0,0,'Données projet'!$E$10+1,1))</f>
        <v>244.43587473734613</v>
      </c>
      <c r="AO95" s="59">
        <f t="shared" si="90"/>
        <v>256.80261402149375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17.715057957385753</v>
      </c>
      <c r="AV95" s="21">
        <f>EXP(-LN(2)/25)*AV94+(1-EXP(-LN(2)/25))/(LN(2)/25)*Calculateur!AQ95*Calculateur!AS95*VLOOKUP('Données projet'!$B$10,Paramètres!$A$1:$I$89,3,0)*0.475*44/12</f>
        <v>47.803497910004175</v>
      </c>
      <c r="AW95" s="21">
        <f>EXP(-LN(2)/2)*AW94+(1-EXP(-LN(2)/2))/(LN(2)/2)*AQ95*AT95*VLOOKUP('Données projet'!$B$10,Paramètres!$A$1:$I$89,3,0)*0.475*44/12</f>
        <v>15.661143387771157</v>
      </c>
      <c r="AX95" s="21">
        <f t="shared" si="60"/>
        <v>81.179699255161083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-2.2737367544323206E-13</v>
      </c>
      <c r="BE95" s="13">
        <f>BD95*VLOOKUP('Données projet'!$B$11,Paramètres!$A$1:$I$89,3,0)*VLOOKUP('Données projet'!$B$11,Paramètres!$A$1:$I$89,5,0)</f>
        <v>-1.2710188457276673E-13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430.60186171079067</v>
      </c>
      <c r="BJ95" s="59">
        <f t="shared" si="92"/>
        <v>533.76627289533985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137.31222127252187</v>
      </c>
      <c r="BQ95" s="21">
        <f>EXP(-LN(2)/25)*BQ94+(1-EXP(-LN(2)/25))/(LN(2)/25)*Calculateur!BL95*Calculateur!BN95*VLOOKUP('Données projet'!$B$11,Paramètres!$A$1:$I$89,3,0)*0.475*44/12</f>
        <v>26.529672874603907</v>
      </c>
      <c r="BR95" s="21">
        <f>EXP(-LN(2)/2)*BR94+(1-EXP(-LN(2)/2))/(LN(2)/2)*BL95*BO95*VLOOKUP('Données projet'!$B$11,Paramètres!$A$1:$I$89,3,0)*0.475*44/12</f>
        <v>8.5938797600264424E-4</v>
      </c>
      <c r="BS95" s="22">
        <f t="shared" si="63"/>
        <v>163.84275353510176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-1.69961822393816E-13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215.89467197072673</v>
      </c>
      <c r="CE95" s="59">
        <f t="shared" si="94"/>
        <v>188.21397398859534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90.040473958479211</v>
      </c>
      <c r="CL95" s="21">
        <f>EXP(-LN(2)/25)*CL94+(1-EXP(-LN(2)/25))/(LN(2)/25)*Calculateur!CG95*Calculateur!CI95*VLOOKUP('Données projet'!$B$12,Paramètres!$A$1:$I$89,3,0)*0.475*44/12</f>
        <v>20.064551075095743</v>
      </c>
      <c r="CM95" s="21">
        <f>EXP(-LN(2)/2)*CM94+(1-EXP(-LN(2)/2))/(LN(2)/2)*CG95*CJ95*VLOOKUP('Données projet'!$B$12,Paramètres!$A$1:$I$89,3,0)*0.475*44/12</f>
        <v>0.43557776926014047</v>
      </c>
      <c r="CN95" s="22">
        <f t="shared" si="66"/>
        <v>110.54060280283508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4.6887464387464428</v>
      </c>
      <c r="CT95" s="12">
        <f>IF('Données projet'!$A$140&gt;35,CT94+CS95-DB94,IF(A95&lt;'Données projet'!$A$140,$CQ$205^A95,IF(A95='Données projet'!$A$140,'Données projet'!$B$140,CT94+CS95-DB94)))</f>
        <v>168.52991452991461</v>
      </c>
      <c r="CU95" s="17">
        <f>CT95*VLOOKUP('Données projet'!$B$13,Paramètres!$A$1:$I$89,3,0)*VLOOKUP('Données projet'!$B$13,Paramètres!$A$1:$I$89,5,0)</f>
        <v>170.88933333333341</v>
      </c>
      <c r="CV95" s="13">
        <f t="shared" si="95"/>
        <v>43.289144141619694</v>
      </c>
      <c r="CW95" s="20">
        <f t="shared" si="67"/>
        <v>373.02751493554325</v>
      </c>
      <c r="CX95" s="59">
        <f t="shared" si="68"/>
        <v>666.36084826887657</v>
      </c>
      <c r="CY95" s="59">
        <f ca="1">AVERAGE(OFFSET($CX$3,0,0,'Données projet'!$E$13+1,1))-AVERAGE(OFFSET($H$3,0,0,'Données projet'!$E$13+1,1))</f>
        <v>342.82846711287749</v>
      </c>
      <c r="CZ95" s="59">
        <f t="shared" si="96"/>
        <v>152.87724741106297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>
        <f>DO95*VLOOKUP('Données projet'!$B$14,Paramètres!$A$1:$I$89,3,0)*VLOOKUP('Données projet'!$B$14,Paramètres!$A$1:$I$89,5,0)</f>
        <v>0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208.48147873805715</v>
      </c>
      <c r="DU95" s="59">
        <f t="shared" si="98"/>
        <v>209.50570914630686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45.867607914399031</v>
      </c>
      <c r="EB95" s="21">
        <f>EXP(-LN(2)/25)*EB94+(1-EXP(-LN(2)/25))/(LN(2)/25)*Calculateur!DW95*Calculateur!DY95*VLOOKUP('Données projet'!$B$14,Paramètres!$A$1:$I$89,3,0)*0.475*44/12</f>
        <v>13.696914955392286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59.564522869791318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-1.7053025658242404E-13</v>
      </c>
      <c r="EK95" s="17">
        <f>EJ95*VLOOKUP('Données projet'!$B$15,Paramètres!$A$1:$I$89,3,0)*VLOOKUP('Données projet'!$B$15,Paramètres!$A$1:$I$89,5,0)</f>
        <v>-1.0197709343628959E-13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247.31680974612766</v>
      </c>
      <c r="EP95" s="59">
        <f t="shared" si="100"/>
        <v>257.13949761071882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68.831351882717712</v>
      </c>
      <c r="EW95" s="21">
        <f>EXP(-LN(2)/25)*EW94+(1-EXP(-LN(2)/25))/(LN(2)/25)*Calculateur!ER95*Calculateur!ET95*VLOOKUP('Données projet'!$B$15,Paramètres!$A$1:$I$89,3,0)*0.475*44/12</f>
        <v>14.881541455466985</v>
      </c>
      <c r="EX95" s="21">
        <f>EXP(-LN(2)/2)*EX94+(1-EXP(-LN(2)/2))/(LN(2)/2)*ER95*EU95*VLOOKUP('Données projet'!$B$15,Paramètres!$A$1:$I$89,3,0)*0.475*44/12</f>
        <v>4.877143629452248E-4</v>
      </c>
      <c r="EY95" s="22">
        <f t="shared" si="75"/>
        <v>83.713381052547646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16.539119999999983</v>
      </c>
      <c r="D96" s="11">
        <f t="shared" si="86"/>
        <v>5.4983150365442981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34.022706723085911</v>
      </c>
      <c r="H96" s="67">
        <f t="shared" si="56"/>
        <v>295.04853268864798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8.1391025641025667</v>
      </c>
      <c r="N96" s="13">
        <f>IF('Données projet'!$A$36&gt;35,N95+M96-V95,IF(A96&lt;'Données projet'!$A$36,$K$205^A96,IF(A96='Données projet'!$A$36,'Données projet'!$B$36,N95+M96-V95)))</f>
        <v>349.03461538461568</v>
      </c>
      <c r="O96" s="13">
        <f>N96*VLOOKUP('Données projet'!$B$9,Paramètres!$A$1:$I$89,3,0)*VLOOKUP('Données projet'!$B$9,Paramètres!$A$1:$I$89,5,0)</f>
        <v>163.34820000000013</v>
      </c>
      <c r="P96" s="13">
        <f t="shared" si="87"/>
        <v>41.596798587958098</v>
      </c>
      <c r="Q96" s="20">
        <f t="shared" si="54"/>
        <v>356.94587254069387</v>
      </c>
      <c r="R96" s="59">
        <f t="shared" si="55"/>
        <v>650.27920587402718</v>
      </c>
      <c r="S96" s="59">
        <f ca="1">AVERAGE(OFFSET($R$3,0,0,'Données projet'!$E$9+1,1))-AVERAGE(OFFSET($H$3,0,0,'Données projet'!$E$9+1,1))</f>
        <v>223.99456146593315</v>
      </c>
      <c r="T96" s="59">
        <f t="shared" si="88"/>
        <v>132.73290587325937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46.149771776190853</v>
      </c>
      <c r="AA96" s="21">
        <f>EXP(-LN(2)/25)*AA95+(1-EXP(-LN(2)/25))/(LN(2)/25)*Calculateur!V96*Calculateur!X96*VLOOKUP('Données projet'!$B$9,Paramètres!$A$1:$I$89,3,0)*0.475*44/12</f>
        <v>15.624364422223801</v>
      </c>
      <c r="AB96" s="21">
        <f>EXP(-LN(2)/2)*AB95+(1-EXP(-LN(2)/2))/(LN(2)/2)*V96*Y96*VLOOKUP('Données projet'!$B$9,Paramètres!$A$1:$I$89,3,0)*0.475*44/12</f>
        <v>0.73704226074568946</v>
      </c>
      <c r="AC96" s="22">
        <f t="shared" si="57"/>
        <v>62.511178459160341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8.5265128291212022E-14</v>
      </c>
      <c r="AJ96" s="13">
        <f>AI96*VLOOKUP('Données projet'!$B$10,Paramètres!$A$1:$I$89,3,0)*VLOOKUP('Données projet'!$B$10,Paramètres!$A$1:$I$89,5,0)</f>
        <v>5.5865712056402117E-14</v>
      </c>
      <c r="AK96" s="13">
        <f t="shared" si="89"/>
        <v>8.9811031843713517E-13</v>
      </c>
      <c r="AL96" s="20">
        <f t="shared" si="58"/>
        <v>1.6615082531095774E-12</v>
      </c>
      <c r="AM96" s="59">
        <f t="shared" si="59"/>
        <v>293.33333333333496</v>
      </c>
      <c r="AN96" s="59">
        <f ca="1">AVERAGE(OFFSET($AM$3,0,0,'Données projet'!$E$10+1,1))-AVERAGE(OFFSET($H$3,0,0,'Données projet'!$E$10+1,1))</f>
        <v>244.43587473734613</v>
      </c>
      <c r="AO96" s="59">
        <f t="shared" si="90"/>
        <v>256.80261402149375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17.367676475959854</v>
      </c>
      <c r="AV96" s="21">
        <f>EXP(-LN(2)/25)*AV95+(1-EXP(-LN(2)/25))/(LN(2)/25)*Calculateur!AQ96*Calculateur!AS96*VLOOKUP('Données projet'!$B$10,Paramètres!$A$1:$I$89,3,0)*0.475*44/12</f>
        <v>46.496308745778414</v>
      </c>
      <c r="AW96" s="21">
        <f>EXP(-LN(2)/2)*AW95+(1-EXP(-LN(2)/2))/(LN(2)/2)*AQ96*AT96*VLOOKUP('Données projet'!$B$10,Paramètres!$A$1:$I$89,3,0)*0.475*44/12</f>
        <v>11.074100690627846</v>
      </c>
      <c r="AX96" s="21">
        <f t="shared" si="60"/>
        <v>74.93808591236612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-2.2737367544323206E-13</v>
      </c>
      <c r="BE96" s="13">
        <f>BD96*VLOOKUP('Données projet'!$B$11,Paramètres!$A$1:$I$89,3,0)*VLOOKUP('Données projet'!$B$11,Paramètres!$A$1:$I$89,5,0)</f>
        <v>-1.2710188457276673E-13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430.60186171079067</v>
      </c>
      <c r="BJ96" s="59">
        <f t="shared" si="92"/>
        <v>533.76627289533985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134.61961236555285</v>
      </c>
      <c r="BQ96" s="21">
        <f>EXP(-LN(2)/25)*BQ95+(1-EXP(-LN(2)/25))/(LN(2)/25)*Calculateur!BL96*Calculateur!BN96*VLOOKUP('Données projet'!$B$11,Paramètres!$A$1:$I$89,3,0)*0.475*44/12</f>
        <v>25.804217574713</v>
      </c>
      <c r="BR96" s="21">
        <f>EXP(-LN(2)/2)*BR95+(1-EXP(-LN(2)/2))/(LN(2)/2)*BL96*BO96*VLOOKUP('Données projet'!$B$11,Paramètres!$A$1:$I$89,3,0)*0.475*44/12</f>
        <v>6.076790655016517E-4</v>
      </c>
      <c r="BS96" s="22">
        <f t="shared" si="63"/>
        <v>160.42443761933134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-1.69961822393816E-13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215.89467197072673</v>
      </c>
      <c r="CE96" s="59">
        <f t="shared" si="94"/>
        <v>188.21397398859534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88.274835183419725</v>
      </c>
      <c r="CL96" s="21">
        <f>EXP(-LN(2)/25)*CL95+(1-EXP(-LN(2)/25))/(LN(2)/25)*Calculateur!CG96*Calculateur!CI96*VLOOKUP('Données projet'!$B$12,Paramètres!$A$1:$I$89,3,0)*0.475*44/12</f>
        <v>19.515884870798367</v>
      </c>
      <c r="CM96" s="21">
        <f>EXP(-LN(2)/2)*CM95+(1-EXP(-LN(2)/2))/(LN(2)/2)*CG96*CJ96*VLOOKUP('Données projet'!$B$12,Paramètres!$A$1:$I$89,3,0)*0.475*44/12</f>
        <v>0.30799999437795467</v>
      </c>
      <c r="CN96" s="22">
        <f t="shared" si="66"/>
        <v>108.09872004859605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4.6887464387464428</v>
      </c>
      <c r="CT96" s="12">
        <f>IF('Données projet'!$A$140&gt;35,CT95+CS96-DB95,IF(A96&lt;'Données projet'!$A$140,$CQ$205^A96,IF(A96='Données projet'!$A$140,'Données projet'!$B$140,CT95+CS96-DB95)))</f>
        <v>173.21866096866106</v>
      </c>
      <c r="CU96" s="17">
        <f>CT96*VLOOKUP('Données projet'!$B$13,Paramètres!$A$1:$I$89,3,0)*VLOOKUP('Données projet'!$B$13,Paramètres!$A$1:$I$89,5,0)</f>
        <v>175.64372222222232</v>
      </c>
      <c r="CV96" s="13">
        <f t="shared" si="95"/>
        <v>44.351617030944958</v>
      </c>
      <c r="CW96" s="20">
        <f t="shared" si="67"/>
        <v>383.15854919926636</v>
      </c>
      <c r="CX96" s="59">
        <f t="shared" si="68"/>
        <v>676.49188253259967</v>
      </c>
      <c r="CY96" s="59">
        <f ca="1">AVERAGE(OFFSET($CX$3,0,0,'Données projet'!$E$13+1,1))-AVERAGE(OFFSET($H$3,0,0,'Données projet'!$E$13+1,1))</f>
        <v>342.82846711287749</v>
      </c>
      <c r="CZ96" s="59">
        <f t="shared" si="96"/>
        <v>152.87724741106297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>
        <f>DO96*VLOOKUP('Données projet'!$B$14,Paramètres!$A$1:$I$89,3,0)*VLOOKUP('Données projet'!$B$14,Paramètres!$A$1:$I$89,5,0)</f>
        <v>0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208.48147873805715</v>
      </c>
      <c r="DU96" s="59">
        <f t="shared" si="98"/>
        <v>209.50570914630686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44.968172099676046</v>
      </c>
      <c r="EB96" s="21">
        <f>EXP(-LN(2)/25)*EB95+(1-EXP(-LN(2)/25))/(LN(2)/25)*Calculateur!DW96*Calculateur!DY96*VLOOKUP('Données projet'!$B$14,Paramètres!$A$1:$I$89,3,0)*0.475*44/12</f>
        <v>13.322372095647632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58.290544195323676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-1.7053025658242404E-13</v>
      </c>
      <c r="EK96" s="17">
        <f>EJ96*VLOOKUP('Données projet'!$B$15,Paramètres!$A$1:$I$89,3,0)*VLOOKUP('Données projet'!$B$15,Paramètres!$A$1:$I$89,5,0)</f>
        <v>-1.0197709343628959E-13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247.31680974612766</v>
      </c>
      <c r="EP96" s="59">
        <f t="shared" si="100"/>
        <v>257.13949761071882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67.481611055276787</v>
      </c>
      <c r="EW96" s="21">
        <f>EXP(-LN(2)/25)*EW95+(1-EXP(-LN(2)/25))/(LN(2)/25)*Calculateur!ER96*Calculateur!ET96*VLOOKUP('Données projet'!$B$15,Paramètres!$A$1:$I$89,3,0)*0.475*44/12</f>
        <v>14.474604921780987</v>
      </c>
      <c r="EX96" s="21">
        <f>EXP(-LN(2)/2)*EX95+(1-EXP(-LN(2)/2))/(LN(2)/2)*ER96*EU96*VLOOKUP('Données projet'!$B$15,Paramètres!$A$1:$I$89,3,0)*0.475*44/12</f>
        <v>3.4486613332064553E-4</v>
      </c>
      <c r="EY96" s="22">
        <f t="shared" si="75"/>
        <v>81.956560843191099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16.716959999999983</v>
      </c>
      <c r="D97" s="11">
        <f t="shared" si="86"/>
        <v>5.5505223795644456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34.377867533362625</v>
      </c>
      <c r="H97" s="67">
        <f t="shared" si="56"/>
        <v>295.44919847774139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8.1391025641025667</v>
      </c>
      <c r="N97" s="13">
        <f>IF('Données projet'!$A$36&gt;35,N96+M97-V96,IF(A97&lt;'Données projet'!$A$36,$K$205^A97,IF(A97='Données projet'!$A$36,'Données projet'!$B$36,N96+M97-V96)))</f>
        <v>357.17371794871826</v>
      </c>
      <c r="O97" s="13">
        <f>N97*VLOOKUP('Données projet'!$B$9,Paramètres!$A$1:$I$89,3,0)*VLOOKUP('Données projet'!$B$9,Paramètres!$A$1:$I$89,5,0)</f>
        <v>167.15730000000016</v>
      </c>
      <c r="P97" s="13">
        <f t="shared" si="87"/>
        <v>42.452729847677681</v>
      </c>
      <c r="Q97" s="20">
        <f t="shared" si="54"/>
        <v>365.07080198470561</v>
      </c>
      <c r="R97" s="59">
        <f t="shared" si="55"/>
        <v>658.40413531803893</v>
      </c>
      <c r="S97" s="59">
        <f ca="1">AVERAGE(OFFSET($R$3,0,0,'Données projet'!$E$9+1,1))-AVERAGE(OFFSET($H$3,0,0,'Données projet'!$E$9+1,1))</f>
        <v>223.99456146593315</v>
      </c>
      <c r="T97" s="59">
        <f t="shared" si="88"/>
        <v>132.73290587325937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45.244802900241091</v>
      </c>
      <c r="AA97" s="21">
        <f>EXP(-LN(2)/25)*AA96+(1-EXP(-LN(2)/25))/(LN(2)/25)*Calculateur!V97*Calculateur!X97*VLOOKUP('Données projet'!$B$9,Paramètres!$A$1:$I$89,3,0)*0.475*44/12</f>
        <v>15.197115355448476</v>
      </c>
      <c r="AB97" s="21">
        <f>EXP(-LN(2)/2)*AB96+(1-EXP(-LN(2)/2))/(LN(2)/2)*V97*Y97*VLOOKUP('Données projet'!$B$9,Paramètres!$A$1:$I$89,3,0)*0.475*44/12</f>
        <v>0.52116758059434054</v>
      </c>
      <c r="AC97" s="22">
        <f t="shared" si="57"/>
        <v>60.963085836283902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8.5265128291212022E-14</v>
      </c>
      <c r="AJ97" s="13">
        <f>AI97*VLOOKUP('Données projet'!$B$10,Paramètres!$A$1:$I$89,3,0)*VLOOKUP('Données projet'!$B$10,Paramètres!$A$1:$I$89,5,0)</f>
        <v>5.5865712056402117E-14</v>
      </c>
      <c r="AK97" s="13">
        <f t="shared" si="89"/>
        <v>8.9811031843713517E-13</v>
      </c>
      <c r="AL97" s="20">
        <f t="shared" si="58"/>
        <v>1.6615082531095774E-12</v>
      </c>
      <c r="AM97" s="59">
        <f t="shared" si="59"/>
        <v>293.33333333333496</v>
      </c>
      <c r="AN97" s="59">
        <f ca="1">AVERAGE(OFFSET($AM$3,0,0,'Données projet'!$E$10+1,1))-AVERAGE(OFFSET($H$3,0,0,'Données projet'!$E$10+1,1))</f>
        <v>244.43587473734613</v>
      </c>
      <c r="AO97" s="59">
        <f t="shared" si="90"/>
        <v>256.80261402149375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17.027106933502935</v>
      </c>
      <c r="AV97" s="21">
        <f>EXP(-LN(2)/25)*AV96+(1-EXP(-LN(2)/25))/(LN(2)/25)*Calculateur!AQ97*Calculateur!AS97*VLOOKUP('Données projet'!$B$10,Paramètres!$A$1:$I$89,3,0)*0.475*44/12</f>
        <v>45.224864737990494</v>
      </c>
      <c r="AW97" s="21">
        <f>EXP(-LN(2)/2)*AW96+(1-EXP(-LN(2)/2))/(LN(2)/2)*AQ97*AT97*VLOOKUP('Données projet'!$B$10,Paramètres!$A$1:$I$89,3,0)*0.475*44/12</f>
        <v>7.8305716938855801</v>
      </c>
      <c r="AX97" s="21">
        <f t="shared" si="60"/>
        <v>70.08254336537901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-2.2737367544323206E-13</v>
      </c>
      <c r="BE97" s="13">
        <f>BD97*VLOOKUP('Données projet'!$B$11,Paramètres!$A$1:$I$89,3,0)*VLOOKUP('Données projet'!$B$11,Paramètres!$A$1:$I$89,5,0)</f>
        <v>-1.2710188457276673E-13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430.60186171079067</v>
      </c>
      <c r="BJ97" s="59">
        <f t="shared" si="92"/>
        <v>533.76627289533985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131.97980387692024</v>
      </c>
      <c r="BQ97" s="21">
        <f>EXP(-LN(2)/25)*BQ96+(1-EXP(-LN(2)/25))/(LN(2)/25)*Calculateur!BL97*Calculateur!BN97*VLOOKUP('Données projet'!$B$11,Paramètres!$A$1:$I$89,3,0)*0.475*44/12</f>
        <v>25.098599888147646</v>
      </c>
      <c r="BR97" s="21">
        <f>EXP(-LN(2)/2)*BR96+(1-EXP(-LN(2)/2))/(LN(2)/2)*BL97*BO97*VLOOKUP('Données projet'!$B$11,Paramètres!$A$1:$I$89,3,0)*0.475*44/12</f>
        <v>4.2969398800132212E-4</v>
      </c>
      <c r="BS97" s="22">
        <f t="shared" si="63"/>
        <v>157.07883345905589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-1.69961822393816E-13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215.89467197072673</v>
      </c>
      <c r="CE97" s="59">
        <f t="shared" si="94"/>
        <v>188.21397398859534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86.543819507805836</v>
      </c>
      <c r="CL97" s="21">
        <f>EXP(-LN(2)/25)*CL96+(1-EXP(-LN(2)/25))/(LN(2)/25)*Calculateur!CG97*Calculateur!CI97*VLOOKUP('Données projet'!$B$12,Paramètres!$A$1:$I$89,3,0)*0.475*44/12</f>
        <v>18.982221972710605</v>
      </c>
      <c r="CM97" s="21">
        <f>EXP(-LN(2)/2)*CM96+(1-EXP(-LN(2)/2))/(LN(2)/2)*CG97*CJ97*VLOOKUP('Données projet'!$B$12,Paramètres!$A$1:$I$89,3,0)*0.475*44/12</f>
        <v>0.21778888463007026</v>
      </c>
      <c r="CN97" s="22">
        <f t="shared" si="66"/>
        <v>105.74383036514651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4.6887464387464428</v>
      </c>
      <c r="CT97" s="12">
        <f>IF('Données projet'!$A$140&gt;35,CT96+CS97-DB96,IF(A97&lt;'Données projet'!$A$140,$CQ$205^A97,IF(A97='Données projet'!$A$140,'Données projet'!$B$140,CT96+CS97-DB96)))</f>
        <v>177.9074074074075</v>
      </c>
      <c r="CU97" s="17">
        <f>CT97*VLOOKUP('Données projet'!$B$13,Paramètres!$A$1:$I$89,3,0)*VLOOKUP('Données projet'!$B$13,Paramètres!$A$1:$I$89,5,0)</f>
        <v>180.39811111111123</v>
      </c>
      <c r="CV97" s="13">
        <f t="shared" si="95"/>
        <v>45.410747162129844</v>
      </c>
      <c r="CW97" s="20">
        <f t="shared" si="67"/>
        <v>393.2837614925615</v>
      </c>
      <c r="CX97" s="59">
        <f t="shared" si="68"/>
        <v>686.61709482589481</v>
      </c>
      <c r="CY97" s="59">
        <f ca="1">AVERAGE(OFFSET($CX$3,0,0,'Données projet'!$E$13+1,1))-AVERAGE(OFFSET($H$3,0,0,'Données projet'!$E$13+1,1))</f>
        <v>342.82846711287749</v>
      </c>
      <c r="CZ97" s="59">
        <f t="shared" si="96"/>
        <v>152.87724741106297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>
        <f>DO97*VLOOKUP('Données projet'!$B$14,Paramètres!$A$1:$I$89,3,0)*VLOOKUP('Données projet'!$B$14,Paramètres!$A$1:$I$89,5,0)</f>
        <v>0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208.48147873805715</v>
      </c>
      <c r="DU97" s="59">
        <f t="shared" si="98"/>
        <v>209.50570914630686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44.0863736726781</v>
      </c>
      <c r="EB97" s="21">
        <f>EXP(-LN(2)/25)*EB96+(1-EXP(-LN(2)/25))/(LN(2)/25)*Calculateur!DW97*Calculateur!DY97*VLOOKUP('Données projet'!$B$14,Paramètres!$A$1:$I$89,3,0)*0.475*44/12</f>
        <v>12.958071130099047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57.04444480277715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-1.7053025658242404E-13</v>
      </c>
      <c r="EK97" s="17">
        <f>EJ97*VLOOKUP('Données projet'!$B$15,Paramètres!$A$1:$I$89,3,0)*VLOOKUP('Données projet'!$B$15,Paramètres!$A$1:$I$89,5,0)</f>
        <v>-1.0197709343628959E-13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247.31680974612766</v>
      </c>
      <c r="EP97" s="59">
        <f t="shared" si="100"/>
        <v>257.13949761071882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66.158337822201375</v>
      </c>
      <c r="EW97" s="21">
        <f>EXP(-LN(2)/25)*EW96+(1-EXP(-LN(2)/25))/(LN(2)/25)*Calculateur!ER97*Calculateur!ET97*VLOOKUP('Données projet'!$B$15,Paramètres!$A$1:$I$89,3,0)*0.475*44/12</f>
        <v>14.078796089008495</v>
      </c>
      <c r="EX97" s="21">
        <f>EXP(-LN(2)/2)*EX96+(1-EXP(-LN(2)/2))/(LN(2)/2)*ER97*EU97*VLOOKUP('Données projet'!$B$15,Paramètres!$A$1:$I$89,3,0)*0.475*44/12</f>
        <v>2.4385718147261243E-4</v>
      </c>
      <c r="EY97" s="22">
        <f t="shared" si="75"/>
        <v>80.23737776839134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16.894799999999982</v>
      </c>
      <c r="D98" s="11">
        <f t="shared" si="86"/>
        <v>5.602665113064341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34.73292859560808</v>
      </c>
      <c r="H98" s="67">
        <f t="shared" si="56"/>
        <v>295.84975173858703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8.1391025641025667</v>
      </c>
      <c r="N98" s="13">
        <f>IF('Données projet'!$A$36&gt;35,N97+M98-V97,IF(A98&lt;'Données projet'!$A$36,$K$205^A98,IF(A98='Données projet'!$A$36,'Données projet'!$B$36,N97+M98-V97)))</f>
        <v>365.31282051282085</v>
      </c>
      <c r="O98" s="13">
        <f>N98*VLOOKUP('Données projet'!$B$9,Paramètres!$A$1:$I$89,3,0)*VLOOKUP('Données projet'!$B$9,Paramètres!$A$1:$I$89,5,0)</f>
        <v>170.96640000000016</v>
      </c>
      <c r="P98" s="13">
        <f t="shared" si="87"/>
        <v>43.306393578795678</v>
      </c>
      <c r="Q98" s="20">
        <f t="shared" si="54"/>
        <v>373.19178214973607</v>
      </c>
      <c r="R98" s="59">
        <f t="shared" si="55"/>
        <v>666.52511548306938</v>
      </c>
      <c r="S98" s="59">
        <f ca="1">AVERAGE(OFFSET($R$3,0,0,'Données projet'!$E$9+1,1))-AVERAGE(OFFSET($H$3,0,0,'Données projet'!$E$9+1,1))</f>
        <v>223.99456146593315</v>
      </c>
      <c r="T98" s="59">
        <f t="shared" si="88"/>
        <v>132.73290587325937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44.357579911972195</v>
      </c>
      <c r="AA98" s="21">
        <f>EXP(-LN(2)/25)*AA97+(1-EXP(-LN(2)/25))/(LN(2)/25)*Calculateur!V98*Calculateur!X98*VLOOKUP('Données projet'!$B$9,Paramètres!$A$1:$I$89,3,0)*0.475*44/12</f>
        <v>14.781549436872174</v>
      </c>
      <c r="AB98" s="21">
        <f>EXP(-LN(2)/2)*AB97+(1-EXP(-LN(2)/2))/(LN(2)/2)*V98*Y98*VLOOKUP('Données projet'!$B$9,Paramètres!$A$1:$I$89,3,0)*0.475*44/12</f>
        <v>0.36852113037284473</v>
      </c>
      <c r="AC98" s="22">
        <f t="shared" si="57"/>
        <v>59.507650479217219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8.5265128291212022E-14</v>
      </c>
      <c r="AJ98" s="13">
        <f>AI98*VLOOKUP('Données projet'!$B$10,Paramètres!$A$1:$I$89,3,0)*VLOOKUP('Données projet'!$B$10,Paramètres!$A$1:$I$89,5,0)</f>
        <v>5.5865712056402117E-14</v>
      </c>
      <c r="AK98" s="13">
        <f t="shared" si="89"/>
        <v>8.9811031843713517E-13</v>
      </c>
      <c r="AL98" s="20">
        <f t="shared" si="58"/>
        <v>1.6615082531095774E-12</v>
      </c>
      <c r="AM98" s="59">
        <f t="shared" si="59"/>
        <v>293.33333333333496</v>
      </c>
      <c r="AN98" s="59">
        <f ca="1">AVERAGE(OFFSET($AM$3,0,0,'Données projet'!$E$10+1,1))-AVERAGE(OFFSET($H$3,0,0,'Données projet'!$E$10+1,1))</f>
        <v>244.43587473734613</v>
      </c>
      <c r="AO98" s="59">
        <f t="shared" si="90"/>
        <v>256.80261402149375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16.693215752046687</v>
      </c>
      <c r="AV98" s="21">
        <f>EXP(-LN(2)/25)*AV97+(1-EXP(-LN(2)/25))/(LN(2)/25)*Calculateur!AQ98*Calculateur!AS98*VLOOKUP('Données projet'!$B$10,Paramètres!$A$1:$I$89,3,0)*0.475*44/12</f>
        <v>43.988188433457871</v>
      </c>
      <c r="AW98" s="21">
        <f>EXP(-LN(2)/2)*AW97+(1-EXP(-LN(2)/2))/(LN(2)/2)*AQ98*AT98*VLOOKUP('Données projet'!$B$10,Paramètres!$A$1:$I$89,3,0)*0.475*44/12</f>
        <v>5.5370503453139239</v>
      </c>
      <c r="AX98" s="21">
        <f t="shared" si="60"/>
        <v>66.218454530818491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-2.2737367544323206E-13</v>
      </c>
      <c r="BE98" s="13">
        <f>BD98*VLOOKUP('Données projet'!$B$11,Paramètres!$A$1:$I$89,3,0)*VLOOKUP('Données projet'!$B$11,Paramètres!$A$1:$I$89,5,0)</f>
        <v>-1.2710188457276673E-13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430.60186171079067</v>
      </c>
      <c r="BJ98" s="59">
        <f t="shared" si="92"/>
        <v>533.76627289533985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129.39176042262551</v>
      </c>
      <c r="BQ98" s="21">
        <f>EXP(-LN(2)/25)*BQ97+(1-EXP(-LN(2)/25))/(LN(2)/25)*Calculateur!BL98*Calculateur!BN98*VLOOKUP('Données projet'!$B$11,Paramètres!$A$1:$I$89,3,0)*0.475*44/12</f>
        <v>24.412277354328243</v>
      </c>
      <c r="BR98" s="21">
        <f>EXP(-LN(2)/2)*BR97+(1-EXP(-LN(2)/2))/(LN(2)/2)*BL98*BO98*VLOOKUP('Données projet'!$B$11,Paramètres!$A$1:$I$89,3,0)*0.475*44/12</f>
        <v>3.0383953275082585E-4</v>
      </c>
      <c r="BS98" s="22">
        <f t="shared" si="63"/>
        <v>153.80434161648651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-1.69961822393816E-13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215.89467197072673</v>
      </c>
      <c r="CE98" s="59">
        <f t="shared" si="94"/>
        <v>188.21397398859534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84.846747993775423</v>
      </c>
      <c r="CL98" s="21">
        <f>EXP(-LN(2)/25)*CL97+(1-EXP(-LN(2)/25))/(LN(2)/25)*Calculateur!CG98*Calculateur!CI98*VLOOKUP('Données projet'!$B$12,Paramètres!$A$1:$I$89,3,0)*0.475*44/12</f>
        <v>18.463152114635164</v>
      </c>
      <c r="CM98" s="21">
        <f>EXP(-LN(2)/2)*CM97+(1-EXP(-LN(2)/2))/(LN(2)/2)*CG98*CJ98*VLOOKUP('Données projet'!$B$12,Paramètres!$A$1:$I$89,3,0)*0.475*44/12</f>
        <v>0.15399999718897733</v>
      </c>
      <c r="CN98" s="22">
        <f t="shared" si="66"/>
        <v>103.46390010559956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182.59615384615387</v>
      </c>
      <c r="CR98" s="12">
        <f>VLOOKUP(A98,'Données projet'!$A$139:$I$159,9,0)</f>
        <v>4.6887464387464428</v>
      </c>
      <c r="CS98" s="12">
        <f t="array" ref="CS98">INDEX(CR:CR,MIN(IF(ISNUMBER(CR98:CR294),ROW(CR98:CR294),"")))</f>
        <v>4.6887464387464428</v>
      </c>
      <c r="CT98" s="12">
        <f>IF('Données projet'!$A$140&gt;35,CT97+CS98-DB97,IF(A98&lt;'Données projet'!$A$140,$CQ$205^A98,IF(A98='Données projet'!$A$140,'Données projet'!$B$140,CT97+CS98-DB97)))</f>
        <v>182.59615384615395</v>
      </c>
      <c r="CU98" s="17">
        <f>CT98*VLOOKUP('Données projet'!$B$13,Paramètres!$A$1:$I$89,3,0)*VLOOKUP('Données projet'!$B$13,Paramètres!$A$1:$I$89,5,0)</f>
        <v>185.15250000000012</v>
      </c>
      <c r="CV98" s="13">
        <f t="shared" si="95"/>
        <v>46.466632760461891</v>
      </c>
      <c r="CW98" s="20">
        <f t="shared" si="67"/>
        <v>403.40332289113798</v>
      </c>
      <c r="CX98" s="59">
        <f t="shared" si="68"/>
        <v>696.73665622447129</v>
      </c>
      <c r="CY98" s="59">
        <f ca="1">AVERAGE(OFFSET($CX$3,0,0,'Données projet'!$E$13+1,1))-AVERAGE(OFFSET($H$3,0,0,'Données projet'!$E$13+1,1))</f>
        <v>342.82846711287749</v>
      </c>
      <c r="CZ98" s="59">
        <f t="shared" si="96"/>
        <v>152.87724741106297</v>
      </c>
      <c r="DA98" s="15">
        <f>IF(ISNA(VLOOKUP(A98,'Données projet'!$A$139:$I$159,3,0)),0,VLOOKUP(A98,'Données projet'!$A$139:$I$159,3,0))</f>
        <v>5</v>
      </c>
      <c r="DB98" s="15">
        <f>IF(ISNA(VLOOKUP(A98,'Données projet'!$A$139:$I$159,4,0)),0,VLOOKUP(A98,'Données projet'!$A$139:$I$159,4,0))</f>
        <v>30.634615384615383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>
        <f>DO98*VLOOKUP('Données projet'!$B$14,Paramètres!$A$1:$I$89,3,0)*VLOOKUP('Données projet'!$B$14,Paramètres!$A$1:$I$89,5,0)</f>
        <v>0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208.48147873805715</v>
      </c>
      <c r="DU98" s="59">
        <f t="shared" si="98"/>
        <v>209.50570914630686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43.22186677498965</v>
      </c>
      <c r="EB98" s="21">
        <f>EXP(-LN(2)/25)*EB97+(1-EXP(-LN(2)/25))/(LN(2)/25)*Calculateur!DW98*Calculateur!DY98*VLOOKUP('Données projet'!$B$14,Paramètres!$A$1:$I$89,3,0)*0.475*44/12</f>
        <v>12.603731993611143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55.825598768600791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-1.7053025658242404E-13</v>
      </c>
      <c r="EK98" s="17">
        <f>EJ98*VLOOKUP('Données projet'!$B$15,Paramètres!$A$1:$I$89,3,0)*VLOOKUP('Données projet'!$B$15,Paramètres!$A$1:$I$89,5,0)</f>
        <v>-1.0197709343628959E-13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247.31680974612766</v>
      </c>
      <c r="EP98" s="59">
        <f t="shared" si="100"/>
        <v>257.13949761071882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64.861013170109587</v>
      </c>
      <c r="EW98" s="21">
        <f>EXP(-LN(2)/25)*EW97+(1-EXP(-LN(2)/25))/(LN(2)/25)*Calculateur!ER98*Calculateur!ET98*VLOOKUP('Données projet'!$B$15,Paramètres!$A$1:$I$89,3,0)*0.475*44/12</f>
        <v>13.693810669582849</v>
      </c>
      <c r="EX98" s="21">
        <f>EXP(-LN(2)/2)*EX97+(1-EXP(-LN(2)/2))/(LN(2)/2)*ER98*EU98*VLOOKUP('Données projet'!$B$15,Paramètres!$A$1:$I$89,3,0)*0.475*44/12</f>
        <v>1.7243306666032279E-4</v>
      </c>
      <c r="EY98" s="22">
        <f t="shared" si="75"/>
        <v>78.554996272759098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17.072639999999982</v>
      </c>
      <c r="D99" s="11">
        <f t="shared" si="86"/>
        <v>5.6547439958710619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35.087891081344772</v>
      </c>
      <c r="H99" s="67">
        <f t="shared" si="56"/>
        <v>296.25019379280877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8.1391025641025667</v>
      </c>
      <c r="N99" s="13">
        <f>IF('Données projet'!$A$36&gt;35,N98+M99-V98,IF(A99&lt;'Données projet'!$A$36,$K$205^A99,IF(A99='Données projet'!$A$36,'Données projet'!$B$36,N98+M99-V98)))</f>
        <v>373.45192307692344</v>
      </c>
      <c r="O99" s="13">
        <f>N99*VLOOKUP('Données projet'!$B$9,Paramètres!$A$1:$I$89,3,0)*VLOOKUP('Données projet'!$B$9,Paramètres!$A$1:$I$89,5,0)</f>
        <v>174.77550000000016</v>
      </c>
      <c r="P99" s="13">
        <f t="shared" si="87"/>
        <v>44.157846118321132</v>
      </c>
      <c r="Q99" s="20">
        <f t="shared" ref="Q99:Q130" si="107">(O99+P99)*0.475*44/12</f>
        <v>381.30891115607625</v>
      </c>
      <c r="R99" s="59">
        <f t="shared" si="55"/>
        <v>674.64224448940956</v>
      </c>
      <c r="S99" s="59">
        <f ca="1">AVERAGE(OFFSET($R$3,0,0,'Données projet'!$E$9+1,1))-AVERAGE(OFFSET($H$3,0,0,'Données projet'!$E$9+1,1))</f>
        <v>223.99456146593315</v>
      </c>
      <c r="T99" s="59">
        <f t="shared" si="88"/>
        <v>132.73290587325937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43.487754825350663</v>
      </c>
      <c r="AA99" s="21">
        <f>EXP(-LN(2)/25)*AA98+(1-EXP(-LN(2)/25))/(LN(2)/25)*Calculateur!V99*Calculateur!X99*VLOOKUP('Données projet'!$B$9,Paramètres!$A$1:$I$89,3,0)*0.475*44/12</f>
        <v>14.377347190193003</v>
      </c>
      <c r="AB99" s="21">
        <f>EXP(-LN(2)/2)*AB98+(1-EXP(-LN(2)/2))/(LN(2)/2)*V99*Y99*VLOOKUP('Données projet'!$B$9,Paramètres!$A$1:$I$89,3,0)*0.475*44/12</f>
        <v>0.26058379029717027</v>
      </c>
      <c r="AC99" s="22">
        <f t="shared" si="57"/>
        <v>58.125685805840838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8.5265128291212022E-14</v>
      </c>
      <c r="AJ99" s="13">
        <f>AI99*VLOOKUP('Données projet'!$B$10,Paramètres!$A$1:$I$89,3,0)*VLOOKUP('Données projet'!$B$10,Paramètres!$A$1:$I$89,5,0)</f>
        <v>5.5865712056402117E-14</v>
      </c>
      <c r="AK99" s="13">
        <f t="shared" si="89"/>
        <v>8.9811031843713517E-13</v>
      </c>
      <c r="AL99" s="20">
        <f t="shared" si="58"/>
        <v>1.6615082531095774E-12</v>
      </c>
      <c r="AM99" s="59">
        <f t="shared" si="59"/>
        <v>293.33333333333496</v>
      </c>
      <c r="AN99" s="59">
        <f ca="1">AVERAGE(OFFSET($AM$3,0,0,'Données projet'!$E$10+1,1))-AVERAGE(OFFSET($H$3,0,0,'Données projet'!$E$10+1,1))</f>
        <v>244.43587473734613</v>
      </c>
      <c r="AO99" s="59">
        <f t="shared" si="90"/>
        <v>256.80261402149375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16.365871973005284</v>
      </c>
      <c r="AV99" s="21">
        <f>EXP(-LN(2)/25)*AV98+(1-EXP(-LN(2)/25))/(LN(2)/25)*Calculateur!AQ99*Calculateur!AS99*VLOOKUP('Données projet'!$B$10,Paramètres!$A$1:$I$89,3,0)*0.475*44/12</f>
        <v>42.785329107506669</v>
      </c>
      <c r="AW99" s="21">
        <f>EXP(-LN(2)/2)*AW98+(1-EXP(-LN(2)/2))/(LN(2)/2)*AQ99*AT99*VLOOKUP('Données projet'!$B$10,Paramètres!$A$1:$I$89,3,0)*0.475*44/12</f>
        <v>3.9152858469427905</v>
      </c>
      <c r="AX99" s="21">
        <f t="shared" si="60"/>
        <v>63.066486927454747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-2.2737367544323206E-13</v>
      </c>
      <c r="BE99" s="13">
        <f>BD99*VLOOKUP('Données projet'!$B$11,Paramètres!$A$1:$I$89,3,0)*VLOOKUP('Données projet'!$B$11,Paramètres!$A$1:$I$89,5,0)</f>
        <v>-1.2710188457276673E-13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430.60186171079067</v>
      </c>
      <c r="BJ99" s="59">
        <f t="shared" si="92"/>
        <v>533.76627289533985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126.85446692191886</v>
      </c>
      <c r="BQ99" s="21">
        <f>EXP(-LN(2)/25)*BQ98+(1-EXP(-LN(2)/25))/(LN(2)/25)*Calculateur!BL99*Calculateur!BN99*VLOOKUP('Données projet'!$B$11,Paramètres!$A$1:$I$89,3,0)*0.475*44/12</f>
        <v>23.744722346288267</v>
      </c>
      <c r="BR99" s="21">
        <f>EXP(-LN(2)/2)*BR98+(1-EXP(-LN(2)/2))/(LN(2)/2)*BL99*BO99*VLOOKUP('Données projet'!$B$11,Paramètres!$A$1:$I$89,3,0)*0.475*44/12</f>
        <v>2.1484699400066106E-4</v>
      </c>
      <c r="BS99" s="22">
        <f t="shared" si="63"/>
        <v>150.59940411520111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-1.69961822393816E-13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215.89467197072673</v>
      </c>
      <c r="CE99" s="59">
        <f t="shared" si="94"/>
        <v>188.21397398859534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83.18295501702373</v>
      </c>
      <c r="CL99" s="21">
        <f>EXP(-LN(2)/25)*CL98+(1-EXP(-LN(2)/25))/(LN(2)/25)*Calculateur!CG99*Calculateur!CI99*VLOOKUP('Données projet'!$B$12,Paramètres!$A$1:$I$89,3,0)*0.475*44/12</f>
        <v>17.958276249125493</v>
      </c>
      <c r="CM99" s="21">
        <f>EXP(-LN(2)/2)*CM98+(1-EXP(-LN(2)/2))/(LN(2)/2)*CG99*CJ99*VLOOKUP('Données projet'!$B$12,Paramètres!$A$1:$I$89,3,0)*0.475*44/12</f>
        <v>0.10889444231503513</v>
      </c>
      <c r="CN99" s="22">
        <f t="shared" si="66"/>
        <v>101.25012570846425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4.6794871794871762</v>
      </c>
      <c r="CT99" s="12">
        <f>IF('Données projet'!$A$140&gt;35,CT98+CS99-DB98,IF(A99&lt;'Données projet'!$A$140,$CQ$205^A99,IF(A99='Données projet'!$A$140,'Données projet'!$B$140,CT98+CS99-DB98)))</f>
        <v>156.64102564102575</v>
      </c>
      <c r="CU99" s="17">
        <f>CT99*VLOOKUP('Données projet'!$B$13,Paramètres!$A$1:$I$89,3,0)*VLOOKUP('Données projet'!$B$13,Paramètres!$A$1:$I$89,5,0)</f>
        <v>158.83400000000012</v>
      </c>
      <c r="CV99" s="13">
        <f t="shared" si="95"/>
        <v>40.579409003791291</v>
      </c>
      <c r="CW99" s="20">
        <f t="shared" si="67"/>
        <v>347.31168734827003</v>
      </c>
      <c r="CX99" s="59">
        <f t="shared" si="68"/>
        <v>640.64502068160334</v>
      </c>
      <c r="CY99" s="59">
        <f ca="1">AVERAGE(OFFSET($CX$3,0,0,'Données projet'!$E$13+1,1))-AVERAGE(OFFSET($H$3,0,0,'Données projet'!$E$13+1,1))</f>
        <v>342.82846711287749</v>
      </c>
      <c r="CZ99" s="59">
        <f t="shared" si="96"/>
        <v>152.87724741106297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>
        <f>DO99*VLOOKUP('Données projet'!$B$14,Paramètres!$A$1:$I$89,3,0)*VLOOKUP('Données projet'!$B$14,Paramètres!$A$1:$I$89,5,0)</f>
        <v>0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208.48147873805715</v>
      </c>
      <c r="DU99" s="59">
        <f t="shared" si="98"/>
        <v>209.50570914630686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42.374312330267735</v>
      </c>
      <c r="EB99" s="21">
        <f>EXP(-LN(2)/25)*EB98+(1-EXP(-LN(2)/25))/(LN(2)/25)*Calculateur!DW99*Calculateur!DY99*VLOOKUP('Données projet'!$B$14,Paramètres!$A$1:$I$89,3,0)*0.475*44/12</f>
        <v>12.259082279444387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54.63339460971212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-1.7053025658242404E-13</v>
      </c>
      <c r="EK99" s="17">
        <f>EJ99*VLOOKUP('Données projet'!$B$15,Paramètres!$A$1:$I$89,3,0)*VLOOKUP('Données projet'!$B$15,Paramètres!$A$1:$I$89,5,0)</f>
        <v>-1.0197709343628959E-13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247.31680974612766</v>
      </c>
      <c r="EP99" s="59">
        <f t="shared" si="100"/>
        <v>257.13949761071882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63.589128263155416</v>
      </c>
      <c r="EW99" s="21">
        <f>EXP(-LN(2)/25)*EW98+(1-EXP(-LN(2)/25))/(LN(2)/25)*Calculateur!ER99*Calculateur!ET99*VLOOKUP('Données projet'!$B$15,Paramètres!$A$1:$I$89,3,0)*0.475*44/12</f>
        <v>13.3193526966969</v>
      </c>
      <c r="EX99" s="21">
        <f>EXP(-LN(2)/2)*EX98+(1-EXP(-LN(2)/2))/(LN(2)/2)*ER99*EU99*VLOOKUP('Données projet'!$B$15,Paramètres!$A$1:$I$89,3,0)*0.475*44/12</f>
        <v>1.2192859073630624E-4</v>
      </c>
      <c r="EY99" s="22">
        <f t="shared" si="75"/>
        <v>76.908602888443042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17.250479999999982</v>
      </c>
      <c r="D100" s="11">
        <f t="shared" si="86"/>
        <v>5.7067597700919483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35.442756136282284</v>
      </c>
      <c r="H100" s="67">
        <f t="shared" si="56"/>
        <v>296.65052593291011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8.1391025641025667</v>
      </c>
      <c r="N100" s="13">
        <f>IF('Données projet'!$A$36&gt;35,N99+M100-V99,IF(A100&lt;'Données projet'!$A$36,$K$205^A100,IF(A100='Données projet'!$A$36,'Données projet'!$B$36,N99+M100-V99)))</f>
        <v>381.59102564102602</v>
      </c>
      <c r="O100" s="13">
        <f>N100*VLOOKUP('Données projet'!$B$9,Paramètres!$A$1:$I$89,3,0)*VLOOKUP('Données projet'!$B$9,Paramètres!$A$1:$I$89,5,0)</f>
        <v>178.58460000000019</v>
      </c>
      <c r="P100" s="13">
        <f t="shared" si="87"/>
        <v>45.007141207375291</v>
      </c>
      <c r="Q100" s="20">
        <f t="shared" si="107"/>
        <v>389.4222826028456</v>
      </c>
      <c r="R100" s="59">
        <f t="shared" si="55"/>
        <v>682.75561593617886</v>
      </c>
      <c r="S100" s="59">
        <f ca="1">AVERAGE(OFFSET($R$3,0,0,'Données projet'!$E$9+1,1))-AVERAGE(OFFSET($H$3,0,0,'Données projet'!$E$9+1,1))</f>
        <v>223.99456146593315</v>
      </c>
      <c r="T100" s="59">
        <f t="shared" si="88"/>
        <v>132.73290587325937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42.634986478136859</v>
      </c>
      <c r="AA100" s="21">
        <f>EXP(-LN(2)/25)*AA99+(1-EXP(-LN(2)/25))/(LN(2)/25)*Calculateur!V100*Calculateur!X100*VLOOKUP('Données projet'!$B$9,Paramètres!$A$1:$I$89,3,0)*0.475*44/12</f>
        <v>13.984197875205346</v>
      </c>
      <c r="AB100" s="21">
        <f>EXP(-LN(2)/2)*AB99+(1-EXP(-LN(2)/2))/(LN(2)/2)*V100*Y100*VLOOKUP('Données projet'!$B$9,Paramètres!$A$1:$I$89,3,0)*0.475*44/12</f>
        <v>0.18426056518642236</v>
      </c>
      <c r="AC100" s="22">
        <f t="shared" si="57"/>
        <v>56.803444918528626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8.5265128291212022E-14</v>
      </c>
      <c r="AJ100" s="13">
        <f>AI100*VLOOKUP('Données projet'!$B$10,Paramètres!$A$1:$I$89,3,0)*VLOOKUP('Données projet'!$B$10,Paramètres!$A$1:$I$89,5,0)</f>
        <v>5.5865712056402117E-14</v>
      </c>
      <c r="AK100" s="13">
        <f t="shared" si="89"/>
        <v>8.9811031843713517E-13</v>
      </c>
      <c r="AL100" s="20">
        <f t="shared" si="58"/>
        <v>1.6615082531095774E-12</v>
      </c>
      <c r="AM100" s="59">
        <f t="shared" si="59"/>
        <v>293.33333333333496</v>
      </c>
      <c r="AN100" s="59">
        <f ca="1">AVERAGE(OFFSET($AM$3,0,0,'Données projet'!$E$10+1,1))-AVERAGE(OFFSET($H$3,0,0,'Données projet'!$E$10+1,1))</f>
        <v>244.43587473734613</v>
      </c>
      <c r="AO100" s="59">
        <f t="shared" si="90"/>
        <v>256.80261402149375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16.044947205810892</v>
      </c>
      <c r="AV100" s="21">
        <f>EXP(-LN(2)/25)*AV99+(1-EXP(-LN(2)/25))/(LN(2)/25)*Calculateur!AQ100*Calculateur!AS100*VLOOKUP('Données projet'!$B$10,Paramètres!$A$1:$I$89,3,0)*0.475*44/12</f>
        <v>41.615362033079229</v>
      </c>
      <c r="AW100" s="21">
        <f>EXP(-LN(2)/2)*AW99+(1-EXP(-LN(2)/2))/(LN(2)/2)*AQ100*AT100*VLOOKUP('Données projet'!$B$10,Paramètres!$A$1:$I$89,3,0)*0.475*44/12</f>
        <v>2.7685251726569624</v>
      </c>
      <c r="AX100" s="21">
        <f t="shared" si="60"/>
        <v>60.428834411547086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-2.2737367544323206E-13</v>
      </c>
      <c r="BE100" s="13">
        <f>BD100*VLOOKUP('Données projet'!$B$11,Paramètres!$A$1:$I$89,3,0)*VLOOKUP('Données projet'!$B$11,Paramètres!$A$1:$I$89,5,0)</f>
        <v>-1.2710188457276673E-13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430.60186171079067</v>
      </c>
      <c r="BJ100" s="59">
        <f t="shared" si="92"/>
        <v>533.76627289533985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124.36692819916485</v>
      </c>
      <c r="BQ100" s="21">
        <f>EXP(-LN(2)/25)*BQ99+(1-EXP(-LN(2)/25))/(LN(2)/25)*Calculateur!BL100*Calculateur!BN100*VLOOKUP('Données projet'!$B$11,Paramètres!$A$1:$I$89,3,0)*0.475*44/12</f>
        <v>23.095421665048335</v>
      </c>
      <c r="BR100" s="21">
        <f>EXP(-LN(2)/2)*BR99+(1-EXP(-LN(2)/2))/(LN(2)/2)*BL100*BO100*VLOOKUP('Données projet'!$B$11,Paramètres!$A$1:$I$89,3,0)*0.475*44/12</f>
        <v>1.5191976637541293E-4</v>
      </c>
      <c r="BS100" s="22">
        <f t="shared" si="63"/>
        <v>147.46250178397958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-1.69961822393816E-13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215.89467197072673</v>
      </c>
      <c r="CE100" s="59">
        <f t="shared" si="94"/>
        <v>188.21397398859534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81.551788005732632</v>
      </c>
      <c r="CL100" s="21">
        <f>EXP(-LN(2)/25)*CL99+(1-EXP(-LN(2)/25))/(LN(2)/25)*Calculateur!CG100*Calculateur!CI100*VLOOKUP('Données projet'!$B$12,Paramètres!$A$1:$I$89,3,0)*0.475*44/12</f>
        <v>17.467206240708453</v>
      </c>
      <c r="CM100" s="21">
        <f>EXP(-LN(2)/2)*CM99+(1-EXP(-LN(2)/2))/(LN(2)/2)*CG100*CJ100*VLOOKUP('Données projet'!$B$12,Paramètres!$A$1:$I$89,3,0)*0.475*44/12</f>
        <v>7.6999998594488667E-2</v>
      </c>
      <c r="CN100" s="22">
        <f t="shared" si="66"/>
        <v>99.09599424503557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4.6794871794871762</v>
      </c>
      <c r="CT100" s="12">
        <f>IF('Données projet'!$A$140&gt;35,CT99+CS100-DB99,IF(A100&lt;'Données projet'!$A$140,$CQ$205^A100,IF(A100='Données projet'!$A$140,'Données projet'!$B$140,CT99+CS100-DB99)))</f>
        <v>161.32051282051293</v>
      </c>
      <c r="CU100" s="17">
        <f>CT100*VLOOKUP('Données projet'!$B$13,Paramètres!$A$1:$I$89,3,0)*VLOOKUP('Données projet'!$B$13,Paramètres!$A$1:$I$89,5,0)</f>
        <v>163.57900000000012</v>
      </c>
      <c r="CV100" s="13">
        <f t="shared" si="95"/>
        <v>41.648726560913936</v>
      </c>
      <c r="CW100" s="20">
        <f t="shared" si="67"/>
        <v>357.43829042692528</v>
      </c>
      <c r="CX100" s="59">
        <f t="shared" si="68"/>
        <v>650.77162376025854</v>
      </c>
      <c r="CY100" s="59">
        <f ca="1">AVERAGE(OFFSET($CX$3,0,0,'Données projet'!$E$13+1,1))-AVERAGE(OFFSET($H$3,0,0,'Données projet'!$E$13+1,1))</f>
        <v>342.82846711287749</v>
      </c>
      <c r="CZ100" s="59">
        <f t="shared" si="96"/>
        <v>152.87724741106297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>
        <f>DO100*VLOOKUP('Données projet'!$B$14,Paramètres!$A$1:$I$89,3,0)*VLOOKUP('Données projet'!$B$14,Paramètres!$A$1:$I$89,5,0)</f>
        <v>0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208.48147873805715</v>
      </c>
      <c r="DU100" s="59">
        <f t="shared" si="98"/>
        <v>209.50570914630686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41.54337791124965</v>
      </c>
      <c r="EB100" s="21">
        <f>EXP(-LN(2)/25)*EB99+(1-EXP(-LN(2)/25))/(LN(2)/25)*Calculateur!DW100*Calculateur!DY100*VLOOKUP('Données projet'!$B$14,Paramètres!$A$1:$I$89,3,0)*0.475*44/12</f>
        <v>11.923857029835862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53.467234941085508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-1.7053025658242404E-13</v>
      </c>
      <c r="EK100" s="17">
        <f>EJ100*VLOOKUP('Données projet'!$B$15,Paramètres!$A$1:$I$89,3,0)*VLOOKUP('Données projet'!$B$15,Paramètres!$A$1:$I$89,5,0)</f>
        <v>-1.0197709343628959E-13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247.31680974612766</v>
      </c>
      <c r="EP100" s="59">
        <f t="shared" si="100"/>
        <v>257.13949761071882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62.342184243453424</v>
      </c>
      <c r="EW100" s="21">
        <f>EXP(-LN(2)/25)*EW99+(1-EXP(-LN(2)/25))/(LN(2)/25)*Calculateur!ER100*Calculateur!ET100*VLOOKUP('Données projet'!$B$15,Paramètres!$A$1:$I$89,3,0)*0.475*44/12</f>
        <v>12.955134296771407</v>
      </c>
      <c r="EX100" s="21">
        <f>EXP(-LN(2)/2)*EX99+(1-EXP(-LN(2)/2))/(LN(2)/2)*ER100*EU100*VLOOKUP('Données projet'!$B$15,Paramètres!$A$1:$I$89,3,0)*0.475*44/12</f>
        <v>8.6216533330161409E-5</v>
      </c>
      <c r="EY100" s="22">
        <f t="shared" si="75"/>
        <v>75.297404756758169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17.428319999999982</v>
      </c>
      <c r="D101" s="11">
        <f t="shared" si="86"/>
        <v>5.7587131616514959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35.797524881146146</v>
      </c>
      <c r="H101" s="67">
        <f t="shared" si="56"/>
        <v>297.05074942320965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8.1391025641025667</v>
      </c>
      <c r="N101" s="13">
        <f>IF('Données projet'!$A$36&gt;35,N100+M101-V100,IF(A101&lt;'Données projet'!$A$36,$K$205^A101,IF(A101='Données projet'!$A$36,'Données projet'!$B$36,N100+M101-V100)))</f>
        <v>389.73012820512861</v>
      </c>
      <c r="O101" s="13">
        <f>N101*VLOOKUP('Données projet'!$B$9,Paramètres!$A$1:$I$89,3,0)*VLOOKUP('Données projet'!$B$9,Paramètres!$A$1:$I$89,5,0)</f>
        <v>182.39370000000019</v>
      </c>
      <c r="P101" s="13">
        <f t="shared" si="87"/>
        <v>45.854330163580819</v>
      </c>
      <c r="Q101" s="20">
        <f t="shared" si="107"/>
        <v>397.53198586823692</v>
      </c>
      <c r="R101" s="59">
        <f t="shared" si="55"/>
        <v>690.86531920157017</v>
      </c>
      <c r="S101" s="59">
        <f ca="1">AVERAGE(OFFSET($R$3,0,0,'Données projet'!$E$9+1,1))-AVERAGE(OFFSET($H$3,0,0,'Données projet'!$E$9+1,1))</f>
        <v>223.99456146593315</v>
      </c>
      <c r="T101" s="59">
        <f t="shared" si="88"/>
        <v>132.73290587325937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41.798940398074592</v>
      </c>
      <c r="AA101" s="21">
        <f>EXP(-LN(2)/25)*AA100+(1-EXP(-LN(2)/25))/(LN(2)/25)*Calculateur!V101*Calculateur!X101*VLOOKUP('Données projet'!$B$9,Paramètres!$A$1:$I$89,3,0)*0.475*44/12</f>
        <v>13.601799248910851</v>
      </c>
      <c r="AB101" s="21">
        <f>EXP(-LN(2)/2)*AB100+(1-EXP(-LN(2)/2))/(LN(2)/2)*V101*Y101*VLOOKUP('Données projet'!$B$9,Paramètres!$A$1:$I$89,3,0)*0.475*44/12</f>
        <v>0.13029189514858514</v>
      </c>
      <c r="AC101" s="22">
        <f t="shared" si="57"/>
        <v>55.531031542134031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8.5265128291212022E-14</v>
      </c>
      <c r="AJ101" s="13">
        <f>AI101*VLOOKUP('Données projet'!$B$10,Paramètres!$A$1:$I$89,3,0)*VLOOKUP('Données projet'!$B$10,Paramètres!$A$1:$I$89,5,0)</f>
        <v>5.5865712056402117E-14</v>
      </c>
      <c r="AK101" s="13">
        <f t="shared" si="89"/>
        <v>8.9811031843713517E-13</v>
      </c>
      <c r="AL101" s="20">
        <f t="shared" si="58"/>
        <v>1.6615082531095774E-12</v>
      </c>
      <c r="AM101" s="59">
        <f t="shared" si="59"/>
        <v>293.33333333333496</v>
      </c>
      <c r="AN101" s="59">
        <f ca="1">AVERAGE(OFFSET($AM$3,0,0,'Données projet'!$E$10+1,1))-AVERAGE(OFFSET($H$3,0,0,'Données projet'!$E$10+1,1))</f>
        <v>244.43587473734613</v>
      </c>
      <c r="AO101" s="59">
        <f t="shared" si="90"/>
        <v>256.80261402149375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15.730315577556404</v>
      </c>
      <c r="AV101" s="21">
        <f>EXP(-LN(2)/25)*AV100+(1-EXP(-LN(2)/25))/(LN(2)/25)*Calculateur!AQ101*Calculateur!AS101*VLOOKUP('Données projet'!$B$10,Paramètres!$A$1:$I$89,3,0)*0.475*44/12</f>
        <v>40.477387769827899</v>
      </c>
      <c r="AW101" s="21">
        <f>EXP(-LN(2)/2)*AW100+(1-EXP(-LN(2)/2))/(LN(2)/2)*AQ101*AT101*VLOOKUP('Données projet'!$B$10,Paramètres!$A$1:$I$89,3,0)*0.475*44/12</f>
        <v>1.9576429234713955</v>
      </c>
      <c r="AX101" s="21">
        <f t="shared" si="60"/>
        <v>58.1653462708557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-2.2737367544323206E-13</v>
      </c>
      <c r="BE101" s="13">
        <f>BD101*VLOOKUP('Données projet'!$B$11,Paramètres!$A$1:$I$89,3,0)*VLOOKUP('Données projet'!$B$11,Paramètres!$A$1:$I$89,5,0)</f>
        <v>-1.2710188457276673E-13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430.60186171079067</v>
      </c>
      <c r="BJ101" s="59">
        <f t="shared" si="92"/>
        <v>533.76627289533985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121.92816859351524</v>
      </c>
      <c r="BQ101" s="21">
        <f>EXP(-LN(2)/25)*BQ100+(1-EXP(-LN(2)/25))/(LN(2)/25)*Calculateur!BL101*Calculateur!BN101*VLOOKUP('Données projet'!$B$11,Paramètres!$A$1:$I$89,3,0)*0.475*44/12</f>
        <v>22.463876145082146</v>
      </c>
      <c r="BR101" s="21">
        <f>EXP(-LN(2)/2)*BR100+(1-EXP(-LN(2)/2))/(LN(2)/2)*BL101*BO101*VLOOKUP('Données projet'!$B$11,Paramètres!$A$1:$I$89,3,0)*0.475*44/12</f>
        <v>1.0742349700033053E-4</v>
      </c>
      <c r="BS101" s="22">
        <f t="shared" si="63"/>
        <v>144.39215216209439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-1.69961822393816E-13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215.89467197072673</v>
      </c>
      <c r="CE101" s="59">
        <f t="shared" si="94"/>
        <v>188.21397398859534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79.95260718461931</v>
      </c>
      <c r="CL101" s="21">
        <f>EXP(-LN(2)/25)*CL100+(1-EXP(-LN(2)/25))/(LN(2)/25)*Calculateur!CG101*Calculateur!CI101*VLOOKUP('Données projet'!$B$12,Paramètres!$A$1:$I$89,3,0)*0.475*44/12</f>
        <v>16.989564567495826</v>
      </c>
      <c r="CM101" s="21">
        <f>EXP(-LN(2)/2)*CM100+(1-EXP(-LN(2)/2))/(LN(2)/2)*CG101*CJ101*VLOOKUP('Données projet'!$B$12,Paramètres!$A$1:$I$89,3,0)*0.475*44/12</f>
        <v>5.4447221157517565E-2</v>
      </c>
      <c r="CN101" s="22">
        <f t="shared" si="66"/>
        <v>96.99661897327266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4.6794871794871762</v>
      </c>
      <c r="CT101" s="12">
        <f>IF('Données projet'!$A$140&gt;35,CT100+CS101-DB100,IF(A101&lt;'Données projet'!$A$140,$CQ$205^A101,IF(A101='Données projet'!$A$140,'Données projet'!$B$140,CT100+CS101-DB100)))</f>
        <v>166.00000000000011</v>
      </c>
      <c r="CU101" s="17">
        <f>CT101*VLOOKUP('Données projet'!$B$13,Paramètres!$A$1:$I$89,3,0)*VLOOKUP('Données projet'!$B$13,Paramètres!$A$1:$I$89,5,0)</f>
        <v>168.32400000000013</v>
      </c>
      <c r="CV101" s="13">
        <f t="shared" si="95"/>
        <v>42.714439164086123</v>
      </c>
      <c r="CW101" s="20">
        <f t="shared" si="67"/>
        <v>367.55861487745022</v>
      </c>
      <c r="CX101" s="59">
        <f t="shared" si="68"/>
        <v>660.89194821078354</v>
      </c>
      <c r="CY101" s="59">
        <f ca="1">AVERAGE(OFFSET($CX$3,0,0,'Données projet'!$E$13+1,1))-AVERAGE(OFFSET($H$3,0,0,'Données projet'!$E$13+1,1))</f>
        <v>342.82846711287749</v>
      </c>
      <c r="CZ101" s="59">
        <f t="shared" si="96"/>
        <v>152.87724741106297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>
        <f>DO101*VLOOKUP('Données projet'!$B$14,Paramètres!$A$1:$I$89,3,0)*VLOOKUP('Données projet'!$B$14,Paramètres!$A$1:$I$89,5,0)</f>
        <v>0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208.48147873805715</v>
      </c>
      <c r="DU101" s="59">
        <f t="shared" si="98"/>
        <v>209.50570914630686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40.728737609368558</v>
      </c>
      <c r="EB101" s="21">
        <f>EXP(-LN(2)/25)*EB100+(1-EXP(-LN(2)/25))/(LN(2)/25)*Calculateur!DW101*Calculateur!DY101*VLOOKUP('Données projet'!$B$14,Paramètres!$A$1:$I$89,3,0)*0.475*44/12</f>
        <v>11.59779853230661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52.32653614167517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-1.7053025658242404E-13</v>
      </c>
      <c r="EK101" s="17">
        <f>EJ101*VLOOKUP('Données projet'!$B$15,Paramètres!$A$1:$I$89,3,0)*VLOOKUP('Données projet'!$B$15,Paramètres!$A$1:$I$89,5,0)</f>
        <v>-1.0197709343628959E-13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247.31680974612766</v>
      </c>
      <c r="EP101" s="59">
        <f t="shared" si="100"/>
        <v>257.13949761071882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61.119692035417039</v>
      </c>
      <c r="EW101" s="21">
        <f>EXP(-LN(2)/25)*EW100+(1-EXP(-LN(2)/25))/(LN(2)/25)*Calculateur!ER101*Calculateur!ET101*VLOOKUP('Données projet'!$B$15,Paramètres!$A$1:$I$89,3,0)*0.475*44/12</f>
        <v>12.60087546814529</v>
      </c>
      <c r="EX101" s="21">
        <f>EXP(-LN(2)/2)*EX100+(1-EXP(-LN(2)/2))/(LN(2)/2)*ER101*EU101*VLOOKUP('Données projet'!$B$15,Paramètres!$A$1:$I$89,3,0)*0.475*44/12</f>
        <v>6.0964295368153128E-5</v>
      </c>
      <c r="EY101" s="22">
        <f t="shared" si="75"/>
        <v>73.720628467857708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17.606159999999981</v>
      </c>
      <c r="D102" s="11">
        <f t="shared" si="86"/>
        <v>5.8106048808056814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36.152198412471904</v>
      </c>
      <c r="H102" s="67">
        <f t="shared" si="56"/>
        <v>297.45086550073654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397.8692307692308</v>
      </c>
      <c r="L102" s="12">
        <f>VLOOKUP(A102,'Données projet'!$A$35:$I$55,9,0)</f>
        <v>8.1391025641025667</v>
      </c>
      <c r="M102" s="12">
        <f t="array" ref="M102">INDEX(L:L,MIN(IF(ISNUMBER(L102:L298),ROW(L102:L298),"")))</f>
        <v>8.1391025641025667</v>
      </c>
      <c r="N102" s="13">
        <f>IF('Données projet'!$A$36&gt;35,N101+M102-V101,IF(A102&lt;'Données projet'!$A$36,$K$205^A102,IF(A102='Données projet'!$A$36,'Données projet'!$B$36,N101+M102-V101)))</f>
        <v>397.86923076923119</v>
      </c>
      <c r="O102" s="13">
        <f>N102*VLOOKUP('Données projet'!$B$9,Paramètres!$A$1:$I$89,3,0)*VLOOKUP('Données projet'!$B$9,Paramètres!$A$1:$I$89,5,0)</f>
        <v>186.2028000000002</v>
      </c>
      <c r="P102" s="13">
        <f t="shared" si="87"/>
        <v>46.699462038644228</v>
      </c>
      <c r="Q102" s="20">
        <f t="shared" si="107"/>
        <v>405.6381063839724</v>
      </c>
      <c r="R102" s="59">
        <f t="shared" si="55"/>
        <v>698.97143971730566</v>
      </c>
      <c r="S102" s="59">
        <f ca="1">AVERAGE(OFFSET($R$3,0,0,'Données projet'!$E$9+1,1))-AVERAGE(OFFSET($H$3,0,0,'Données projet'!$E$9+1,1))</f>
        <v>223.99456146593315</v>
      </c>
      <c r="T102" s="59">
        <f t="shared" si="88"/>
        <v>132.73290587325937</v>
      </c>
      <c r="U102" s="15">
        <f>IF(ISNA(VLOOKUP(A102,'Données projet'!$A$35:$I$55,3,0)),0,VLOOKUP(A102,'Données projet'!$A$35:$I$55,3,0))</f>
        <v>5</v>
      </c>
      <c r="V102" s="15">
        <f>IF(ISNA(VLOOKUP(A102,'Données projet'!$A$35:$I$55,4,0)),0,VLOOKUP(A102,'Données projet'!$A$35:$I$55,4,0))</f>
        <v>198.32307692307691</v>
      </c>
      <c r="W102" s="16">
        <f>IF(ISNA(VLOOKUP(A102,'Données projet'!$A$35:$I$55,5,0)),0%,VLOOKUP(A102,'Données projet'!$A$35:$I$55,5,0)*VLOOKUP('Données projet'!$B$9,Paramètres!$A$1:$I$89,7,0))</f>
        <v>0.38500000000000001</v>
      </c>
      <c r="X102" s="16">
        <f>IF(ISNA(VLOOKUP(A102,'Données projet'!$A$35:$I$55,6,0)),0%,VLOOKUP(A102,'Données projet'!$A$35:$I$55,6,0)*VLOOKUP('Données projet'!$B$9,Paramètres!$A$1:$I$89,7,0))</f>
        <v>9.240000000000001E-2</v>
      </c>
      <c r="Y102" s="16">
        <f>IF(ISNA(VLOOKUP(A102,'Données projet'!$A$35:$I$55,7,0)),0%,VLOOKUP(A102,'Données projet'!$A$35:$I$55,7,0))</f>
        <v>0.13200000000000001</v>
      </c>
      <c r="Z102" s="21">
        <f>EXP(-LN(2)/35)*Z101+(1-EXP(-LN(2)/35))/(LN(2)/35)*V102*W102*VLOOKUP('Données projet'!$B$9,Paramètres!$A$1:$I$89,3,0)*0.475*44/12</f>
        <v>88.382546590841713</v>
      </c>
      <c r="AA102" s="21">
        <f>EXP(-LN(2)/25)*AA101+(1-EXP(-LN(2)/25))/(LN(2)/25)*Calculateur!V102*Calculateur!X102*VLOOKUP('Données projet'!$B$9,Paramètres!$A$1:$I$89,3,0)*0.475*44/12</f>
        <v>24.561844508518369</v>
      </c>
      <c r="AB102" s="21">
        <f>EXP(-LN(2)/2)*AB101+(1-EXP(-LN(2)/2))/(LN(2)/2)*V102*Y102*VLOOKUP('Données projet'!$B$9,Paramètres!$A$1:$I$89,3,0)*0.475*44/12</f>
        <v>13.963794745255166</v>
      </c>
      <c r="AC102" s="22">
        <f t="shared" si="57"/>
        <v>126.90818584461525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8.5265128291212022E-14</v>
      </c>
      <c r="AJ102" s="13">
        <f>AI102*VLOOKUP('Données projet'!$B$10,Paramètres!$A$1:$I$89,3,0)*VLOOKUP('Données projet'!$B$10,Paramètres!$A$1:$I$89,5,0)</f>
        <v>5.5865712056402117E-14</v>
      </c>
      <c r="AK102" s="13">
        <f t="shared" si="89"/>
        <v>8.9811031843713517E-13</v>
      </c>
      <c r="AL102" s="20">
        <f t="shared" si="58"/>
        <v>1.6615082531095774E-12</v>
      </c>
      <c r="AM102" s="59">
        <f t="shared" si="59"/>
        <v>293.33333333333496</v>
      </c>
      <c r="AN102" s="59">
        <f ca="1">AVERAGE(OFFSET($AM$3,0,0,'Données projet'!$E$10+1,1))-AVERAGE(OFFSET($H$3,0,0,'Données projet'!$E$10+1,1))</f>
        <v>244.43587473734613</v>
      </c>
      <c r="AO102" s="59">
        <f t="shared" si="90"/>
        <v>256.80261402149375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15.421853683625642</v>
      </c>
      <c r="AV102" s="21">
        <f>EXP(-LN(2)/25)*AV101+(1-EXP(-LN(2)/25))/(LN(2)/25)*Calculateur!AQ102*Calculateur!AS102*VLOOKUP('Données projet'!$B$10,Paramètres!$A$1:$I$89,3,0)*0.475*44/12</f>
        <v>39.370531472648644</v>
      </c>
      <c r="AW102" s="21">
        <f>EXP(-LN(2)/2)*AW101+(1-EXP(-LN(2)/2))/(LN(2)/2)*AQ102*AT102*VLOOKUP('Données projet'!$B$10,Paramètres!$A$1:$I$89,3,0)*0.475*44/12</f>
        <v>1.3842625863284814</v>
      </c>
      <c r="AX102" s="21">
        <f t="shared" si="60"/>
        <v>56.176647742602768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-2.2737367544323206E-13</v>
      </c>
      <c r="BE102" s="13">
        <f>BD102*VLOOKUP('Données projet'!$B$11,Paramètres!$A$1:$I$89,3,0)*VLOOKUP('Données projet'!$B$11,Paramètres!$A$1:$I$89,5,0)</f>
        <v>-1.2710188457276673E-13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430.60186171079067</v>
      </c>
      <c r="BJ102" s="59">
        <f t="shared" si="92"/>
        <v>533.76627289533985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119.53723157623594</v>
      </c>
      <c r="BQ102" s="21">
        <f>EXP(-LN(2)/25)*BQ101+(1-EXP(-LN(2)/25))/(LN(2)/25)*Calculateur!BL102*Calculateur!BN102*VLOOKUP('Données projet'!$B$11,Paramètres!$A$1:$I$89,3,0)*0.475*44/12</f>
        <v>21.849600270570971</v>
      </c>
      <c r="BR102" s="21">
        <f>EXP(-LN(2)/2)*BR101+(1-EXP(-LN(2)/2))/(LN(2)/2)*BL102*BO102*VLOOKUP('Données projet'!$B$11,Paramètres!$A$1:$I$89,3,0)*0.475*44/12</f>
        <v>7.5959883187706463E-5</v>
      </c>
      <c r="BS102" s="22">
        <f t="shared" si="63"/>
        <v>141.38690780669009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-1.69961822393816E-13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215.89467197072673</v>
      </c>
      <c r="CE102" s="59">
        <f t="shared" si="94"/>
        <v>188.21397398859534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78.384785324004042</v>
      </c>
      <c r="CL102" s="21">
        <f>EXP(-LN(2)/25)*CL101+(1-EXP(-LN(2)/25))/(LN(2)/25)*Calculateur!CG102*Calculateur!CI102*VLOOKUP('Données projet'!$B$12,Paramètres!$A$1:$I$89,3,0)*0.475*44/12</f>
        <v>16.524984030955281</v>
      </c>
      <c r="CM102" s="21">
        <f>EXP(-LN(2)/2)*CM101+(1-EXP(-LN(2)/2))/(LN(2)/2)*CG102*CJ102*VLOOKUP('Données projet'!$B$12,Paramètres!$A$1:$I$89,3,0)*0.475*44/12</f>
        <v>3.8499999297244333E-2</v>
      </c>
      <c r="CN102" s="22">
        <f t="shared" si="66"/>
        <v>94.948269354256567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4.6794871794871762</v>
      </c>
      <c r="CT102" s="12">
        <f>IF('Données projet'!$A$140&gt;35,CT101+CS102-DB101,IF(A102&lt;'Données projet'!$A$140,$CQ$205^A102,IF(A102='Données projet'!$A$140,'Données projet'!$B$140,CT101+CS102-DB101)))</f>
        <v>170.6794871794873</v>
      </c>
      <c r="CU102" s="17">
        <f>CT102*VLOOKUP('Données projet'!$B$13,Paramètres!$A$1:$I$89,3,0)*VLOOKUP('Données projet'!$B$13,Paramètres!$A$1:$I$89,5,0)</f>
        <v>173.06900000000013</v>
      </c>
      <c r="CV102" s="13">
        <f t="shared" si="95"/>
        <v>43.776660109144949</v>
      </c>
      <c r="CW102" s="20">
        <f t="shared" si="67"/>
        <v>377.67285802342764</v>
      </c>
      <c r="CX102" s="59">
        <f t="shared" si="68"/>
        <v>671.00619135676095</v>
      </c>
      <c r="CY102" s="59">
        <f ca="1">AVERAGE(OFFSET($CX$3,0,0,'Données projet'!$E$13+1,1))-AVERAGE(OFFSET($H$3,0,0,'Données projet'!$E$13+1,1))</f>
        <v>342.82846711287749</v>
      </c>
      <c r="CZ102" s="59">
        <f t="shared" si="96"/>
        <v>152.87724741106297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>
        <f>DO102*VLOOKUP('Données projet'!$B$14,Paramètres!$A$1:$I$89,3,0)*VLOOKUP('Données projet'!$B$14,Paramètres!$A$1:$I$89,5,0)</f>
        <v>0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208.48147873805715</v>
      </c>
      <c r="DU102" s="59">
        <f t="shared" si="98"/>
        <v>209.50570914630686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39.930071906925832</v>
      </c>
      <c r="EB102" s="21">
        <f>EXP(-LN(2)/25)*EB101+(1-EXP(-LN(2)/25))/(LN(2)/25)*Calculateur!DW102*Calculateur!DY102*VLOOKUP('Données projet'!$B$14,Paramètres!$A$1:$I$89,3,0)*0.475*44/12</f>
        <v>11.280656121538968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51.2107280284648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-1.7053025658242404E-13</v>
      </c>
      <c r="EK102" s="17">
        <f>EJ102*VLOOKUP('Données projet'!$B$15,Paramètres!$A$1:$I$89,3,0)*VLOOKUP('Données projet'!$B$15,Paramètres!$A$1:$I$89,5,0)</f>
        <v>-1.0197709343628959E-13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247.31680974612766</v>
      </c>
      <c r="EP102" s="59">
        <f t="shared" si="100"/>
        <v>257.13949761071882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59.921172153933625</v>
      </c>
      <c r="EW102" s="21">
        <f>EXP(-LN(2)/25)*EW101+(1-EXP(-LN(2)/25))/(LN(2)/25)*Calculateur!ER102*Calculateur!ET102*VLOOKUP('Données projet'!$B$15,Paramètres!$A$1:$I$89,3,0)*0.475*44/12</f>
        <v>12.256303865817616</v>
      </c>
      <c r="EX102" s="21">
        <f>EXP(-LN(2)/2)*EX101+(1-EXP(-LN(2)/2))/(LN(2)/2)*ER102*EU102*VLOOKUP('Données projet'!$B$15,Paramètres!$A$1:$I$89,3,0)*0.475*44/12</f>
        <v>4.3108266665080711E-5</v>
      </c>
      <c r="EY102" s="22">
        <f t="shared" si="75"/>
        <v>72.177519128017906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17.783999999999981</v>
      </c>
      <c r="D103" s="11">
        <f t="shared" si="86"/>
        <v>5.8624356226349565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36.506777803366226</v>
      </c>
      <c r="H103" s="67">
        <f t="shared" si="56"/>
        <v>297.85087537608922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5.6546153846153828</v>
      </c>
      <c r="N103" s="13">
        <f>IF('Données projet'!$A$36&gt;35,N102+M103-V102,IF(A103&lt;'Données projet'!$A$36,$K$205^A103,IF(A103='Données projet'!$A$36,'Données projet'!$B$36,N102+M103-V102)))</f>
        <v>205.20076923076968</v>
      </c>
      <c r="O103" s="13">
        <f>N103*VLOOKUP('Données projet'!$B$9,Paramètres!$A$1:$I$89,3,0)*VLOOKUP('Données projet'!$B$9,Paramètres!$A$1:$I$89,5,0)</f>
        <v>96.033960000000206</v>
      </c>
      <c r="P103" s="13">
        <f t="shared" si="87"/>
        <v>26.014929381475952</v>
      </c>
      <c r="Q103" s="20">
        <f t="shared" si="107"/>
        <v>212.56848233940431</v>
      </c>
      <c r="R103" s="59">
        <f t="shared" si="55"/>
        <v>505.9018156727376</v>
      </c>
      <c r="S103" s="59">
        <f ca="1">AVERAGE(OFFSET($R$3,0,0,'Données projet'!$E$9+1,1))-AVERAGE(OFFSET($H$3,0,0,'Données projet'!$E$9+1,1))</f>
        <v>223.99456146593315</v>
      </c>
      <c r="T103" s="59">
        <f t="shared" si="88"/>
        <v>132.73290587325937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86.649418760225757</v>
      </c>
      <c r="AA103" s="21">
        <f>EXP(-LN(2)/25)*AA102+(1-EXP(-LN(2)/25))/(LN(2)/25)*Calculateur!V103*Calculateur!X103*VLOOKUP('Données projet'!$B$9,Paramètres!$A$1:$I$89,3,0)*0.475*44/12</f>
        <v>23.890199578781669</v>
      </c>
      <c r="AB103" s="21">
        <f>EXP(-LN(2)/2)*AB102+(1-EXP(-LN(2)/2))/(LN(2)/2)*V103*Y103*VLOOKUP('Données projet'!$B$9,Paramètres!$A$1:$I$89,3,0)*0.475*44/12</f>
        <v>9.8738939554670075</v>
      </c>
      <c r="AC103" s="22">
        <f t="shared" si="57"/>
        <v>120.41351229447444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8.5265128291212022E-14</v>
      </c>
      <c r="AJ103" s="13">
        <f>AI103*VLOOKUP('Données projet'!$B$10,Paramètres!$A$1:$I$89,3,0)*VLOOKUP('Données projet'!$B$10,Paramètres!$A$1:$I$89,5,0)</f>
        <v>5.5865712056402117E-14</v>
      </c>
      <c r="AK103" s="13">
        <f t="shared" si="89"/>
        <v>8.9811031843713517E-13</v>
      </c>
      <c r="AL103" s="20">
        <f t="shared" si="58"/>
        <v>1.6615082531095774E-12</v>
      </c>
      <c r="AM103" s="59">
        <f t="shared" si="59"/>
        <v>293.33333333333496</v>
      </c>
      <c r="AN103" s="59">
        <f ca="1">AVERAGE(OFFSET($AM$3,0,0,'Données projet'!$E$10+1,1))-AVERAGE(OFFSET($H$3,0,0,'Données projet'!$E$10+1,1))</f>
        <v>244.43587473734613</v>
      </c>
      <c r="AO103" s="59">
        <f t="shared" si="90"/>
        <v>256.80261402149375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15.119440539291684</v>
      </c>
      <c r="AV103" s="21">
        <f>EXP(-LN(2)/25)*AV102+(1-EXP(-LN(2)/25))/(LN(2)/25)*Calculateur!AQ103*Calculateur!AS103*VLOOKUP('Données projet'!$B$10,Paramètres!$A$1:$I$89,3,0)*0.475*44/12</f>
        <v>38.293942219122798</v>
      </c>
      <c r="AW103" s="21">
        <f>EXP(-LN(2)/2)*AW102+(1-EXP(-LN(2)/2))/(LN(2)/2)*AQ103*AT103*VLOOKUP('Données projet'!$B$10,Paramètres!$A$1:$I$89,3,0)*0.475*44/12</f>
        <v>0.97882146173569795</v>
      </c>
      <c r="AX103" s="21">
        <f t="shared" si="60"/>
        <v>54.392204220150184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-2.2737367544323206E-13</v>
      </c>
      <c r="BE103" s="13">
        <f>BD103*VLOOKUP('Données projet'!$B$11,Paramètres!$A$1:$I$89,3,0)*VLOOKUP('Données projet'!$B$11,Paramètres!$A$1:$I$89,5,0)</f>
        <v>-1.2710188457276673E-13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430.60186171079067</v>
      </c>
      <c r="BJ103" s="59">
        <f t="shared" si="92"/>
        <v>533.76627289533985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117.19317937553789</v>
      </c>
      <c r="BQ103" s="21">
        <f>EXP(-LN(2)/25)*BQ102+(1-EXP(-LN(2)/25))/(LN(2)/25)*Calculateur!BL103*Calculateur!BN103*VLOOKUP('Données projet'!$B$11,Paramètres!$A$1:$I$89,3,0)*0.475*44/12</f>
        <v>21.252121802151667</v>
      </c>
      <c r="BR103" s="21">
        <f>EXP(-LN(2)/2)*BR102+(1-EXP(-LN(2)/2))/(LN(2)/2)*BL103*BO103*VLOOKUP('Données projet'!$B$11,Paramètres!$A$1:$I$89,3,0)*0.475*44/12</f>
        <v>5.3711748500165265E-5</v>
      </c>
      <c r="BS103" s="22">
        <f t="shared" si="63"/>
        <v>138.44535488943808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-1.69961822393816E-13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215.89467197072673</v>
      </c>
      <c r="CE103" s="59">
        <f t="shared" si="94"/>
        <v>188.21397398859534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76.847707493798524</v>
      </c>
      <c r="CL103" s="21">
        <f>EXP(-LN(2)/25)*CL102+(1-EXP(-LN(2)/25))/(LN(2)/25)*Calculateur!CG103*Calculateur!CI103*VLOOKUP('Données projet'!$B$12,Paramètres!$A$1:$I$89,3,0)*0.475*44/12</f>
        <v>16.073107473617668</v>
      </c>
      <c r="CM103" s="21">
        <f>EXP(-LN(2)/2)*CM102+(1-EXP(-LN(2)/2))/(LN(2)/2)*CG103*CJ103*VLOOKUP('Données projet'!$B$12,Paramètres!$A$1:$I$89,3,0)*0.475*44/12</f>
        <v>2.7223610578758783E-2</v>
      </c>
      <c r="CN103" s="22">
        <f t="shared" si="66"/>
        <v>92.94803857799495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4.6794871794871762</v>
      </c>
      <c r="CT103" s="12">
        <f>IF('Données projet'!$A$140&gt;35,CT102+CS103-DB102,IF(A103&lt;'Données projet'!$A$140,$CQ$205^A103,IF(A103='Données projet'!$A$140,'Données projet'!$B$140,CT102+CS103-DB102)))</f>
        <v>175.35897435897448</v>
      </c>
      <c r="CU103" s="17">
        <f>CT103*VLOOKUP('Données projet'!$B$13,Paramètres!$A$1:$I$89,3,0)*VLOOKUP('Données projet'!$B$13,Paramètres!$A$1:$I$89,5,0)</f>
        <v>177.81400000000014</v>
      </c>
      <c r="CV103" s="13">
        <f t="shared" si="95"/>
        <v>44.835496125936409</v>
      </c>
      <c r="CW103" s="20">
        <f t="shared" si="67"/>
        <v>387.7812057526728</v>
      </c>
      <c r="CX103" s="59">
        <f t="shared" si="68"/>
        <v>681.11453908600606</v>
      </c>
      <c r="CY103" s="59">
        <f ca="1">AVERAGE(OFFSET($CX$3,0,0,'Données projet'!$E$13+1,1))-AVERAGE(OFFSET($H$3,0,0,'Données projet'!$E$13+1,1))</f>
        <v>342.82846711287749</v>
      </c>
      <c r="CZ103" s="59">
        <f t="shared" si="96"/>
        <v>152.87724741106297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>
        <f>DO103*VLOOKUP('Données projet'!$B$14,Paramètres!$A$1:$I$89,3,0)*VLOOKUP('Données projet'!$B$14,Paramètres!$A$1:$I$89,5,0)</f>
        <v>0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208.48147873805715</v>
      </c>
      <c r="DU103" s="59">
        <f t="shared" si="98"/>
        <v>209.50570914630686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39.147067551770029</v>
      </c>
      <c r="EB103" s="21">
        <f>EXP(-LN(2)/25)*EB102+(1-EXP(-LN(2)/25))/(LN(2)/25)*Calculateur!DW103*Calculateur!DY103*VLOOKUP('Données projet'!$B$14,Paramètres!$A$1:$I$89,3,0)*0.475*44/12</f>
        <v>10.972185986671562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50.11925353844159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-1.7053025658242404E-13</v>
      </c>
      <c r="EK103" s="17">
        <f>EJ103*VLOOKUP('Données projet'!$B$15,Paramètres!$A$1:$I$89,3,0)*VLOOKUP('Données projet'!$B$15,Paramètres!$A$1:$I$89,5,0)</f>
        <v>-1.0197709343628959E-13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247.31680974612766</v>
      </c>
      <c r="EP103" s="59">
        <f t="shared" si="100"/>
        <v>257.13949761071882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58.746154516301154</v>
      </c>
      <c r="EW103" s="21">
        <f>EXP(-LN(2)/25)*EW102+(1-EXP(-LN(2)/25))/(LN(2)/25)*Calculateur!ER103*Calculateur!ET103*VLOOKUP('Données projet'!$B$15,Paramètres!$A$1:$I$89,3,0)*0.475*44/12</f>
        <v>11.921154592075824</v>
      </c>
      <c r="EX103" s="21">
        <f>EXP(-LN(2)/2)*EX102+(1-EXP(-LN(2)/2))/(LN(2)/2)*ER103*EU103*VLOOKUP('Données projet'!$B$15,Paramètres!$A$1:$I$89,3,0)*0.475*44/12</f>
        <v>3.0482147684076571E-5</v>
      </c>
      <c r="EY103" s="22">
        <f t="shared" si="75"/>
        <v>70.667339590524662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17.961839999999981</v>
      </c>
      <c r="D104" s="11">
        <f t="shared" si="86"/>
        <v>5.9142060675169077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36.861264104236604</v>
      </c>
      <c r="H104" s="67">
        <f t="shared" si="56"/>
        <v>298.25078023425857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5.6546153846153828</v>
      </c>
      <c r="N104" s="13">
        <f>IF('Données projet'!$A$36&gt;35,N103+M104-V103,IF(A104&lt;'Données projet'!$A$36,$K$205^A104,IF(A104='Données projet'!$A$36,'Données projet'!$B$36,N103+M104-V103)))</f>
        <v>210.85538461538505</v>
      </c>
      <c r="O104" s="13">
        <f>N104*VLOOKUP('Données projet'!$B$9,Paramètres!$A$1:$I$89,3,0)*VLOOKUP('Données projet'!$B$9,Paramètres!$A$1:$I$89,5,0)</f>
        <v>98.680320000000208</v>
      </c>
      <c r="P104" s="13">
        <f t="shared" si="87"/>
        <v>26.647359319385743</v>
      </c>
      <c r="Q104" s="20">
        <f t="shared" si="107"/>
        <v>218.27904148126387</v>
      </c>
      <c r="R104" s="59">
        <f t="shared" si="55"/>
        <v>511.61237481459716</v>
      </c>
      <c r="S104" s="59">
        <f ca="1">AVERAGE(OFFSET($R$3,0,0,'Données projet'!$E$9+1,1))-AVERAGE(OFFSET($H$3,0,0,'Données projet'!$E$9+1,1))</f>
        <v>223.99456146593315</v>
      </c>
      <c r="T104" s="59">
        <f t="shared" si="88"/>
        <v>132.73290587325937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84.950276509264583</v>
      </c>
      <c r="AA104" s="21">
        <f>EXP(-LN(2)/25)*AA103+(1-EXP(-LN(2)/25))/(LN(2)/25)*Calculateur!V104*Calculateur!X104*VLOOKUP('Données projet'!$B$9,Paramètres!$A$1:$I$89,3,0)*0.475*44/12</f>
        <v>23.23692081496889</v>
      </c>
      <c r="AB104" s="21">
        <f>EXP(-LN(2)/2)*AB103+(1-EXP(-LN(2)/2))/(LN(2)/2)*V104*Y104*VLOOKUP('Données projet'!$B$9,Paramètres!$A$1:$I$89,3,0)*0.475*44/12</f>
        <v>6.9818973726275839</v>
      </c>
      <c r="AC104" s="22">
        <f t="shared" si="57"/>
        <v>115.16909469686105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8.5265128291212022E-14</v>
      </c>
      <c r="AJ104" s="13">
        <f>AI104*VLOOKUP('Données projet'!$B$10,Paramètres!$A$1:$I$89,3,0)*VLOOKUP('Données projet'!$B$10,Paramètres!$A$1:$I$89,5,0)</f>
        <v>5.5865712056402117E-14</v>
      </c>
      <c r="AK104" s="13">
        <f t="shared" si="89"/>
        <v>8.9811031843713517E-13</v>
      </c>
      <c r="AL104" s="20">
        <f t="shared" si="58"/>
        <v>1.6615082531095774E-12</v>
      </c>
      <c r="AM104" s="59">
        <f t="shared" si="59"/>
        <v>293.33333333333496</v>
      </c>
      <c r="AN104" s="59">
        <f ca="1">AVERAGE(OFFSET($AM$3,0,0,'Données projet'!$E$10+1,1))-AVERAGE(OFFSET($H$3,0,0,'Données projet'!$E$10+1,1))</f>
        <v>244.43587473734613</v>
      </c>
      <c r="AO104" s="59">
        <f t="shared" si="90"/>
        <v>256.80261402149375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14.822957532264311</v>
      </c>
      <c r="AV104" s="21">
        <f>EXP(-LN(2)/25)*AV103+(1-EXP(-LN(2)/25))/(LN(2)/25)*Calculateur!AQ104*Calculateur!AS104*VLOOKUP('Données projet'!$B$10,Paramètres!$A$1:$I$89,3,0)*0.475*44/12</f>
        <v>37.246792355349989</v>
      </c>
      <c r="AW104" s="21">
        <f>EXP(-LN(2)/2)*AW103+(1-EXP(-LN(2)/2))/(LN(2)/2)*AQ104*AT104*VLOOKUP('Données projet'!$B$10,Paramètres!$A$1:$I$89,3,0)*0.475*44/12</f>
        <v>0.69213129316424082</v>
      </c>
      <c r="AX104" s="21">
        <f t="shared" si="60"/>
        <v>52.761881180778538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-2.2737367544323206E-13</v>
      </c>
      <c r="BE104" s="13">
        <f>BD104*VLOOKUP('Données projet'!$B$11,Paramètres!$A$1:$I$89,3,0)*VLOOKUP('Données projet'!$B$11,Paramètres!$A$1:$I$89,5,0)</f>
        <v>-1.2710188457276673E-13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430.60186171079067</v>
      </c>
      <c r="BJ104" s="59">
        <f t="shared" si="92"/>
        <v>533.76627289533985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114.89509260876487</v>
      </c>
      <c r="BQ104" s="21">
        <f>EXP(-LN(2)/25)*BQ103+(1-EXP(-LN(2)/25))/(LN(2)/25)*Calculateur!BL104*Calculateur!BN104*VLOOKUP('Données projet'!$B$11,Paramètres!$A$1:$I$89,3,0)*0.475*44/12</f>
        <v>20.670981413871317</v>
      </c>
      <c r="BR104" s="21">
        <f>EXP(-LN(2)/2)*BR103+(1-EXP(-LN(2)/2))/(LN(2)/2)*BL104*BO104*VLOOKUP('Données projet'!$B$11,Paramètres!$A$1:$I$89,3,0)*0.475*44/12</f>
        <v>3.7979941593853231E-5</v>
      </c>
      <c r="BS104" s="22">
        <f t="shared" si="63"/>
        <v>135.5661120025778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-1.69961822393816E-13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215.89467197072673</v>
      </c>
      <c r="CE104" s="59">
        <f t="shared" si="94"/>
        <v>188.21397398859534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75.340770822318433</v>
      </c>
      <c r="CL104" s="21">
        <f>EXP(-LN(2)/25)*CL103+(1-EXP(-LN(2)/25))/(LN(2)/25)*Calculateur!CG104*Calculateur!CI104*VLOOKUP('Données projet'!$B$12,Paramètres!$A$1:$I$89,3,0)*0.475*44/12</f>
        <v>15.633587504503607</v>
      </c>
      <c r="CM104" s="21">
        <f>EXP(-LN(2)/2)*CM103+(1-EXP(-LN(2)/2))/(LN(2)/2)*CG104*CJ104*VLOOKUP('Données projet'!$B$12,Paramètres!$A$1:$I$89,3,0)*0.475*44/12</f>
        <v>1.9249999648622167E-2</v>
      </c>
      <c r="CN104" s="22">
        <f t="shared" si="66"/>
        <v>90.993608326470664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4.6794871794871762</v>
      </c>
      <c r="CT104" s="12">
        <f>IF('Données projet'!$A$140&gt;35,CT103+CS104-DB103,IF(A104&lt;'Données projet'!$A$140,$CQ$205^A104,IF(A104='Données projet'!$A$140,'Données projet'!$B$140,CT103+CS104-DB103)))</f>
        <v>180.03846153846166</v>
      </c>
      <c r="CU104" s="17">
        <f>CT104*VLOOKUP('Données projet'!$B$13,Paramètres!$A$1:$I$89,3,0)*VLOOKUP('Données projet'!$B$13,Paramètres!$A$1:$I$89,5,0)</f>
        <v>182.55900000000014</v>
      </c>
      <c r="CV104" s="13">
        <f t="shared" si="95"/>
        <v>45.891047923768923</v>
      </c>
      <c r="CW104" s="20">
        <f t="shared" si="67"/>
        <v>397.88383346723111</v>
      </c>
      <c r="CX104" s="59">
        <f t="shared" si="68"/>
        <v>691.21716680056443</v>
      </c>
      <c r="CY104" s="59">
        <f ca="1">AVERAGE(OFFSET($CX$3,0,0,'Données projet'!$E$13+1,1))-AVERAGE(OFFSET($H$3,0,0,'Données projet'!$E$13+1,1))</f>
        <v>342.82846711287749</v>
      </c>
      <c r="CZ104" s="59">
        <f t="shared" si="96"/>
        <v>152.87724741106297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208.48147873805715</v>
      </c>
      <c r="DU104" s="59">
        <f t="shared" si="98"/>
        <v>209.50570914630686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38.379417434433336</v>
      </c>
      <c r="EB104" s="21">
        <f>EXP(-LN(2)/25)*EB103+(1-EXP(-LN(2)/25))/(LN(2)/25)*Calculateur!DW104*Calculateur!DY104*VLOOKUP('Données projet'!$B$14,Paramètres!$A$1:$I$89,3,0)*0.475*44/12</f>
        <v>10.672150983863844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49.05156841829718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-1.7053025658242404E-13</v>
      </c>
      <c r="EK104" s="17">
        <f>EJ104*VLOOKUP('Données projet'!$B$15,Paramètres!$A$1:$I$89,3,0)*VLOOKUP('Données projet'!$B$15,Paramètres!$A$1:$I$89,5,0)</f>
        <v>-1.0197709343628959E-13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247.31680974612766</v>
      </c>
      <c r="EP104" s="59">
        <f t="shared" si="100"/>
        <v>257.13949761071882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57.594178257852661</v>
      </c>
      <c r="EW104" s="21">
        <f>EXP(-LN(2)/25)*EW103+(1-EXP(-LN(2)/25))/(LN(2)/25)*Calculateur!ER104*Calculateur!ET104*VLOOKUP('Données projet'!$B$15,Paramètres!$A$1:$I$89,3,0)*0.475*44/12</f>
        <v>11.595169992849238</v>
      </c>
      <c r="EX104" s="21">
        <f>EXP(-LN(2)/2)*EX103+(1-EXP(-LN(2)/2))/(LN(2)/2)*ER104*EU104*VLOOKUP('Données projet'!$B$15,Paramètres!$A$1:$I$89,3,0)*0.475*44/12</f>
        <v>2.1554133332540359E-5</v>
      </c>
      <c r="EY104" s="22">
        <f t="shared" si="75"/>
        <v>69.189369804835223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18.139679999999981</v>
      </c>
      <c r="D105" s="11">
        <f t="shared" si="86"/>
        <v>5.9659168815797115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37.215658343491455</v>
      </c>
      <c r="H105" s="67">
        <f t="shared" si="56"/>
        <v>298.65058123541797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5.6546153846153828</v>
      </c>
      <c r="N105" s="13">
        <f>IF('Données projet'!$A$36&gt;35,N104+M105-V104,IF(A105&lt;'Données projet'!$A$36,$K$205^A105,IF(A105='Données projet'!$A$36,'Données projet'!$B$36,N104+M105-V104)))</f>
        <v>216.51000000000045</v>
      </c>
      <c r="O105" s="13">
        <f>N105*VLOOKUP('Données projet'!$B$9,Paramètres!$A$1:$I$89,3,0)*VLOOKUP('Données projet'!$B$9,Paramètres!$A$1:$I$89,5,0)</f>
        <v>101.32668000000021</v>
      </c>
      <c r="P105" s="13">
        <f t="shared" si="87"/>
        <v>27.277817919146429</v>
      </c>
      <c r="Q105" s="20">
        <f t="shared" si="107"/>
        <v>223.98616720918039</v>
      </c>
      <c r="R105" s="59">
        <f t="shared" si="55"/>
        <v>517.31950054251365</v>
      </c>
      <c r="S105" s="59">
        <f ca="1">AVERAGE(OFFSET($R$3,0,0,'Données projet'!$E$9+1,1))-AVERAGE(OFFSET($H$3,0,0,'Données projet'!$E$9+1,1))</f>
        <v>223.99456146593315</v>
      </c>
      <c r="T105" s="59">
        <f t="shared" si="88"/>
        <v>132.73290587325937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83.284453401470316</v>
      </c>
      <c r="AA105" s="21">
        <f>EXP(-LN(2)/25)*AA104+(1-EXP(-LN(2)/25))/(LN(2)/25)*Calculateur!V105*Calculateur!X105*VLOOKUP('Données projet'!$B$9,Paramètres!$A$1:$I$89,3,0)*0.475*44/12</f>
        <v>22.601505993307008</v>
      </c>
      <c r="AB105" s="21">
        <f>EXP(-LN(2)/2)*AB104+(1-EXP(-LN(2)/2))/(LN(2)/2)*V105*Y105*VLOOKUP('Données projet'!$B$9,Paramètres!$A$1:$I$89,3,0)*0.475*44/12</f>
        <v>4.9369469777335047</v>
      </c>
      <c r="AC105" s="22">
        <f t="shared" si="57"/>
        <v>110.82290637251083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8.5265128291212022E-14</v>
      </c>
      <c r="AJ105" s="13">
        <f>AI105*VLOOKUP('Données projet'!$B$10,Paramètres!$A$1:$I$89,3,0)*VLOOKUP('Données projet'!$B$10,Paramètres!$A$1:$I$89,5,0)</f>
        <v>5.5865712056402117E-14</v>
      </c>
      <c r="AK105" s="13">
        <f t="shared" si="89"/>
        <v>8.9811031843713517E-13</v>
      </c>
      <c r="AL105" s="20">
        <f t="shared" si="58"/>
        <v>1.6615082531095774E-12</v>
      </c>
      <c r="AM105" s="59">
        <f t="shared" si="59"/>
        <v>293.33333333333496</v>
      </c>
      <c r="AN105" s="59">
        <f ca="1">AVERAGE(OFFSET($AM$3,0,0,'Données projet'!$E$10+1,1))-AVERAGE(OFFSET($H$3,0,0,'Données projet'!$E$10+1,1))</f>
        <v>244.43587473734613</v>
      </c>
      <c r="AO105" s="59">
        <f t="shared" si="90"/>
        <v>256.80261402149375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14.532288376167967</v>
      </c>
      <c r="AV105" s="21">
        <f>EXP(-LN(2)/25)*AV104+(1-EXP(-LN(2)/25))/(LN(2)/25)*Calculateur!AQ105*Calculateur!AS105*VLOOKUP('Données projet'!$B$10,Paramètres!$A$1:$I$89,3,0)*0.475*44/12</f>
        <v>36.228276859669265</v>
      </c>
      <c r="AW105" s="21">
        <f>EXP(-LN(2)/2)*AW104+(1-EXP(-LN(2)/2))/(LN(2)/2)*AQ105*AT105*VLOOKUP('Données projet'!$B$10,Paramètres!$A$1:$I$89,3,0)*0.475*44/12</f>
        <v>0.48941073086784903</v>
      </c>
      <c r="AX105" s="21">
        <f t="shared" si="60"/>
        <v>51.24997596670508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-2.2737367544323206E-13</v>
      </c>
      <c r="BE105" s="13">
        <f>BD105*VLOOKUP('Données projet'!$B$11,Paramètres!$A$1:$I$89,3,0)*VLOOKUP('Données projet'!$B$11,Paramètres!$A$1:$I$89,5,0)</f>
        <v>-1.2710188457276673E-13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430.60186171079067</v>
      </c>
      <c r="BJ105" s="59">
        <f t="shared" si="92"/>
        <v>533.76627289533985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112.64206992179375</v>
      </c>
      <c r="BQ105" s="21">
        <f>EXP(-LN(2)/25)*BQ104+(1-EXP(-LN(2)/25))/(LN(2)/25)*Calculateur!BL105*Calculateur!BN105*VLOOKUP('Données projet'!$B$11,Paramètres!$A$1:$I$89,3,0)*0.475*44/12</f>
        <v>20.105732340069338</v>
      </c>
      <c r="BR105" s="21">
        <f>EXP(-LN(2)/2)*BR104+(1-EXP(-LN(2)/2))/(LN(2)/2)*BL105*BO105*VLOOKUP('Données projet'!$B$11,Paramètres!$A$1:$I$89,3,0)*0.475*44/12</f>
        <v>2.6855874250082633E-5</v>
      </c>
      <c r="BS105" s="22">
        <f t="shared" si="63"/>
        <v>132.74782911773733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-1.69961822393816E-13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215.89467197072673</v>
      </c>
      <c r="CE105" s="59">
        <f t="shared" si="94"/>
        <v>188.21397398859534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73.863384259825452</v>
      </c>
      <c r="CL105" s="21">
        <f>EXP(-LN(2)/25)*CL104+(1-EXP(-LN(2)/25))/(LN(2)/25)*Calculateur!CG105*Calculateur!CI105*VLOOKUP('Données projet'!$B$12,Paramètres!$A$1:$I$89,3,0)*0.475*44/12</f>
        <v>15.20608623205832</v>
      </c>
      <c r="CM105" s="21">
        <f>EXP(-LN(2)/2)*CM104+(1-EXP(-LN(2)/2))/(LN(2)/2)*CG105*CJ105*VLOOKUP('Données projet'!$B$12,Paramètres!$A$1:$I$89,3,0)*0.475*44/12</f>
        <v>1.3611805289379391E-2</v>
      </c>
      <c r="CN105" s="22">
        <f t="shared" si="66"/>
        <v>89.083082297173164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4.6794871794871762</v>
      </c>
      <c r="CT105" s="12">
        <f>IF('Données projet'!$A$140&gt;35,CT104+CS105-DB104,IF(A105&lt;'Données projet'!$A$140,$CQ$205^A105,IF(A105='Données projet'!$A$140,'Données projet'!$B$140,CT104+CS105-DB104)))</f>
        <v>184.71794871794884</v>
      </c>
      <c r="CU105" s="17">
        <f>CT105*VLOOKUP('Données projet'!$B$13,Paramètres!$A$1:$I$89,3,0)*VLOOKUP('Données projet'!$B$13,Paramètres!$A$1:$I$89,5,0)</f>
        <v>187.30400000000014</v>
      </c>
      <c r="CV105" s="13">
        <f t="shared" si="95"/>
        <v>46.943410678562799</v>
      </c>
      <c r="CW105" s="20">
        <f t="shared" si="67"/>
        <v>407.98090693183048</v>
      </c>
      <c r="CX105" s="59">
        <f t="shared" si="68"/>
        <v>701.31424026516379</v>
      </c>
      <c r="CY105" s="59">
        <f ca="1">AVERAGE(OFFSET($CX$3,0,0,'Données projet'!$E$13+1,1))-AVERAGE(OFFSET($H$3,0,0,'Données projet'!$E$13+1,1))</f>
        <v>342.82846711287749</v>
      </c>
      <c r="CZ105" s="59">
        <f t="shared" si="96"/>
        <v>152.87724741106297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208.48147873805715</v>
      </c>
      <c r="DU105" s="59">
        <f t="shared" si="98"/>
        <v>209.50570914630686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37.62682046767727</v>
      </c>
      <c r="EB105" s="21">
        <f>EXP(-LN(2)/25)*EB104+(1-EXP(-LN(2)/25))/(LN(2)/25)*Calculateur!DW105*Calculateur!DY105*VLOOKUP('Données projet'!$B$14,Paramètres!$A$1:$I$89,3,0)*0.475*44/12</f>
        <v>10.380320453986059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48.007140921663328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-1.7053025658242404E-13</v>
      </c>
      <c r="EK105" s="17">
        <f>EJ105*VLOOKUP('Données projet'!$B$15,Paramètres!$A$1:$I$89,3,0)*VLOOKUP('Données projet'!$B$15,Paramètres!$A$1:$I$89,5,0)</f>
        <v>-1.0197709343628959E-13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247.31680974612766</v>
      </c>
      <c r="EP105" s="59">
        <f t="shared" si="100"/>
        <v>257.13949761071882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56.464791551196207</v>
      </c>
      <c r="EW105" s="21">
        <f>EXP(-LN(2)/25)*EW104+(1-EXP(-LN(2)/25))/(LN(2)/25)*Calculateur!ER105*Calculateur!ET105*VLOOKUP('Données projet'!$B$15,Paramètres!$A$1:$I$89,3,0)*0.475*44/12</f>
        <v>11.278099459631287</v>
      </c>
      <c r="EX105" s="21">
        <f>EXP(-LN(2)/2)*EX104+(1-EXP(-LN(2)/2))/(LN(2)/2)*ER105*EU105*VLOOKUP('Données projet'!$B$15,Paramètres!$A$1:$I$89,3,0)*0.475*44/12</f>
        <v>1.5241073842038287E-5</v>
      </c>
      <c r="EY105" s="22">
        <f t="shared" si="75"/>
        <v>67.742906251901331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18.31751999999998</v>
      </c>
      <c r="D106" s="11">
        <f t="shared" si="86"/>
        <v>6.0175687171372587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37.569961528211877</v>
      </c>
      <c r="H106" s="67">
        <f t="shared" si="56"/>
        <v>299.0502795156807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5.6546153846153828</v>
      </c>
      <c r="N106" s="13">
        <f>IF('Données projet'!$A$36&gt;35,N105+M106-V105,IF(A106&lt;'Données projet'!$A$36,$K$205^A106,IF(A106='Données projet'!$A$36,'Données projet'!$B$36,N105+M106-V105)))</f>
        <v>222.16461538461584</v>
      </c>
      <c r="O106" s="13">
        <f>N106*VLOOKUP('Données projet'!$B$9,Paramètres!$A$1:$I$89,3,0)*VLOOKUP('Données projet'!$B$9,Paramètres!$A$1:$I$89,5,0)</f>
        <v>103.97304000000021</v>
      </c>
      <c r="P106" s="13">
        <f t="shared" si="87"/>
        <v>27.906362585271903</v>
      </c>
      <c r="Q106" s="20">
        <f t="shared" si="107"/>
        <v>229.68995950268229</v>
      </c>
      <c r="R106" s="59">
        <f t="shared" si="55"/>
        <v>523.02329283601557</v>
      </c>
      <c r="S106" s="59">
        <f ca="1">AVERAGE(OFFSET($R$3,0,0,'Données projet'!$E$9+1,1))-AVERAGE(OFFSET($H$3,0,0,'Données projet'!$E$9+1,1))</f>
        <v>223.99456146593315</v>
      </c>
      <c r="T106" s="59">
        <f t="shared" si="88"/>
        <v>132.73290587325937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81.651296068768119</v>
      </c>
      <c r="AA106" s="21">
        <f>EXP(-LN(2)/25)*AA105+(1-EXP(-LN(2)/25))/(LN(2)/25)*Calculateur!V106*Calculateur!X106*VLOOKUP('Données projet'!$B$9,Paramètres!$A$1:$I$89,3,0)*0.475*44/12</f>
        <v>21.983466623358485</v>
      </c>
      <c r="AB106" s="21">
        <f>EXP(-LN(2)/2)*AB105+(1-EXP(-LN(2)/2))/(LN(2)/2)*V106*Y106*VLOOKUP('Données projet'!$B$9,Paramètres!$A$1:$I$89,3,0)*0.475*44/12</f>
        <v>3.4909486863137928</v>
      </c>
      <c r="AC106" s="22">
        <f t="shared" si="57"/>
        <v>107.1257113784404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8.5265128291212022E-14</v>
      </c>
      <c r="AJ106" s="13">
        <f>AI106*VLOOKUP('Données projet'!$B$10,Paramètres!$A$1:$I$89,3,0)*VLOOKUP('Données projet'!$B$10,Paramètres!$A$1:$I$89,5,0)</f>
        <v>5.5865712056402117E-14</v>
      </c>
      <c r="AK106" s="13">
        <f t="shared" si="89"/>
        <v>8.9811031843713517E-13</v>
      </c>
      <c r="AL106" s="20">
        <f t="shared" si="58"/>
        <v>1.6615082531095774E-12</v>
      </c>
      <c r="AM106" s="59">
        <f t="shared" si="59"/>
        <v>293.33333333333496</v>
      </c>
      <c r="AN106" s="59">
        <f ca="1">AVERAGE(OFFSET($AM$3,0,0,'Données projet'!$E$10+1,1))-AVERAGE(OFFSET($H$3,0,0,'Données projet'!$E$10+1,1))</f>
        <v>244.43587473734613</v>
      </c>
      <c r="AO106" s="59">
        <f t="shared" si="90"/>
        <v>256.80261402149375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14.247319064931993</v>
      </c>
      <c r="AV106" s="21">
        <f>EXP(-LN(2)/25)*AV105+(1-EXP(-LN(2)/25))/(LN(2)/25)*Calculateur!AQ106*Calculateur!AS106*VLOOKUP('Données projet'!$B$10,Paramètres!$A$1:$I$89,3,0)*0.475*44/12</f>
        <v>35.237612723779328</v>
      </c>
      <c r="AW106" s="21">
        <f>EXP(-LN(2)/2)*AW105+(1-EXP(-LN(2)/2))/(LN(2)/2)*AQ106*AT106*VLOOKUP('Données projet'!$B$10,Paramètres!$A$1:$I$89,3,0)*0.475*44/12</f>
        <v>0.34606564658212047</v>
      </c>
      <c r="AX106" s="21">
        <f t="shared" si="60"/>
        <v>49.83099743529344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-2.2737367544323206E-13</v>
      </c>
      <c r="BE106" s="13">
        <f>BD106*VLOOKUP('Données projet'!$B$11,Paramètres!$A$1:$I$89,3,0)*VLOOKUP('Données projet'!$B$11,Paramètres!$A$1:$I$89,5,0)</f>
        <v>-1.2710188457276673E-13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430.60186171079067</v>
      </c>
      <c r="BJ106" s="59">
        <f t="shared" si="92"/>
        <v>533.76627289533985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110.43322763550599</v>
      </c>
      <c r="BQ106" s="21">
        <f>EXP(-LN(2)/25)*BQ105+(1-EXP(-LN(2)/25))/(LN(2)/25)*Calculateur!BL106*Calculateur!BN106*VLOOKUP('Données projet'!$B$11,Paramètres!$A$1:$I$89,3,0)*0.475*44/12</f>
        <v>19.555940031915629</v>
      </c>
      <c r="BR106" s="21">
        <f>EXP(-LN(2)/2)*BR105+(1-EXP(-LN(2)/2))/(LN(2)/2)*BL106*BO106*VLOOKUP('Données projet'!$B$11,Paramètres!$A$1:$I$89,3,0)*0.475*44/12</f>
        <v>1.8989970796926616E-5</v>
      </c>
      <c r="BS106" s="22">
        <f t="shared" si="63"/>
        <v>129.98918665739239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-1.69961822393816E-13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215.89467197072673</v>
      </c>
      <c r="CE106" s="59">
        <f t="shared" si="94"/>
        <v>188.21397398859534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72.414968346706132</v>
      </c>
      <c r="CL106" s="21">
        <f>EXP(-LN(2)/25)*CL105+(1-EXP(-LN(2)/25))/(LN(2)/25)*Calculateur!CG106*Calculateur!CI106*VLOOKUP('Données projet'!$B$12,Paramètres!$A$1:$I$89,3,0)*0.475*44/12</f>
        <v>14.790275004389365</v>
      </c>
      <c r="CM106" s="21">
        <f>EXP(-LN(2)/2)*CM105+(1-EXP(-LN(2)/2))/(LN(2)/2)*CG106*CJ106*VLOOKUP('Données projet'!$B$12,Paramètres!$A$1:$I$89,3,0)*0.475*44/12</f>
        <v>9.6249998243110833E-3</v>
      </c>
      <c r="CN106" s="22">
        <f t="shared" si="66"/>
        <v>87.214868350919815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4.6794871794871762</v>
      </c>
      <c r="CT106" s="12">
        <f>IF('Données projet'!$A$140&gt;35,CT105+CS106-DB105,IF(A106&lt;'Données projet'!$A$140,$CQ$205^A106,IF(A106='Données projet'!$A$140,'Données projet'!$B$140,CT105+CS106-DB105)))</f>
        <v>189.39743589743603</v>
      </c>
      <c r="CU106" s="17">
        <f>CT106*VLOOKUP('Données projet'!$B$13,Paramètres!$A$1:$I$89,3,0)*VLOOKUP('Données projet'!$B$13,Paramètres!$A$1:$I$89,5,0)</f>
        <v>192.04900000000015</v>
      </c>
      <c r="CV106" s="13">
        <f t="shared" si="95"/>
        <v>47.992674469246488</v>
      </c>
      <c r="CW106" s="20">
        <f t="shared" si="67"/>
        <v>418.07258303393786</v>
      </c>
      <c r="CX106" s="59">
        <f t="shared" si="68"/>
        <v>711.40591636727117</v>
      </c>
      <c r="CY106" s="59">
        <f ca="1">AVERAGE(OFFSET($CX$3,0,0,'Données projet'!$E$13+1,1))-AVERAGE(OFFSET($H$3,0,0,'Données projet'!$E$13+1,1))</f>
        <v>342.82846711287749</v>
      </c>
      <c r="CZ106" s="59">
        <f t="shared" si="96"/>
        <v>152.87724741106297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208.48147873805715</v>
      </c>
      <c r="DU106" s="59">
        <f t="shared" si="98"/>
        <v>209.50570914630686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36.888981468400473</v>
      </c>
      <c r="EB106" s="21">
        <f>EXP(-LN(2)/25)*EB105+(1-EXP(-LN(2)/25))/(LN(2)/25)*Calculateur!DW106*Calculateur!DY106*VLOOKUP('Données projet'!$B$14,Paramètres!$A$1:$I$89,3,0)*0.475*44/12</f>
        <v>10.096470045294481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46.985451513694954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-1.7053025658242404E-13</v>
      </c>
      <c r="EK106" s="17">
        <f>EJ106*VLOOKUP('Données projet'!$B$15,Paramètres!$A$1:$I$89,3,0)*VLOOKUP('Données projet'!$B$15,Paramètres!$A$1:$I$89,5,0)</f>
        <v>-1.0197709343628959E-13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247.31680974612766</v>
      </c>
      <c r="EP106" s="59">
        <f t="shared" si="100"/>
        <v>257.13949761071882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55.357551428999415</v>
      </c>
      <c r="EW106" s="21">
        <f>EXP(-LN(2)/25)*EW105+(1-EXP(-LN(2)/25))/(LN(2)/25)*Calculateur!ER106*Calculateur!ET106*VLOOKUP('Données projet'!$B$15,Paramètres!$A$1:$I$89,3,0)*0.475*44/12</f>
        <v>10.969699236818196</v>
      </c>
      <c r="EX106" s="21">
        <f>EXP(-LN(2)/2)*EX105+(1-EXP(-LN(2)/2))/(LN(2)/2)*ER106*EU106*VLOOKUP('Données projet'!$B$15,Paramètres!$A$1:$I$89,3,0)*0.475*44/12</f>
        <v>1.0777066666270181E-5</v>
      </c>
      <c r="EY106" s="22">
        <f t="shared" si="75"/>
        <v>66.327261442884279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18.49535999999998</v>
      </c>
      <c r="D107" s="11">
        <f t="shared" si="86"/>
        <v>6.0691622131069183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37.924174644796615</v>
      </c>
      <c r="H107" s="67">
        <f t="shared" si="56"/>
        <v>299.44987618782784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5.6546153846153828</v>
      </c>
      <c r="N107" s="13">
        <f>IF('Données projet'!$A$36&gt;35,N106+M107-V106,IF(A107&lt;'Données projet'!$A$36,$K$205^A107,IF(A107='Données projet'!$A$36,'Données projet'!$B$36,N106+M107-V106)))</f>
        <v>227.81923076923124</v>
      </c>
      <c r="O107" s="13">
        <f>N107*VLOOKUP('Données projet'!$B$9,Paramètres!$A$1:$I$89,3,0)*VLOOKUP('Données projet'!$B$9,Paramètres!$A$1:$I$89,5,0)</f>
        <v>106.61940000000021</v>
      </c>
      <c r="P107" s="13">
        <f t="shared" si="87"/>
        <v>28.533047633614832</v>
      </c>
      <c r="Q107" s="20">
        <f t="shared" si="107"/>
        <v>235.39051296187952</v>
      </c>
      <c r="R107" s="59">
        <f t="shared" si="55"/>
        <v>528.72384629521287</v>
      </c>
      <c r="S107" s="59">
        <f ca="1">AVERAGE(OFFSET($R$3,0,0,'Données projet'!$E$9+1,1))-AVERAGE(OFFSET($H$3,0,0,'Données projet'!$E$9+1,1))</f>
        <v>223.99456146593315</v>
      </c>
      <c r="T107" s="59">
        <f t="shared" si="88"/>
        <v>132.73290587325937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80.050163955232605</v>
      </c>
      <c r="AA107" s="21">
        <f>EXP(-LN(2)/25)*AA106+(1-EXP(-LN(2)/25))/(LN(2)/25)*Calculateur!V107*Calculateur!X107*VLOOKUP('Données projet'!$B$9,Paramètres!$A$1:$I$89,3,0)*0.475*44/12</f>
        <v>21.382327572482481</v>
      </c>
      <c r="AB107" s="21">
        <f>EXP(-LN(2)/2)*AB106+(1-EXP(-LN(2)/2))/(LN(2)/2)*V107*Y107*VLOOKUP('Données projet'!$B$9,Paramètres!$A$1:$I$89,3,0)*0.475*44/12</f>
        <v>2.4684734888667528</v>
      </c>
      <c r="AC107" s="22">
        <f t="shared" si="57"/>
        <v>103.90096501658184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8.5265128291212022E-14</v>
      </c>
      <c r="AJ107" s="13">
        <f>AI107*VLOOKUP('Données projet'!$B$10,Paramètres!$A$1:$I$89,3,0)*VLOOKUP('Données projet'!$B$10,Paramètres!$A$1:$I$89,5,0)</f>
        <v>5.5865712056402117E-14</v>
      </c>
      <c r="AK107" s="13">
        <f t="shared" si="89"/>
        <v>8.9811031843713517E-13</v>
      </c>
      <c r="AL107" s="20">
        <f t="shared" si="58"/>
        <v>1.6615082531095774E-12</v>
      </c>
      <c r="AM107" s="59">
        <f t="shared" si="59"/>
        <v>293.33333333333496</v>
      </c>
      <c r="AN107" s="59">
        <f ca="1">AVERAGE(OFFSET($AM$3,0,0,'Données projet'!$E$10+1,1))-AVERAGE(OFFSET($H$3,0,0,'Données projet'!$E$10+1,1))</f>
        <v>244.43587473734613</v>
      </c>
      <c r="AO107" s="59">
        <f t="shared" si="90"/>
        <v>256.80261402149375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13.96793782807524</v>
      </c>
      <c r="AV107" s="21">
        <f>EXP(-LN(2)/25)*AV106+(1-EXP(-LN(2)/25))/(LN(2)/25)*Calculateur!AQ107*Calculateur!AS107*VLOOKUP('Données projet'!$B$10,Paramètres!$A$1:$I$89,3,0)*0.475*44/12</f>
        <v>34.274038350782064</v>
      </c>
      <c r="AW107" s="21">
        <f>EXP(-LN(2)/2)*AW106+(1-EXP(-LN(2)/2))/(LN(2)/2)*AQ107*AT107*VLOOKUP('Données projet'!$B$10,Paramètres!$A$1:$I$89,3,0)*0.475*44/12</f>
        <v>0.24470536543392457</v>
      </c>
      <c r="AX107" s="21">
        <f t="shared" si="60"/>
        <v>48.486681544291223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-2.2737367544323206E-13</v>
      </c>
      <c r="BE107" s="13">
        <f>BD107*VLOOKUP('Données projet'!$B$11,Paramètres!$A$1:$I$89,3,0)*VLOOKUP('Données projet'!$B$11,Paramètres!$A$1:$I$89,5,0)</f>
        <v>-1.2710188457276673E-13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430.60186171079067</v>
      </c>
      <c r="BJ107" s="59">
        <f t="shared" si="92"/>
        <v>533.76627289533985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108.26769939919156</v>
      </c>
      <c r="BQ107" s="21">
        <f>EXP(-LN(2)/25)*BQ106+(1-EXP(-LN(2)/25))/(LN(2)/25)*Calculateur!BL107*Calculateur!BN107*VLOOKUP('Données projet'!$B$11,Paramètres!$A$1:$I$89,3,0)*0.475*44/12</f>
        <v>19.021181823340704</v>
      </c>
      <c r="BR107" s="21">
        <f>EXP(-LN(2)/2)*BR106+(1-EXP(-LN(2)/2))/(LN(2)/2)*BL107*BO107*VLOOKUP('Données projet'!$B$11,Paramètres!$A$1:$I$89,3,0)*0.475*44/12</f>
        <v>1.3427937125041316E-5</v>
      </c>
      <c r="BS107" s="22">
        <f t="shared" si="63"/>
        <v>127.28889465046939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-1.69961822393816E-13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215.89467197072673</v>
      </c>
      <c r="CE107" s="59">
        <f t="shared" si="94"/>
        <v>188.21397398859534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70.994954986196618</v>
      </c>
      <c r="CL107" s="21">
        <f>EXP(-LN(2)/25)*CL106+(1-EXP(-LN(2)/25))/(LN(2)/25)*Calculateur!CG107*Calculateur!CI107*VLOOKUP('Données projet'!$B$12,Paramètres!$A$1:$I$89,3,0)*0.475*44/12</f>
        <v>14.385834156607579</v>
      </c>
      <c r="CM107" s="21">
        <f>EXP(-LN(2)/2)*CM106+(1-EXP(-LN(2)/2))/(LN(2)/2)*CG107*CJ107*VLOOKUP('Données projet'!$B$12,Paramètres!$A$1:$I$89,3,0)*0.475*44/12</f>
        <v>6.8059026446896957E-3</v>
      </c>
      <c r="CN107" s="22">
        <f t="shared" si="66"/>
        <v>85.387595045448876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194.07692307692307</v>
      </c>
      <c r="CR107" s="12">
        <f>VLOOKUP(A107,'Données projet'!$A$139:$I$159,9,0)</f>
        <v>4.6794871794871762</v>
      </c>
      <c r="CS107" s="12">
        <f t="array" ref="CS107">INDEX(CR:CR,MIN(IF(ISNUMBER(CR107:CR303),ROW(CR107:CR303),"")))</f>
        <v>4.6794871794871762</v>
      </c>
      <c r="CT107" s="12">
        <f>IF('Données projet'!$A$140&gt;35,CT106+CS107-DB106,IF(A107&lt;'Données projet'!$A$140,$CQ$205^A107,IF(A107='Données projet'!$A$140,'Données projet'!$B$140,CT106+CS107-DB106)))</f>
        <v>194.07692307692321</v>
      </c>
      <c r="CU107" s="17">
        <f>CT107*VLOOKUP('Données projet'!$B$13,Paramètres!$A$1:$I$89,3,0)*VLOOKUP('Données projet'!$B$13,Paramètres!$A$1:$I$89,5,0)</f>
        <v>196.79400000000015</v>
      </c>
      <c r="CV107" s="13">
        <f t="shared" si="95"/>
        <v>49.038924669809639</v>
      </c>
      <c r="CW107" s="20">
        <f t="shared" si="67"/>
        <v>428.15901046658536</v>
      </c>
      <c r="CX107" s="59">
        <f t="shared" si="68"/>
        <v>721.49234379991867</v>
      </c>
      <c r="CY107" s="59">
        <f ca="1">AVERAGE(OFFSET($CX$3,0,0,'Données projet'!$E$13+1,1))-AVERAGE(OFFSET($H$3,0,0,'Données projet'!$E$13+1,1))</f>
        <v>342.82846711287749</v>
      </c>
      <c r="CZ107" s="59">
        <f t="shared" si="96"/>
        <v>152.87724741106297</v>
      </c>
      <c r="DA107" s="15">
        <f>IF(ISNA(VLOOKUP(A107,'Données projet'!$A$139:$I$159,3,0)),0,VLOOKUP(A107,'Données projet'!$A$139:$I$159,3,0))</f>
        <v>6</v>
      </c>
      <c r="DB107" s="15">
        <f>IF(ISNA(VLOOKUP(A107,'Données projet'!$A$139:$I$159,4,0)),0,VLOOKUP(A107,'Données projet'!$A$139:$I$159,4,0))</f>
        <v>28.275641025641026</v>
      </c>
      <c r="DC107" s="16">
        <f>IF(ISNA(VLOOKUP(A107,'Données projet'!$A$139:$I$159,5,0)),0%,VLOOKUP(A107,'Données projet'!$A$139:$I$159,5,0)*VLOOKUP('Données projet'!$B$13,Paramètres!$A$1:$I$89,7,0))</f>
        <v>0.30099999999999999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9.5403436900204728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9.5403436900204728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208.48147873805715</v>
      </c>
      <c r="DU107" s="59">
        <f t="shared" si="98"/>
        <v>209.50570914630686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36.165611041862142</v>
      </c>
      <c r="EB107" s="21">
        <f>EXP(-LN(2)/25)*EB106+(1-EXP(-LN(2)/25))/(LN(2)/25)*Calculateur!DW107*Calculateur!DY107*VLOOKUP('Données projet'!$B$14,Paramètres!$A$1:$I$89,3,0)*0.475*44/12</f>
        <v>9.8203815409556192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45.985992582817758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-1.7053025658242404E-13</v>
      </c>
      <c r="EK107" s="17">
        <f>EJ107*VLOOKUP('Données projet'!$B$15,Paramètres!$A$1:$I$89,3,0)*VLOOKUP('Données projet'!$B$15,Paramètres!$A$1:$I$89,5,0)</f>
        <v>-1.0197709343628959E-13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247.31680974612766</v>
      </c>
      <c r="EP107" s="59">
        <f t="shared" si="100"/>
        <v>257.13949761071882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54.272023610249114</v>
      </c>
      <c r="EW107" s="21">
        <f>EXP(-LN(2)/25)*EW106+(1-EXP(-LN(2)/25))/(LN(2)/25)*Calculateur!ER107*Calculateur!ET107*VLOOKUP('Données projet'!$B$15,Paramètres!$A$1:$I$89,3,0)*0.475*44/12</f>
        <v>10.66973223431599</v>
      </c>
      <c r="EX107" s="21">
        <f>EXP(-LN(2)/2)*EX106+(1-EXP(-LN(2)/2))/(LN(2)/2)*ER107*EU107*VLOOKUP('Données projet'!$B$15,Paramètres!$A$1:$I$89,3,0)*0.475*44/12</f>
        <v>7.6205369210191443E-6</v>
      </c>
      <c r="EY107" s="22">
        <f t="shared" si="75"/>
        <v>64.941763465102028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18.67319999999998</v>
      </c>
      <c r="D108" s="11">
        <f t="shared" si="86"/>
        <v>6.1206979954107696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38.278298659581509</v>
      </c>
      <c r="H108" s="67">
        <f t="shared" si="56"/>
        <v>299.84937234200709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5.6546153846153828</v>
      </c>
      <c r="N108" s="13">
        <f>IF('Données projet'!$A$36&gt;35,N107+M108-V107,IF(A108&lt;'Données projet'!$A$36,$K$205^A108,IF(A108='Données projet'!$A$36,'Données projet'!$B$36,N107+M108-V107)))</f>
        <v>233.47384615384664</v>
      </c>
      <c r="O108" s="13">
        <f>N108*VLOOKUP('Données projet'!$B$9,Paramètres!$A$1:$I$89,3,0)*VLOOKUP('Données projet'!$B$9,Paramètres!$A$1:$I$89,5,0)</f>
        <v>109.26576000000023</v>
      </c>
      <c r="P108" s="13">
        <f t="shared" si="87"/>
        <v>29.15792453003198</v>
      </c>
      <c r="Q108" s="20">
        <f t="shared" si="107"/>
        <v>241.08791722313939</v>
      </c>
      <c r="R108" s="59">
        <f t="shared" si="55"/>
        <v>534.42125055647273</v>
      </c>
      <c r="S108" s="59">
        <f ca="1">AVERAGE(OFFSET($R$3,0,0,'Données projet'!$E$9+1,1))-AVERAGE(OFFSET($H$3,0,0,'Données projet'!$E$9+1,1))</f>
        <v>223.99456146593315</v>
      </c>
      <c r="T108" s="59">
        <f t="shared" si="88"/>
        <v>132.73290587325937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78.480429065849364</v>
      </c>
      <c r="AA108" s="21">
        <f>EXP(-LN(2)/25)*AA107+(1-EXP(-LN(2)/25))/(LN(2)/25)*Calculateur!V108*Calculateur!X108*VLOOKUP('Données projet'!$B$9,Paramètres!$A$1:$I$89,3,0)*0.475*44/12</f>
        <v>20.79762670056521</v>
      </c>
      <c r="AB108" s="21">
        <f>EXP(-LN(2)/2)*AB107+(1-EXP(-LN(2)/2))/(LN(2)/2)*V108*Y108*VLOOKUP('Données projet'!$B$9,Paramètres!$A$1:$I$89,3,0)*0.475*44/12</f>
        <v>1.7454743431568966</v>
      </c>
      <c r="AC108" s="22">
        <f t="shared" si="57"/>
        <v>101.02353010957148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8.5265128291212022E-14</v>
      </c>
      <c r="AJ108" s="13">
        <f>AI108*VLOOKUP('Données projet'!$B$10,Paramètres!$A$1:$I$89,3,0)*VLOOKUP('Données projet'!$B$10,Paramètres!$A$1:$I$89,5,0)</f>
        <v>5.5865712056402117E-14</v>
      </c>
      <c r="AK108" s="13">
        <f t="shared" si="89"/>
        <v>8.9811031843713517E-13</v>
      </c>
      <c r="AL108" s="20">
        <f t="shared" si="58"/>
        <v>1.6615082531095774E-12</v>
      </c>
      <c r="AM108" s="59">
        <f t="shared" si="59"/>
        <v>293.33333333333496</v>
      </c>
      <c r="AN108" s="59">
        <f ca="1">AVERAGE(OFFSET($AM$3,0,0,'Données projet'!$E$10+1,1))-AVERAGE(OFFSET($H$3,0,0,'Données projet'!$E$10+1,1))</f>
        <v>244.43587473734613</v>
      </c>
      <c r="AO108" s="59">
        <f t="shared" si="90"/>
        <v>256.80261402149375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13.694035086867519</v>
      </c>
      <c r="AV108" s="21">
        <f>EXP(-LN(2)/25)*AV107+(1-EXP(-LN(2)/25))/(LN(2)/25)*Calculateur!AQ108*Calculateur!AS108*VLOOKUP('Données projet'!$B$10,Paramètres!$A$1:$I$89,3,0)*0.475*44/12</f>
        <v>33.336812969686584</v>
      </c>
      <c r="AW108" s="21">
        <f>EXP(-LN(2)/2)*AW107+(1-EXP(-LN(2)/2))/(LN(2)/2)*AQ108*AT108*VLOOKUP('Données projet'!$B$10,Paramètres!$A$1:$I$89,3,0)*0.475*44/12</f>
        <v>0.17303282329106026</v>
      </c>
      <c r="AX108" s="21">
        <f t="shared" si="60"/>
        <v>47.203880879845165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-2.2737367544323206E-13</v>
      </c>
      <c r="BE108" s="13">
        <f>BD108*VLOOKUP('Données projet'!$B$11,Paramètres!$A$1:$I$89,3,0)*VLOOKUP('Données projet'!$B$11,Paramètres!$A$1:$I$89,5,0)</f>
        <v>-1.2710188457276673E-13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430.60186171079067</v>
      </c>
      <c r="BJ108" s="59">
        <f t="shared" si="92"/>
        <v>533.76627289533985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106.14463585074945</v>
      </c>
      <c r="BQ108" s="21">
        <f>EXP(-LN(2)/25)*BQ107+(1-EXP(-LN(2)/25))/(LN(2)/25)*Calculateur!BL108*Calculateur!BN108*VLOOKUP('Données projet'!$B$11,Paramètres!$A$1:$I$89,3,0)*0.475*44/12</f>
        <v>18.501046606100974</v>
      </c>
      <c r="BR108" s="21">
        <f>EXP(-LN(2)/2)*BR107+(1-EXP(-LN(2)/2))/(LN(2)/2)*BL108*BO108*VLOOKUP('Données projet'!$B$11,Paramètres!$A$1:$I$89,3,0)*0.475*44/12</f>
        <v>9.4949853984633079E-6</v>
      </c>
      <c r="BS108" s="22">
        <f t="shared" si="63"/>
        <v>124.64569195183581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-1.69961822393816E-13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215.89467197072673</v>
      </c>
      <c r="CE108" s="59">
        <f t="shared" si="94"/>
        <v>188.21397398859534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69.602787221564057</v>
      </c>
      <c r="CL108" s="21">
        <f>EXP(-LN(2)/25)*CL107+(1-EXP(-LN(2)/25))/(LN(2)/25)*Calculateur!CG108*Calculateur!CI108*VLOOKUP('Données projet'!$B$12,Paramètres!$A$1:$I$89,3,0)*0.475*44/12</f>
        <v>13.992452765077006</v>
      </c>
      <c r="CM108" s="21">
        <f>EXP(-LN(2)/2)*CM107+(1-EXP(-LN(2)/2))/(LN(2)/2)*CG108*CJ108*VLOOKUP('Données projet'!$B$12,Paramètres!$A$1:$I$89,3,0)*0.475*44/12</f>
        <v>4.8124999121555417E-3</v>
      </c>
      <c r="CN108" s="22">
        <f t="shared" si="66"/>
        <v>83.600052486553224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4.7307692307692299</v>
      </c>
      <c r="CT108" s="12">
        <f>IF('Données projet'!$A$140&gt;35,CT107+CS108-DB107,IF(A108&lt;'Données projet'!$A$140,$CQ$205^A108,IF(A108='Données projet'!$A$140,'Données projet'!$B$140,CT107+CS108-DB107)))</f>
        <v>170.53205128205141</v>
      </c>
      <c r="CU108" s="17">
        <f>CT108*VLOOKUP('Données projet'!$B$13,Paramètres!$A$1:$I$89,3,0)*VLOOKUP('Données projet'!$B$13,Paramètres!$A$1:$I$89,5,0)</f>
        <v>172.91950000000014</v>
      </c>
      <c r="CV108" s="13">
        <f t="shared" si="95"/>
        <v>43.743245061838437</v>
      </c>
      <c r="CW108" s="20">
        <f t="shared" si="67"/>
        <v>377.35428098270216</v>
      </c>
      <c r="CX108" s="59">
        <f t="shared" si="68"/>
        <v>670.68761431603548</v>
      </c>
      <c r="CY108" s="59">
        <f ca="1">AVERAGE(OFFSET($CX$3,0,0,'Données projet'!$E$13+1,1))-AVERAGE(OFFSET($H$3,0,0,'Données projet'!$E$13+1,1))</f>
        <v>342.82846711287749</v>
      </c>
      <c r="CZ108" s="59">
        <f t="shared" si="96"/>
        <v>152.87724741106297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9.3532633692942397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9.3532633692942397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208.48147873805715</v>
      </c>
      <c r="DU108" s="59">
        <f t="shared" si="98"/>
        <v>209.50570914630686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35.45642546817583</v>
      </c>
      <c r="EB108" s="21">
        <f>EXP(-LN(2)/25)*EB107+(1-EXP(-LN(2)/25))/(LN(2)/25)*Calculateur!DW108*Calculateur!DY108*VLOOKUP('Données projet'!$B$14,Paramètres!$A$1:$I$89,3,0)*0.475*44/12</f>
        <v>9.5518426912867671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45.008268159462595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-1.7053025658242404E-13</v>
      </c>
      <c r="EK108" s="17">
        <f>EJ108*VLOOKUP('Données projet'!$B$15,Paramètres!$A$1:$I$89,3,0)*VLOOKUP('Données projet'!$B$15,Paramètres!$A$1:$I$89,5,0)</f>
        <v>-1.0197709343628959E-13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247.31680974612766</v>
      </c>
      <c r="EP108" s="59">
        <f t="shared" si="100"/>
        <v>257.13949761071882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53.207782329917912</v>
      </c>
      <c r="EW108" s="21">
        <f>EXP(-LN(2)/25)*EW107+(1-EXP(-LN(2)/25))/(LN(2)/25)*Calculateur!ER108*Calculateur!ET108*VLOOKUP('Données projet'!$B$15,Paramètres!$A$1:$I$89,3,0)*0.475*44/12</f>
        <v>10.377967845271787</v>
      </c>
      <c r="EX108" s="21">
        <f>EXP(-LN(2)/2)*EX107+(1-EXP(-LN(2)/2))/(LN(2)/2)*ER108*EU108*VLOOKUP('Données projet'!$B$15,Paramètres!$A$1:$I$89,3,0)*0.475*44/12</f>
        <v>5.3885333331350914E-6</v>
      </c>
      <c r="EY108" s="22">
        <f t="shared" si="75"/>
        <v>63.585755563723033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18.85103999999998</v>
      </c>
      <c r="D109" s="11">
        <f t="shared" si="86"/>
        <v>6.1721766773611177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38.632334519434686</v>
      </c>
      <c r="H109" s="67">
        <f t="shared" si="56"/>
        <v>300.24876904640394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5.6546153846153828</v>
      </c>
      <c r="N109" s="13">
        <f>IF('Données projet'!$A$36&gt;35,N108+M109-V108,IF(A109&lt;'Données projet'!$A$36,$K$205^A109,IF(A109='Données projet'!$A$36,'Données projet'!$B$36,N108+M109-V108)))</f>
        <v>239.12846153846203</v>
      </c>
      <c r="O109" s="13">
        <f>N109*VLOOKUP('Données projet'!$B$9,Paramètres!$A$1:$I$89,3,0)*VLOOKUP('Données projet'!$B$9,Paramètres!$A$1:$I$89,5,0)</f>
        <v>111.91212000000023</v>
      </c>
      <c r="P109" s="13">
        <f t="shared" si="87"/>
        <v>29.781042105276512</v>
      </c>
      <c r="Q109" s="20">
        <f t="shared" si="107"/>
        <v>246.78225733335694</v>
      </c>
      <c r="R109" s="59">
        <f t="shared" si="55"/>
        <v>540.1155906666902</v>
      </c>
      <c r="S109" s="59">
        <f ca="1">AVERAGE(OFFSET($R$3,0,0,'Données projet'!$E$9+1,1))-AVERAGE(OFFSET($H$3,0,0,'Données projet'!$E$9+1,1))</f>
        <v>223.99456146593315</v>
      </c>
      <c r="T109" s="59">
        <f t="shared" si="88"/>
        <v>132.73290587325937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76.941475720203186</v>
      </c>
      <c r="AA109" s="21">
        <f>EXP(-LN(2)/25)*AA108+(1-EXP(-LN(2)/25))/(LN(2)/25)*Calculateur!V109*Calculateur!X109*VLOOKUP('Données projet'!$B$9,Paramètres!$A$1:$I$89,3,0)*0.475*44/12</f>
        <v>20.228914504738601</v>
      </c>
      <c r="AB109" s="21">
        <f>EXP(-LN(2)/2)*AB108+(1-EXP(-LN(2)/2))/(LN(2)/2)*V109*Y109*VLOOKUP('Données projet'!$B$9,Paramètres!$A$1:$I$89,3,0)*0.475*44/12</f>
        <v>1.2342367444333766</v>
      </c>
      <c r="AC109" s="22">
        <f t="shared" si="57"/>
        <v>98.404626969375158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8.5265128291212022E-14</v>
      </c>
      <c r="AJ109" s="13">
        <f>AI109*VLOOKUP('Données projet'!$B$10,Paramètres!$A$1:$I$89,3,0)*VLOOKUP('Données projet'!$B$10,Paramètres!$A$1:$I$89,5,0)</f>
        <v>5.5865712056402117E-14</v>
      </c>
      <c r="AK109" s="13">
        <f t="shared" si="89"/>
        <v>8.9811031843713517E-13</v>
      </c>
      <c r="AL109" s="20">
        <f t="shared" si="58"/>
        <v>1.6615082531095774E-12</v>
      </c>
      <c r="AM109" s="59">
        <f t="shared" si="59"/>
        <v>293.33333333333496</v>
      </c>
      <c r="AN109" s="59">
        <f ca="1">AVERAGE(OFFSET($AM$3,0,0,'Données projet'!$E$10+1,1))-AVERAGE(OFFSET($H$3,0,0,'Données projet'!$E$10+1,1))</f>
        <v>244.43587473734613</v>
      </c>
      <c r="AO109" s="59">
        <f t="shared" si="90"/>
        <v>256.80261402149375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13.425503411350705</v>
      </c>
      <c r="AV109" s="21">
        <f>EXP(-LN(2)/25)*AV108+(1-EXP(-LN(2)/25))/(LN(2)/25)*Calculateur!AQ109*Calculateur!AS109*VLOOKUP('Données projet'!$B$10,Paramètres!$A$1:$I$89,3,0)*0.475*44/12</f>
        <v>32.425216065923699</v>
      </c>
      <c r="AW109" s="21">
        <f>EXP(-LN(2)/2)*AW108+(1-EXP(-LN(2)/2))/(LN(2)/2)*AQ109*AT109*VLOOKUP('Données projet'!$B$10,Paramètres!$A$1:$I$89,3,0)*0.475*44/12</f>
        <v>0.1223526827169623</v>
      </c>
      <c r="AX109" s="21">
        <f t="shared" si="60"/>
        <v>45.973072159991368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-2.2737367544323206E-13</v>
      </c>
      <c r="BE109" s="13">
        <f>BD109*VLOOKUP('Données projet'!$B$11,Paramètres!$A$1:$I$89,3,0)*VLOOKUP('Données projet'!$B$11,Paramètres!$A$1:$I$89,5,0)</f>
        <v>-1.2710188457276673E-13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430.60186171079067</v>
      </c>
      <c r="BJ109" s="59">
        <f t="shared" si="92"/>
        <v>533.76627289533985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104.0632042835514</v>
      </c>
      <c r="BQ109" s="21">
        <f>EXP(-LN(2)/25)*BQ108+(1-EXP(-LN(2)/25))/(LN(2)/25)*Calculateur!BL109*Calculateur!BN109*VLOOKUP('Données projet'!$B$11,Paramètres!$A$1:$I$89,3,0)*0.475*44/12</f>
        <v>17.995134513729386</v>
      </c>
      <c r="BR109" s="21">
        <f>EXP(-LN(2)/2)*BR108+(1-EXP(-LN(2)/2))/(LN(2)/2)*BL109*BO109*VLOOKUP('Données projet'!$B$11,Paramètres!$A$1:$I$89,3,0)*0.475*44/12</f>
        <v>6.7139685625206581E-6</v>
      </c>
      <c r="BS109" s="22">
        <f t="shared" si="63"/>
        <v>122.05834551124934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-1.69961822393816E-13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215.89467197072673</v>
      </c>
      <c r="CE109" s="59">
        <f t="shared" si="94"/>
        <v>188.21397398859534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68.237919017657461</v>
      </c>
      <c r="CL109" s="21">
        <f>EXP(-LN(2)/25)*CL108+(1-EXP(-LN(2)/25))/(LN(2)/25)*Calculateur!CG109*Calculateur!CI109*VLOOKUP('Données projet'!$B$12,Paramètres!$A$1:$I$89,3,0)*0.475*44/12</f>
        <v>13.609828408384864</v>
      </c>
      <c r="CM109" s="21">
        <f>EXP(-LN(2)/2)*CM108+(1-EXP(-LN(2)/2))/(LN(2)/2)*CG109*CJ109*VLOOKUP('Données projet'!$B$12,Paramètres!$A$1:$I$89,3,0)*0.475*44/12</f>
        <v>3.4029513223448478E-3</v>
      </c>
      <c r="CN109" s="22">
        <f t="shared" si="66"/>
        <v>81.851150377364675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4.7307692307692299</v>
      </c>
      <c r="CT109" s="12">
        <f>IF('Données projet'!$A$140&gt;35,CT108+CS109-DB108,IF(A109&lt;'Données projet'!$A$140,$CQ$205^A109,IF(A109='Données projet'!$A$140,'Données projet'!$B$140,CT108+CS109-DB108)))</f>
        <v>175.26282051282064</v>
      </c>
      <c r="CU109" s="17">
        <f>CT109*VLOOKUP('Données projet'!$B$13,Paramètres!$A$1:$I$89,3,0)*VLOOKUP('Données projet'!$B$13,Paramètres!$A$1:$I$89,5,0)</f>
        <v>177.71650000000014</v>
      </c>
      <c r="CV109" s="13">
        <f t="shared" si="95"/>
        <v>44.81377260518947</v>
      </c>
      <c r="CW109" s="20">
        <f t="shared" si="67"/>
        <v>387.57355812070523</v>
      </c>
      <c r="CX109" s="59">
        <f t="shared" si="68"/>
        <v>680.90689145403849</v>
      </c>
      <c r="CY109" s="59">
        <f ca="1">AVERAGE(OFFSET($CX$3,0,0,'Données projet'!$E$13+1,1))-AVERAGE(OFFSET($H$3,0,0,'Données projet'!$E$13+1,1))</f>
        <v>342.82846711287749</v>
      </c>
      <c r="CZ109" s="59">
        <f t="shared" si="96"/>
        <v>152.87724741106297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9.1698515795497197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9.1698515795497197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208.48147873805715</v>
      </c>
      <c r="DU109" s="59">
        <f t="shared" si="98"/>
        <v>209.50570914630686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34.761146591029018</v>
      </c>
      <c r="EB109" s="21">
        <f>EXP(-LN(2)/25)*EB108+(1-EXP(-LN(2)/25))/(LN(2)/25)*Calculateur!DW109*Calculateur!DY109*VLOOKUP('Données projet'!$B$14,Paramètres!$A$1:$I$89,3,0)*0.475*44/12</f>
        <v>9.2906470505839547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44.051793641612974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-1.7053025658242404E-13</v>
      </c>
      <c r="EK109" s="17">
        <f>EJ109*VLOOKUP('Données projet'!$B$15,Paramètres!$A$1:$I$89,3,0)*VLOOKUP('Données projet'!$B$15,Paramètres!$A$1:$I$89,5,0)</f>
        <v>-1.0197709343628959E-13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247.31680974612766</v>
      </c>
      <c r="EP109" s="59">
        <f t="shared" si="100"/>
        <v>257.13949761071882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52.164410171970921</v>
      </c>
      <c r="EW109" s="21">
        <f>EXP(-LN(2)/25)*EW108+(1-EXP(-LN(2)/25))/(LN(2)/25)*Calculateur!ER109*Calculateur!ET109*VLOOKUP('Données projet'!$B$15,Paramètres!$A$1:$I$89,3,0)*0.475*44/12</f>
        <v>10.09418176878922</v>
      </c>
      <c r="EX109" s="21">
        <f>EXP(-LN(2)/2)*EX108+(1-EXP(-LN(2)/2))/(LN(2)/2)*ER109*EU109*VLOOKUP('Données projet'!$B$15,Paramètres!$A$1:$I$89,3,0)*0.475*44/12</f>
        <v>3.810268460509573E-6</v>
      </c>
      <c r="EY109" s="22">
        <f t="shared" si="75"/>
        <v>62.258595751028601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19.02887999999998</v>
      </c>
      <c r="D110" s="11">
        <f t="shared" si="86"/>
        <v>6.2235988600310215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38.986283152328568</v>
      </c>
      <c r="H110" s="67">
        <f t="shared" si="56"/>
        <v>300.64806734788738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5.6546153846153828</v>
      </c>
      <c r="N110" s="13">
        <f>IF('Données projet'!$A$36&gt;35,N109+M110-V109,IF(A110&lt;'Données projet'!$A$36,$K$205^A110,IF(A110='Données projet'!$A$36,'Données projet'!$B$36,N109+M110-V109)))</f>
        <v>244.78307692307743</v>
      </c>
      <c r="O110" s="13">
        <f>N110*VLOOKUP('Données projet'!$B$9,Paramètres!$A$1:$I$89,3,0)*VLOOKUP('Données projet'!$B$9,Paramètres!$A$1:$I$89,5,0)</f>
        <v>114.55848000000023</v>
      </c>
      <c r="P110" s="13">
        <f t="shared" si="87"/>
        <v>30.402446748991956</v>
      </c>
      <c r="Q110" s="20">
        <f t="shared" si="107"/>
        <v>252.47361408782808</v>
      </c>
      <c r="R110" s="59">
        <f t="shared" si="55"/>
        <v>545.80694742116134</v>
      </c>
      <c r="S110" s="59">
        <f ca="1">AVERAGE(OFFSET($R$3,0,0,'Données projet'!$E$9+1,1))-AVERAGE(OFFSET($H$3,0,0,'Données projet'!$E$9+1,1))</f>
        <v>223.99456146593315</v>
      </c>
      <c r="T110" s="59">
        <f t="shared" si="88"/>
        <v>132.73290587325937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75.432700310996267</v>
      </c>
      <c r="AA110" s="21">
        <f>EXP(-LN(2)/25)*AA109+(1-EXP(-LN(2)/25))/(LN(2)/25)*Calculateur!V110*Calculateur!X110*VLOOKUP('Données projet'!$B$9,Paramètres!$A$1:$I$89,3,0)*0.475*44/12</f>
        <v>19.675753773814144</v>
      </c>
      <c r="AB110" s="21">
        <f>EXP(-LN(2)/2)*AB109+(1-EXP(-LN(2)/2))/(LN(2)/2)*V110*Y110*VLOOKUP('Données projet'!$B$9,Paramètres!$A$1:$I$89,3,0)*0.475*44/12</f>
        <v>0.87273717157844843</v>
      </c>
      <c r="AC110" s="22">
        <f t="shared" si="57"/>
        <v>95.981191256388854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8.5265128291212022E-14</v>
      </c>
      <c r="AJ110" s="13">
        <f>AI110*VLOOKUP('Données projet'!$B$10,Paramètres!$A$1:$I$89,3,0)*VLOOKUP('Données projet'!$B$10,Paramètres!$A$1:$I$89,5,0)</f>
        <v>5.5865712056402117E-14</v>
      </c>
      <c r="AK110" s="13">
        <f t="shared" si="89"/>
        <v>8.9811031843713517E-13</v>
      </c>
      <c r="AL110" s="20">
        <f t="shared" si="58"/>
        <v>1.6615082531095774E-12</v>
      </c>
      <c r="AM110" s="59">
        <f t="shared" si="59"/>
        <v>293.33333333333496</v>
      </c>
      <c r="AN110" s="59">
        <f ca="1">AVERAGE(OFFSET($AM$3,0,0,'Données projet'!$E$10+1,1))-AVERAGE(OFFSET($H$3,0,0,'Données projet'!$E$10+1,1))</f>
        <v>244.43587473734613</v>
      </c>
      <c r="AO110" s="59">
        <f t="shared" si="90"/>
        <v>256.80261402149375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13.162237478202627</v>
      </c>
      <c r="AV110" s="21">
        <f>EXP(-LN(2)/25)*AV109+(1-EXP(-LN(2)/25))/(LN(2)/25)*Calculateur!AQ110*Calculateur!AS110*VLOOKUP('Données projet'!$B$10,Paramètres!$A$1:$I$89,3,0)*0.475*44/12</f>
        <v>31.538546827433013</v>
      </c>
      <c r="AW110" s="21">
        <f>EXP(-LN(2)/2)*AW109+(1-EXP(-LN(2)/2))/(LN(2)/2)*AQ110*AT110*VLOOKUP('Données projet'!$B$10,Paramètres!$A$1:$I$89,3,0)*0.475*44/12</f>
        <v>8.6516411645530145E-2</v>
      </c>
      <c r="AX110" s="21">
        <f t="shared" si="60"/>
        <v>44.78730071728117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-2.2737367544323206E-13</v>
      </c>
      <c r="BE110" s="13">
        <f>BD110*VLOOKUP('Données projet'!$B$11,Paramètres!$A$1:$I$89,3,0)*VLOOKUP('Données projet'!$B$11,Paramètres!$A$1:$I$89,5,0)</f>
        <v>-1.2710188457276673E-13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430.60186171079067</v>
      </c>
      <c r="BJ110" s="59">
        <f t="shared" si="92"/>
        <v>533.76627289533985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102.02258831983821</v>
      </c>
      <c r="BQ110" s="21">
        <f>EXP(-LN(2)/25)*BQ109+(1-EXP(-LN(2)/25))/(LN(2)/25)*Calculateur!BL110*Calculateur!BN110*VLOOKUP('Données projet'!$B$11,Paramètres!$A$1:$I$89,3,0)*0.475*44/12</f>
        <v>17.503056614128461</v>
      </c>
      <c r="BR110" s="21">
        <f>EXP(-LN(2)/2)*BR109+(1-EXP(-LN(2)/2))/(LN(2)/2)*BL110*BO110*VLOOKUP('Données projet'!$B$11,Paramètres!$A$1:$I$89,3,0)*0.475*44/12</f>
        <v>4.7474926992316539E-6</v>
      </c>
      <c r="BS110" s="22">
        <f t="shared" si="63"/>
        <v>119.52564968145937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-1.69961822393816E-13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215.89467197072673</v>
      </c>
      <c r="CE110" s="59">
        <f t="shared" si="94"/>
        <v>188.21397398859534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66.899815046742063</v>
      </c>
      <c r="CL110" s="21">
        <f>EXP(-LN(2)/25)*CL109+(1-EXP(-LN(2)/25))/(LN(2)/25)*Calculateur!CG110*Calculateur!CI110*VLOOKUP('Données projet'!$B$12,Paramètres!$A$1:$I$89,3,0)*0.475*44/12</f>
        <v>13.237666934847809</v>
      </c>
      <c r="CM110" s="21">
        <f>EXP(-LN(2)/2)*CM109+(1-EXP(-LN(2)/2))/(LN(2)/2)*CG110*CJ110*VLOOKUP('Données projet'!$B$12,Paramètres!$A$1:$I$89,3,0)*0.475*44/12</f>
        <v>2.4062499560777708E-3</v>
      </c>
      <c r="CN110" s="22">
        <f t="shared" si="66"/>
        <v>80.139888231545953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4.7307692307692299</v>
      </c>
      <c r="CT110" s="12">
        <f>IF('Données projet'!$A$140&gt;35,CT109+CS110-DB109,IF(A110&lt;'Données projet'!$A$140,$CQ$205^A110,IF(A110='Données projet'!$A$140,'Données projet'!$B$140,CT109+CS110-DB109)))</f>
        <v>179.99358974358987</v>
      </c>
      <c r="CU110" s="17">
        <f>CT110*VLOOKUP('Données projet'!$B$13,Paramètres!$A$1:$I$89,3,0)*VLOOKUP('Données projet'!$B$13,Paramètres!$A$1:$I$89,5,0)</f>
        <v>182.51350000000014</v>
      </c>
      <c r="CV110" s="13">
        <f t="shared" si="95"/>
        <v>45.880941485425843</v>
      </c>
      <c r="CW110" s="20">
        <f t="shared" si="67"/>
        <v>397.78698558711693</v>
      </c>
      <c r="CX110" s="59">
        <f t="shared" si="68"/>
        <v>691.12031892045025</v>
      </c>
      <c r="CY110" s="59">
        <f ca="1">AVERAGE(OFFSET($CX$3,0,0,'Données projet'!$E$13+1,1))-AVERAGE(OFFSET($H$3,0,0,'Données projet'!$E$13+1,1))</f>
        <v>342.82846711287749</v>
      </c>
      <c r="CZ110" s="59">
        <f t="shared" si="96"/>
        <v>152.87724741106297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8.9900363831319439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8.9900363831319439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208.48147873805715</v>
      </c>
      <c r="DU110" s="59">
        <f t="shared" si="98"/>
        <v>209.50570914630686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34.079501708584814</v>
      </c>
      <c r="EB110" s="21">
        <f>EXP(-LN(2)/25)*EB109+(1-EXP(-LN(2)/25))/(LN(2)/25)*Calculateur!DW110*Calculateur!DY110*VLOOKUP('Données projet'!$B$14,Paramètres!$A$1:$I$89,3,0)*0.475*44/12</f>
        <v>9.0365938184118413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43.116095526996659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-1.7053025658242404E-13</v>
      </c>
      <c r="EK110" s="17">
        <f>EJ110*VLOOKUP('Données projet'!$B$15,Paramètres!$A$1:$I$89,3,0)*VLOOKUP('Données projet'!$B$15,Paramètres!$A$1:$I$89,5,0)</f>
        <v>-1.0197709343628959E-13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247.31680974612766</v>
      </c>
      <c r="EP110" s="59">
        <f t="shared" si="100"/>
        <v>257.13949761071882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51.141497905647093</v>
      </c>
      <c r="EW110" s="21">
        <f>EXP(-LN(2)/25)*EW109+(1-EXP(-LN(2)/25))/(LN(2)/25)*Calculateur!ER110*Calculateur!ET110*VLOOKUP('Données projet'!$B$15,Paramètres!$A$1:$I$89,3,0)*0.475*44/12</f>
        <v>9.8181558374917302</v>
      </c>
      <c r="EX110" s="21">
        <f>EXP(-LN(2)/2)*EX109+(1-EXP(-LN(2)/2))/(LN(2)/2)*ER110*EU110*VLOOKUP('Données projet'!$B$15,Paramètres!$A$1:$I$89,3,0)*0.475*44/12</f>
        <v>2.6942666665675461E-6</v>
      </c>
      <c r="EY110" s="22">
        <f t="shared" si="75"/>
        <v>60.959656437405492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19.206719999999979</v>
      </c>
      <c r="D111" s="11">
        <f t="shared" si="86"/>
        <v>6.2749651326106175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39.340145467890046</v>
      </c>
      <c r="H111" s="67">
        <f t="shared" si="56"/>
        <v>301.04726827263016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5.6546153846153828</v>
      </c>
      <c r="N111" s="13">
        <f>IF('Données projet'!$A$36&gt;35,N110+M111-V110,IF(A111&lt;'Données projet'!$A$36,$K$205^A111,IF(A111='Données projet'!$A$36,'Données projet'!$B$36,N110+M111-V110)))</f>
        <v>250.43769230769283</v>
      </c>
      <c r="O111" s="13">
        <f>N111*VLOOKUP('Données projet'!$B$9,Paramètres!$A$1:$I$89,3,0)*VLOOKUP('Données projet'!$B$9,Paramètres!$A$1:$I$89,5,0)</f>
        <v>117.20484000000023</v>
      </c>
      <c r="P111" s="13">
        <f t="shared" si="87"/>
        <v>31.02218258527553</v>
      </c>
      <c r="Q111" s="20">
        <f t="shared" si="107"/>
        <v>258.16206433602196</v>
      </c>
      <c r="R111" s="59">
        <f t="shared" si="55"/>
        <v>551.49539766935527</v>
      </c>
      <c r="S111" s="59">
        <f ca="1">AVERAGE(OFFSET($R$3,0,0,'Données projet'!$E$9+1,1))-AVERAGE(OFFSET($H$3,0,0,'Données projet'!$E$9+1,1))</f>
        <v>223.99456146593315</v>
      </c>
      <c r="T111" s="59">
        <f t="shared" si="88"/>
        <v>132.73290587325937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73.953511067301775</v>
      </c>
      <c r="AA111" s="21">
        <f>EXP(-LN(2)/25)*AA110+(1-EXP(-LN(2)/25))/(LN(2)/25)*Calculateur!V111*Calculateur!X111*VLOOKUP('Données projet'!$B$9,Paramètres!$A$1:$I$89,3,0)*0.475*44/12</f>
        <v>19.137719252166274</v>
      </c>
      <c r="AB111" s="21">
        <f>EXP(-LN(2)/2)*AB110+(1-EXP(-LN(2)/2))/(LN(2)/2)*V111*Y111*VLOOKUP('Données projet'!$B$9,Paramètres!$A$1:$I$89,3,0)*0.475*44/12</f>
        <v>0.61711837221668842</v>
      </c>
      <c r="AC111" s="22">
        <f t="shared" si="57"/>
        <v>93.708348691684748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8.5265128291212022E-14</v>
      </c>
      <c r="AJ111" s="13">
        <f>AI111*VLOOKUP('Données projet'!$B$10,Paramètres!$A$1:$I$89,3,0)*VLOOKUP('Données projet'!$B$10,Paramètres!$A$1:$I$89,5,0)</f>
        <v>5.5865712056402117E-14</v>
      </c>
      <c r="AK111" s="13">
        <f t="shared" si="89"/>
        <v>8.9811031843713517E-13</v>
      </c>
      <c r="AL111" s="20">
        <f t="shared" si="58"/>
        <v>1.6615082531095774E-12</v>
      </c>
      <c r="AM111" s="59">
        <f t="shared" si="59"/>
        <v>293.33333333333496</v>
      </c>
      <c r="AN111" s="59">
        <f ca="1">AVERAGE(OFFSET($AM$3,0,0,'Données projet'!$E$10+1,1))-AVERAGE(OFFSET($H$3,0,0,'Données projet'!$E$10+1,1))</f>
        <v>244.43587473734613</v>
      </c>
      <c r="AO111" s="59">
        <f t="shared" si="90"/>
        <v>256.80261402149375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12.904134029427219</v>
      </c>
      <c r="AV111" s="21">
        <f>EXP(-LN(2)/25)*AV110+(1-EXP(-LN(2)/25))/(LN(2)/25)*Calculateur!AQ111*Calculateur!AS111*VLOOKUP('Données projet'!$B$10,Paramètres!$A$1:$I$89,3,0)*0.475*44/12</f>
        <v>30.676123605896763</v>
      </c>
      <c r="AW111" s="21">
        <f>EXP(-LN(2)/2)*AW110+(1-EXP(-LN(2)/2))/(LN(2)/2)*AQ111*AT111*VLOOKUP('Données projet'!$B$10,Paramètres!$A$1:$I$89,3,0)*0.475*44/12</f>
        <v>6.1176341358481164E-2</v>
      </c>
      <c r="AX111" s="21">
        <f t="shared" si="60"/>
        <v>43.641433976682464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-2.2737367544323206E-13</v>
      </c>
      <c r="BE111" s="13">
        <f>BD111*VLOOKUP('Données projet'!$B$11,Paramètres!$A$1:$I$89,3,0)*VLOOKUP('Données projet'!$B$11,Paramètres!$A$1:$I$89,5,0)</f>
        <v>-1.2710188457276673E-13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430.60186171079067</v>
      </c>
      <c r="BJ111" s="59">
        <f t="shared" si="92"/>
        <v>533.76627289533985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100.02198759052058</v>
      </c>
      <c r="BQ111" s="21">
        <f>EXP(-LN(2)/25)*BQ110+(1-EXP(-LN(2)/25))/(LN(2)/25)*Calculateur!BL111*Calculateur!BN111*VLOOKUP('Données projet'!$B$11,Paramètres!$A$1:$I$89,3,0)*0.475*44/12</f>
        <v>17.024434610569376</v>
      </c>
      <c r="BR111" s="21">
        <f>EXP(-LN(2)/2)*BR110+(1-EXP(-LN(2)/2))/(LN(2)/2)*BL111*BO111*VLOOKUP('Données projet'!$B$11,Paramètres!$A$1:$I$89,3,0)*0.475*44/12</f>
        <v>3.3569842812603291E-6</v>
      </c>
      <c r="BS111" s="22">
        <f t="shared" si="63"/>
        <v>117.04642555807423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-1.69961822393816E-13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215.89467197072673</v>
      </c>
      <c r="CE111" s="59">
        <f t="shared" si="94"/>
        <v>188.21397398859534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65.587950478533486</v>
      </c>
      <c r="CL111" s="21">
        <f>EXP(-LN(2)/25)*CL110+(1-EXP(-LN(2)/25))/(LN(2)/25)*Calculateur!CG111*Calculateur!CI111*VLOOKUP('Données projet'!$B$12,Paramètres!$A$1:$I$89,3,0)*0.475*44/12</f>
        <v>12.875682236375747</v>
      </c>
      <c r="CM111" s="21">
        <f>EXP(-LN(2)/2)*CM110+(1-EXP(-LN(2)/2))/(LN(2)/2)*CG111*CJ111*VLOOKUP('Données projet'!$B$12,Paramètres!$A$1:$I$89,3,0)*0.475*44/12</f>
        <v>1.7014756611724239E-3</v>
      </c>
      <c r="CN111" s="22">
        <f t="shared" si="66"/>
        <v>78.465334190570417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4.7307692307692299</v>
      </c>
      <c r="CT111" s="12">
        <f>IF('Données projet'!$A$140&gt;35,CT110+CS111-DB110,IF(A111&lt;'Données projet'!$A$140,$CQ$205^A111,IF(A111='Données projet'!$A$140,'Données projet'!$B$140,CT110+CS111-DB110)))</f>
        <v>184.72435897435909</v>
      </c>
      <c r="CU111" s="17">
        <f>CT111*VLOOKUP('Données projet'!$B$13,Paramètres!$A$1:$I$89,3,0)*VLOOKUP('Données projet'!$B$13,Paramètres!$A$1:$I$89,5,0)</f>
        <v>187.31050000000013</v>
      </c>
      <c r="CV111" s="13">
        <f t="shared" si="95"/>
        <v>46.944850125880279</v>
      </c>
      <c r="CW111" s="20">
        <f t="shared" si="67"/>
        <v>407.99473480257501</v>
      </c>
      <c r="CX111" s="59">
        <f t="shared" si="68"/>
        <v>701.32806813590832</v>
      </c>
      <c r="CY111" s="59">
        <f ca="1">AVERAGE(OFFSET($CX$3,0,0,'Données projet'!$E$13+1,1))-AVERAGE(OFFSET($H$3,0,0,'Données projet'!$E$13+1,1))</f>
        <v>342.82846711287749</v>
      </c>
      <c r="CZ111" s="59">
        <f t="shared" si="96"/>
        <v>152.87724741106297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8.813747253039482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8.813747253039482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208.48147873805715</v>
      </c>
      <c r="DU111" s="59">
        <f t="shared" si="98"/>
        <v>209.50570914630686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33.411223466523019</v>
      </c>
      <c r="EB111" s="21">
        <f>EXP(-LN(2)/25)*EB110+(1-EXP(-LN(2)/25))/(LN(2)/25)*Calculateur!DW111*Calculateur!DY111*VLOOKUP('Données projet'!$B$14,Paramètres!$A$1:$I$89,3,0)*0.475*44/12</f>
        <v>8.7894876852335546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42.200711151756572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-1.7053025658242404E-13</v>
      </c>
      <c r="EK111" s="17">
        <f>EJ111*VLOOKUP('Données projet'!$B$15,Paramètres!$A$1:$I$89,3,0)*VLOOKUP('Données projet'!$B$15,Paramètres!$A$1:$I$89,5,0)</f>
        <v>-1.0197709343628959E-13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247.31680974612766</v>
      </c>
      <c r="EP111" s="59">
        <f t="shared" si="100"/>
        <v>257.13949761071882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50.138644324951002</v>
      </c>
      <c r="EW111" s="21">
        <f>EXP(-LN(2)/25)*EW110+(1-EXP(-LN(2)/25))/(LN(2)/25)*Calculateur!ER111*Calculateur!ET111*VLOOKUP('Données projet'!$B$15,Paramètres!$A$1:$I$89,3,0)*0.475*44/12</f>
        <v>9.5496778498011423</v>
      </c>
      <c r="EX111" s="21">
        <f>EXP(-LN(2)/2)*EX110+(1-EXP(-LN(2)/2))/(LN(2)/2)*ER111*EU111*VLOOKUP('Données projet'!$B$15,Paramètres!$A$1:$I$89,3,0)*0.475*44/12</f>
        <v>1.9051342302547867E-6</v>
      </c>
      <c r="EY111" s="22">
        <f t="shared" si="75"/>
        <v>59.688324079886378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19.384559999999979</v>
      </c>
      <c r="D112" s="11">
        <f t="shared" si="86"/>
        <v>6.326276072749816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39.693922357929516</v>
      </c>
      <c r="H112" s="67">
        <f t="shared" si="56"/>
        <v>301.4463728267059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256.09230769230771</v>
      </c>
      <c r="L112" s="12">
        <f>VLOOKUP(A112,'Données projet'!$A$35:$I$55,9,0)</f>
        <v>5.6546153846153828</v>
      </c>
      <c r="M112" s="12">
        <f t="array" ref="M112">INDEX(L:L,MIN(IF(ISNUMBER(L112:L308),ROW(L112:L308),"")))</f>
        <v>5.6546153846153828</v>
      </c>
      <c r="N112" s="13">
        <f>IF('Données projet'!$A$36&gt;35,N111+M112-V111,IF(A112&lt;'Données projet'!$A$36,$K$205^A112,IF(A112='Données projet'!$A$36,'Données projet'!$B$36,N111+M112-V111)))</f>
        <v>256.09230769230822</v>
      </c>
      <c r="O112" s="13">
        <f>N112*VLOOKUP('Données projet'!$B$9,Paramètres!$A$1:$I$89,3,0)*VLOOKUP('Données projet'!$B$9,Paramètres!$A$1:$I$89,5,0)</f>
        <v>119.85120000000023</v>
      </c>
      <c r="P112" s="13">
        <f t="shared" si="87"/>
        <v>31.640291631938272</v>
      </c>
      <c r="Q112" s="20">
        <f t="shared" si="107"/>
        <v>263.8476812589596</v>
      </c>
      <c r="R112" s="59">
        <f t="shared" si="55"/>
        <v>557.18101459229297</v>
      </c>
      <c r="S112" s="59">
        <f ca="1">AVERAGE(OFFSET($R$3,0,0,'Données projet'!$E$9+1,1))-AVERAGE(OFFSET($H$3,0,0,'Données projet'!$E$9+1,1))</f>
        <v>223.99456146593315</v>
      </c>
      <c r="T112" s="59">
        <f t="shared" si="88"/>
        <v>132.73290587325937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256.09230769230771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9.240000000000001E-2</v>
      </c>
      <c r="Y112" s="16">
        <f>IF(ISNA(VLOOKUP(A112,'Données projet'!$A$35:$I$55,7,0)),0%,VLOOKUP(A112,'Données projet'!$A$35:$I$55,7,0))</f>
        <v>0.13200000000000001</v>
      </c>
      <c r="Z112" s="21">
        <f>EXP(-LN(2)/35)*Z111+(1-EXP(-LN(2)/35))/(LN(2)/35)*V112*W112*VLOOKUP('Données projet'!$B$9,Paramètres!$A$1:$I$89,3,0)*0.475*44/12</f>
        <v>133.7146094392433</v>
      </c>
      <c r="AA112" s="21">
        <f>EXP(-LN(2)/25)*AA111+(1-EXP(-LN(2)/25))/(LN(2)/25)*Calculateur!V112*Calculateur!X112*VLOOKUP('Données projet'!$B$9,Paramètres!$A$1:$I$89,3,0)*0.475*44/12</f>
        <v>33.247261987462423</v>
      </c>
      <c r="AB112" s="21">
        <f>EXP(-LN(2)/2)*AB111+(1-EXP(-LN(2)/2))/(LN(2)/2)*V112*Y112*VLOOKUP('Données projet'!$B$9,Paramètres!$A$1:$I$89,3,0)*0.475*44/12</f>
        <v>18.348689324713348</v>
      </c>
      <c r="AC112" s="22">
        <f t="shared" si="57"/>
        <v>185.31056075141908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8.5265128291212022E-14</v>
      </c>
      <c r="AJ112" s="13">
        <f>AI112*VLOOKUP('Données projet'!$B$10,Paramètres!$A$1:$I$89,3,0)*VLOOKUP('Données projet'!$B$10,Paramètres!$A$1:$I$89,5,0)</f>
        <v>5.5865712056402117E-14</v>
      </c>
      <c r="AK112" s="13">
        <f t="shared" si="89"/>
        <v>8.9811031843713517E-13</v>
      </c>
      <c r="AL112" s="20">
        <f t="shared" si="58"/>
        <v>1.6615082531095774E-12</v>
      </c>
      <c r="AM112" s="59">
        <f t="shared" si="59"/>
        <v>293.33333333333496</v>
      </c>
      <c r="AN112" s="59">
        <f ca="1">AVERAGE(OFFSET($AM$3,0,0,'Données projet'!$E$10+1,1))-AVERAGE(OFFSET($H$3,0,0,'Données projet'!$E$10+1,1))</f>
        <v>244.43587473734613</v>
      </c>
      <c r="AO112" s="59">
        <f t="shared" si="90"/>
        <v>256.80261402149375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12.651091831854737</v>
      </c>
      <c r="AV112" s="21">
        <f>EXP(-LN(2)/25)*AV111+(1-EXP(-LN(2)/25))/(LN(2)/25)*Calculateur!AQ112*Calculateur!AS112*VLOOKUP('Données projet'!$B$10,Paramètres!$A$1:$I$89,3,0)*0.475*44/12</f>
        <v>29.837283392706286</v>
      </c>
      <c r="AW112" s="21">
        <f>EXP(-LN(2)/2)*AW111+(1-EXP(-LN(2)/2))/(LN(2)/2)*AQ112*AT112*VLOOKUP('Données projet'!$B$10,Paramètres!$A$1:$I$89,3,0)*0.475*44/12</f>
        <v>4.3258205822765079E-2</v>
      </c>
      <c r="AX112" s="21">
        <f t="shared" si="60"/>
        <v>42.531633430383792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-2.2737367544323206E-13</v>
      </c>
      <c r="BE112" s="13">
        <f>BD112*VLOOKUP('Données projet'!$B$11,Paramètres!$A$1:$I$89,3,0)*VLOOKUP('Données projet'!$B$11,Paramètres!$A$1:$I$89,5,0)</f>
        <v>-1.2710188457276673E-13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430.60186171079067</v>
      </c>
      <c r="BJ112" s="59">
        <f t="shared" si="92"/>
        <v>533.76627289533985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98.060617421258925</v>
      </c>
      <c r="BQ112" s="21">
        <f>EXP(-LN(2)/25)*BQ111+(1-EXP(-LN(2)/25))/(LN(2)/25)*Calculateur!BL112*Calculateur!BN112*VLOOKUP('Données projet'!$B$11,Paramètres!$A$1:$I$89,3,0)*0.475*44/12</f>
        <v>16.55890055086725</v>
      </c>
      <c r="BR112" s="21">
        <f>EXP(-LN(2)/2)*BR111+(1-EXP(-LN(2)/2))/(LN(2)/2)*BL112*BO112*VLOOKUP('Données projet'!$B$11,Paramètres!$A$1:$I$89,3,0)*0.475*44/12</f>
        <v>2.373746349615827E-6</v>
      </c>
      <c r="BS112" s="22">
        <f t="shared" si="63"/>
        <v>114.61952034587253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-1.69961822393816E-13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215.89467197072673</v>
      </c>
      <c r="CE112" s="59">
        <f t="shared" si="94"/>
        <v>188.21397398859534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64.301810774349107</v>
      </c>
      <c r="CL112" s="21">
        <f>EXP(-LN(2)/25)*CL111+(1-EXP(-LN(2)/25))/(LN(2)/25)*Calculateur!CG112*Calculateur!CI112*VLOOKUP('Données projet'!$B$12,Paramètres!$A$1:$I$89,3,0)*0.475*44/12</f>
        <v>12.523596028519352</v>
      </c>
      <c r="CM112" s="21">
        <f>EXP(-LN(2)/2)*CM111+(1-EXP(-LN(2)/2))/(LN(2)/2)*CG112*CJ112*VLOOKUP('Données projet'!$B$12,Paramètres!$A$1:$I$89,3,0)*0.475*44/12</f>
        <v>1.2031249780388854E-3</v>
      </c>
      <c r="CN112" s="22">
        <f t="shared" si="66"/>
        <v>76.826609927846491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4.7307692307692299</v>
      </c>
      <c r="CT112" s="12">
        <f>IF('Données projet'!$A$140&gt;35,CT111+CS112-DB111,IF(A112&lt;'Données projet'!$A$140,$CQ$205^A112,IF(A112='Données projet'!$A$140,'Données projet'!$B$140,CT111+CS112-DB111)))</f>
        <v>189.45512820512832</v>
      </c>
      <c r="CU112" s="17">
        <f>CT112*VLOOKUP('Données projet'!$B$13,Paramètres!$A$1:$I$89,3,0)*VLOOKUP('Données projet'!$B$13,Paramètres!$A$1:$I$89,5,0)</f>
        <v>192.10750000000013</v>
      </c>
      <c r="CV112" s="13">
        <f t="shared" si="95"/>
        <v>48.00559162145295</v>
      </c>
      <c r="CW112" s="20">
        <f t="shared" si="67"/>
        <v>418.19696790736407</v>
      </c>
      <c r="CX112" s="59">
        <f t="shared" si="68"/>
        <v>711.53030124069733</v>
      </c>
      <c r="CY112" s="59">
        <f ca="1">AVERAGE(OFFSET($CX$3,0,0,'Données projet'!$E$13+1,1))-AVERAGE(OFFSET($H$3,0,0,'Données projet'!$E$13+1,1))</f>
        <v>342.82846711287749</v>
      </c>
      <c r="CZ112" s="59">
        <f t="shared" si="96"/>
        <v>152.87724741106297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8.6409150452623802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8.6409150452623802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208.48147873805715</v>
      </c>
      <c r="DU112" s="59">
        <f t="shared" si="98"/>
        <v>209.50570914630686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32.756049753178573</v>
      </c>
      <c r="EB112" s="21">
        <f>EXP(-LN(2)/25)*EB111+(1-EXP(-LN(2)/25))/(LN(2)/25)*Calculateur!DW112*Calculateur!DY112*VLOOKUP('Données projet'!$B$14,Paramètres!$A$1:$I$89,3,0)*0.475*44/12</f>
        <v>8.5491386822617752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41.30518843544035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-1.7053025658242404E-13</v>
      </c>
      <c r="EK112" s="17">
        <f>EJ112*VLOOKUP('Données projet'!$B$15,Paramètres!$A$1:$I$89,3,0)*VLOOKUP('Données projet'!$B$15,Paramètres!$A$1:$I$89,5,0)</f>
        <v>-1.0197709343628959E-13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247.31680974612766</v>
      </c>
      <c r="EP112" s="59">
        <f t="shared" si="100"/>
        <v>257.13949761071882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49.155456091292073</v>
      </c>
      <c r="EW112" s="21">
        <f>EXP(-LN(2)/25)*EW111+(1-EXP(-LN(2)/25))/(LN(2)/25)*Calculateur!ER112*Calculateur!ET112*VLOOKUP('Données projet'!$B$15,Paramètres!$A$1:$I$89,3,0)*0.475*44/12</f>
        <v>9.2885414068025973</v>
      </c>
      <c r="EX112" s="21">
        <f>EXP(-LN(2)/2)*EX111+(1-EXP(-LN(2)/2))/(LN(2)/2)*ER112*EU112*VLOOKUP('Données projet'!$B$15,Paramètres!$A$1:$I$89,3,0)*0.475*44/12</f>
        <v>1.3471333332837733E-6</v>
      </c>
      <c r="EY112" s="22">
        <f t="shared" si="75"/>
        <v>58.443998845228009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19.562399999999979</v>
      </c>
      <c r="D113" s="11">
        <f t="shared" si="86"/>
        <v>6.3775322468881033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40.047614696950028</v>
      </c>
      <c r="H113" s="67">
        <f t="shared" si="56"/>
        <v>301.84538199666343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5.1159076974727213E-13</v>
      </c>
      <c r="O113" s="13">
        <f>N113*VLOOKUP('Données projet'!$B$9,Paramètres!$A$1:$I$89,3,0)*VLOOKUP('Données projet'!$B$9,Paramètres!$A$1:$I$89,5,0)</f>
        <v>2.3942448024172334E-13</v>
      </c>
      <c r="P113" s="13">
        <f t="shared" si="87"/>
        <v>3.2492669905861755E-12</v>
      </c>
      <c r="Q113" s="20">
        <f t="shared" si="107"/>
        <v>6.0761376450252565E-12</v>
      </c>
      <c r="R113" s="59">
        <f t="shared" si="55"/>
        <v>293.3333333333394</v>
      </c>
      <c r="S113" s="59">
        <f ca="1">AVERAGE(OFFSET($R$3,0,0,'Données projet'!$E$9+1,1))-AVERAGE(OFFSET($H$3,0,0,'Données projet'!$E$9+1,1))</f>
        <v>223.99456146593315</v>
      </c>
      <c r="T113" s="59">
        <f t="shared" si="88"/>
        <v>132.73290587325937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131.09254750599834</v>
      </c>
      <c r="AA113" s="21">
        <f>EXP(-LN(2)/25)*AA112+(1-EXP(-LN(2)/25))/(LN(2)/25)*Calculateur!V113*Calculateur!X113*VLOOKUP('Données projet'!$B$9,Paramètres!$A$1:$I$89,3,0)*0.475*44/12</f>
        <v>32.338113860017742</v>
      </c>
      <c r="AB113" s="21">
        <f>EXP(-LN(2)/2)*AB112+(1-EXP(-LN(2)/2))/(LN(2)/2)*V113*Y113*VLOOKUP('Données projet'!$B$9,Paramètres!$A$1:$I$89,3,0)*0.475*44/12</f>
        <v>12.974482647390023</v>
      </c>
      <c r="AC113" s="22">
        <f t="shared" si="57"/>
        <v>176.4051440134061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8.5265128291212022E-14</v>
      </c>
      <c r="AJ113" s="13">
        <f>AI113*VLOOKUP('Données projet'!$B$10,Paramètres!$A$1:$I$89,3,0)*VLOOKUP('Données projet'!$B$10,Paramètres!$A$1:$I$89,5,0)</f>
        <v>5.5865712056402117E-14</v>
      </c>
      <c r="AK113" s="13">
        <f t="shared" si="89"/>
        <v>8.9811031843713517E-13</v>
      </c>
      <c r="AL113" s="20">
        <f t="shared" si="58"/>
        <v>1.6615082531095774E-12</v>
      </c>
      <c r="AM113" s="59">
        <f t="shared" si="59"/>
        <v>293.33333333333496</v>
      </c>
      <c r="AN113" s="59">
        <f ca="1">AVERAGE(OFFSET($AM$3,0,0,'Données projet'!$E$10+1,1))-AVERAGE(OFFSET($H$3,0,0,'Données projet'!$E$10+1,1))</f>
        <v>244.43587473734613</v>
      </c>
      <c r="AO113" s="59">
        <f t="shared" si="90"/>
        <v>256.80261402149375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12.403011637436151</v>
      </c>
      <c r="AV113" s="21">
        <f>EXP(-LN(2)/25)*AV112+(1-EXP(-LN(2)/25))/(LN(2)/25)*Calculateur!AQ113*Calculateur!AS113*VLOOKUP('Données projet'!$B$10,Paramètres!$A$1:$I$89,3,0)*0.475*44/12</f>
        <v>29.021381309258192</v>
      </c>
      <c r="AW113" s="21">
        <f>EXP(-LN(2)/2)*AW112+(1-EXP(-LN(2)/2))/(LN(2)/2)*AQ113*AT113*VLOOKUP('Données projet'!$B$10,Paramètres!$A$1:$I$89,3,0)*0.475*44/12</f>
        <v>3.0588170679240585E-2</v>
      </c>
      <c r="AX113" s="21">
        <f t="shared" si="60"/>
        <v>41.454981117373578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-2.2737367544323206E-13</v>
      </c>
      <c r="BE113" s="13">
        <f>BD113*VLOOKUP('Données projet'!$B$11,Paramètres!$A$1:$I$89,3,0)*VLOOKUP('Données projet'!$B$11,Paramètres!$A$1:$I$89,5,0)</f>
        <v>-1.2710188457276673E-13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430.60186171079067</v>
      </c>
      <c r="BJ113" s="59">
        <f t="shared" si="92"/>
        <v>533.76627289533985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96.137708524698809</v>
      </c>
      <c r="BQ113" s="21">
        <f>EXP(-LN(2)/25)*BQ112+(1-EXP(-LN(2)/25))/(LN(2)/25)*Calculateur!BL113*Calculateur!BN113*VLOOKUP('Données projet'!$B$11,Paramètres!$A$1:$I$89,3,0)*0.475*44/12</f>
        <v>16.10609654450905</v>
      </c>
      <c r="BR113" s="21">
        <f>EXP(-LN(2)/2)*BR112+(1-EXP(-LN(2)/2))/(LN(2)/2)*BL113*BO113*VLOOKUP('Données projet'!$B$11,Paramètres!$A$1:$I$89,3,0)*0.475*44/12</f>
        <v>1.6784921406301645E-6</v>
      </c>
      <c r="BS113" s="22">
        <f t="shared" si="63"/>
        <v>112.24380674770001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-1.69961822393816E-13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215.89467197072673</v>
      </c>
      <c r="CE113" s="59">
        <f t="shared" si="94"/>
        <v>188.21397398859534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63.040891485296015</v>
      </c>
      <c r="CL113" s="21">
        <f>EXP(-LN(2)/25)*CL112+(1-EXP(-LN(2)/25))/(LN(2)/25)*Calculateur!CG113*Calculateur!CI113*VLOOKUP('Données projet'!$B$12,Paramètres!$A$1:$I$89,3,0)*0.475*44/12</f>
        <v>12.181137636532197</v>
      </c>
      <c r="CM113" s="21">
        <f>EXP(-LN(2)/2)*CM112+(1-EXP(-LN(2)/2))/(LN(2)/2)*CG113*CJ113*VLOOKUP('Données projet'!$B$12,Paramètres!$A$1:$I$89,3,0)*0.475*44/12</f>
        <v>8.5073783058621196E-4</v>
      </c>
      <c r="CN113" s="22">
        <f t="shared" si="66"/>
        <v>75.222879859658804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4.7307692307692299</v>
      </c>
      <c r="CT113" s="12">
        <f>IF('Données projet'!$A$140&gt;35,CT112+CS113-DB112,IF(A113&lt;'Données projet'!$A$140,$CQ$205^A113,IF(A113='Données projet'!$A$140,'Données projet'!$B$140,CT112+CS113-DB112)))</f>
        <v>194.18589743589754</v>
      </c>
      <c r="CU113" s="17">
        <f>CT113*VLOOKUP('Données projet'!$B$13,Paramètres!$A$1:$I$89,3,0)*VLOOKUP('Données projet'!$B$13,Paramètres!$A$1:$I$89,5,0)</f>
        <v>196.90450000000013</v>
      </c>
      <c r="CV113" s="13">
        <f t="shared" si="95"/>
        <v>49.063254152829245</v>
      </c>
      <c r="CW113" s="20">
        <f t="shared" si="67"/>
        <v>428.3938384828445</v>
      </c>
      <c r="CX113" s="59">
        <f t="shared" si="68"/>
        <v>721.72717181617782</v>
      </c>
      <c r="CY113" s="59">
        <f ca="1">AVERAGE(OFFSET($CX$3,0,0,'Données projet'!$E$13+1,1))-AVERAGE(OFFSET($H$3,0,0,'Données projet'!$E$13+1,1))</f>
        <v>342.82846711287749</v>
      </c>
      <c r="CZ113" s="59">
        <f t="shared" si="96"/>
        <v>152.87724741106297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8.4714719716625506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8.4714719716625506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208.48147873805715</v>
      </c>
      <c r="DU113" s="59">
        <f t="shared" si="98"/>
        <v>209.50570914630686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32.113723596736307</v>
      </c>
      <c r="EB113" s="21">
        <f>EXP(-LN(2)/25)*EB112+(1-EXP(-LN(2)/25))/(LN(2)/25)*Calculateur!DW113*Calculateur!DY113*VLOOKUP('Données projet'!$B$14,Paramètres!$A$1:$I$89,3,0)*0.475*44/12</f>
        <v>8.3153620354156637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40.429085632151967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-1.7053025658242404E-13</v>
      </c>
      <c r="EK113" s="17">
        <f>EJ113*VLOOKUP('Données projet'!$B$15,Paramètres!$A$1:$I$89,3,0)*VLOOKUP('Données projet'!$B$15,Paramètres!$A$1:$I$89,5,0)</f>
        <v>-1.0197709343628959E-13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247.31680974612766</v>
      </c>
      <c r="EP113" s="59">
        <f t="shared" si="100"/>
        <v>257.13949761071882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48.19154757920959</v>
      </c>
      <c r="EW113" s="21">
        <f>EXP(-LN(2)/25)*EW112+(1-EXP(-LN(2)/25))/(LN(2)/25)*Calculateur!ER113*Calculateur!ET113*VLOOKUP('Données projet'!$B$15,Paramètres!$A$1:$I$89,3,0)*0.475*44/12</f>
        <v>9.0345457535704163</v>
      </c>
      <c r="EX113" s="21">
        <f>EXP(-LN(2)/2)*EX112+(1-EXP(-LN(2)/2))/(LN(2)/2)*ER113*EU113*VLOOKUP('Données projet'!$B$15,Paramètres!$A$1:$I$89,3,0)*0.475*44/12</f>
        <v>9.5256711512739357E-7</v>
      </c>
      <c r="EY113" s="22">
        <f t="shared" si="75"/>
        <v>57.226094285347124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19.740239999999979</v>
      </c>
      <c r="D114" s="11">
        <f t="shared" si="86"/>
        <v>6.4287342105719922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40.401223342637437</v>
      </c>
      <c r="H114" s="67">
        <f t="shared" si="56"/>
        <v>302.24429675007951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5.1159076974727213E-13</v>
      </c>
      <c r="O114" s="13">
        <f>N114*VLOOKUP('Données projet'!$B$9,Paramètres!$A$1:$I$89,3,0)*VLOOKUP('Données projet'!$B$9,Paramètres!$A$1:$I$89,5,0)</f>
        <v>2.3942448024172334E-13</v>
      </c>
      <c r="P114" s="13">
        <f t="shared" si="87"/>
        <v>3.2492669905861755E-12</v>
      </c>
      <c r="Q114" s="20">
        <f t="shared" si="107"/>
        <v>6.0761376450252565E-12</v>
      </c>
      <c r="R114" s="59">
        <f t="shared" si="55"/>
        <v>293.3333333333394</v>
      </c>
      <c r="S114" s="59">
        <f ca="1">AVERAGE(OFFSET($R$3,0,0,'Données projet'!$E$9+1,1))-AVERAGE(OFFSET($H$3,0,0,'Données projet'!$E$9+1,1))</f>
        <v>223.99456146593315</v>
      </c>
      <c r="T114" s="59">
        <f t="shared" si="88"/>
        <v>132.73290587325937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128.52190260796445</v>
      </c>
      <c r="AA114" s="21">
        <f>EXP(-LN(2)/25)*AA113+(1-EXP(-LN(2)/25))/(LN(2)/25)*Calculateur!V114*Calculateur!X114*VLOOKUP('Données projet'!$B$9,Paramètres!$A$1:$I$89,3,0)*0.475*44/12</f>
        <v>31.453826435928057</v>
      </c>
      <c r="AB114" s="21">
        <f>EXP(-LN(2)/2)*AB113+(1-EXP(-LN(2)/2))/(LN(2)/2)*V114*Y114*VLOOKUP('Données projet'!$B$9,Paramètres!$A$1:$I$89,3,0)*0.475*44/12</f>
        <v>9.1743446623566758</v>
      </c>
      <c r="AC114" s="22">
        <f t="shared" si="57"/>
        <v>169.15007370624917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8.5265128291212022E-14</v>
      </c>
      <c r="AJ114" s="13">
        <f>AI114*VLOOKUP('Données projet'!$B$10,Paramètres!$A$1:$I$89,3,0)*VLOOKUP('Données projet'!$B$10,Paramètres!$A$1:$I$89,5,0)</f>
        <v>5.5865712056402117E-14</v>
      </c>
      <c r="AK114" s="13">
        <f t="shared" si="89"/>
        <v>8.9811031843713517E-13</v>
      </c>
      <c r="AL114" s="20">
        <f t="shared" si="58"/>
        <v>1.6615082531095774E-12</v>
      </c>
      <c r="AM114" s="59">
        <f t="shared" si="59"/>
        <v>293.33333333333496</v>
      </c>
      <c r="AN114" s="59">
        <f ca="1">AVERAGE(OFFSET($AM$3,0,0,'Données projet'!$E$10+1,1))-AVERAGE(OFFSET($H$3,0,0,'Données projet'!$E$10+1,1))</f>
        <v>244.43587473734613</v>
      </c>
      <c r="AO114" s="59">
        <f t="shared" si="90"/>
        <v>256.80261402149375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12.159796144316136</v>
      </c>
      <c r="AV114" s="21">
        <f>EXP(-LN(2)/25)*AV113+(1-EXP(-LN(2)/25))/(LN(2)/25)*Calculateur!AQ114*Calculateur!AS114*VLOOKUP('Données projet'!$B$10,Paramètres!$A$1:$I$89,3,0)*0.475*44/12</f>
        <v>28.227790111188412</v>
      </c>
      <c r="AW114" s="21">
        <f>EXP(-LN(2)/2)*AW113+(1-EXP(-LN(2)/2))/(LN(2)/2)*AQ114*AT114*VLOOKUP('Données projet'!$B$10,Paramètres!$A$1:$I$89,3,0)*0.475*44/12</f>
        <v>2.1629102911382543E-2</v>
      </c>
      <c r="AX114" s="21">
        <f t="shared" si="60"/>
        <v>40.409215358415928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-2.2737367544323206E-13</v>
      </c>
      <c r="BE114" s="13">
        <f>BD114*VLOOKUP('Données projet'!$B$11,Paramètres!$A$1:$I$89,3,0)*VLOOKUP('Données projet'!$B$11,Paramètres!$A$1:$I$89,5,0)</f>
        <v>-1.2710188457276673E-13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430.60186171079067</v>
      </c>
      <c r="BJ114" s="59">
        <f t="shared" si="92"/>
        <v>533.76627289533985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94.252506698741627</v>
      </c>
      <c r="BQ114" s="21">
        <f>EXP(-LN(2)/25)*BQ113+(1-EXP(-LN(2)/25))/(LN(2)/25)*Calculateur!BL114*Calculateur!BN114*VLOOKUP('Données projet'!$B$11,Paramètres!$A$1:$I$89,3,0)*0.475*44/12</f>
        <v>15.665674487516643</v>
      </c>
      <c r="BR114" s="21">
        <f>EXP(-LN(2)/2)*BR113+(1-EXP(-LN(2)/2))/(LN(2)/2)*BL114*BO114*VLOOKUP('Données projet'!$B$11,Paramètres!$A$1:$I$89,3,0)*0.475*44/12</f>
        <v>1.1868731748079135E-6</v>
      </c>
      <c r="BS114" s="22">
        <f t="shared" si="63"/>
        <v>109.91818237313144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-1.69961822393816E-13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215.89467197072673</v>
      </c>
      <c r="CE114" s="59">
        <f t="shared" si="94"/>
        <v>188.21397398859534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61.804698054416434</v>
      </c>
      <c r="CL114" s="21">
        <f>EXP(-LN(2)/25)*CL113+(1-EXP(-LN(2)/25))/(LN(2)/25)*Calculateur!CG114*Calculateur!CI114*VLOOKUP('Données projet'!$B$12,Paramètres!$A$1:$I$89,3,0)*0.475*44/12</f>
        <v>11.848043787283036</v>
      </c>
      <c r="CM114" s="21">
        <f>EXP(-LN(2)/2)*CM113+(1-EXP(-LN(2)/2))/(LN(2)/2)*CG114*CJ114*VLOOKUP('Données projet'!$B$12,Paramètres!$A$1:$I$89,3,0)*0.475*44/12</f>
        <v>6.0156248901944271E-4</v>
      </c>
      <c r="CN114" s="22">
        <f t="shared" si="66"/>
        <v>73.65334340418849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4.7307692307692299</v>
      </c>
      <c r="CT114" s="12">
        <f>IF('Données projet'!$A$140&gt;35,CT113+CS114-DB113,IF(A114&lt;'Données projet'!$A$140,$CQ$205^A114,IF(A114='Données projet'!$A$140,'Données projet'!$B$140,CT113+CS114-DB113)))</f>
        <v>198.91666666666677</v>
      </c>
      <c r="CU114" s="17">
        <f>CT114*VLOOKUP('Données projet'!$B$13,Paramètres!$A$1:$I$89,3,0)*VLOOKUP('Données projet'!$B$13,Paramètres!$A$1:$I$89,5,0)</f>
        <v>201.70150000000012</v>
      </c>
      <c r="CV114" s="13">
        <f t="shared" si="95"/>
        <v>50.117921359196721</v>
      </c>
      <c r="CW114" s="20">
        <f t="shared" si="67"/>
        <v>438.5854922006011</v>
      </c>
      <c r="CX114" s="59">
        <f t="shared" si="68"/>
        <v>731.91882553393441</v>
      </c>
      <c r="CY114" s="59">
        <f ca="1">AVERAGE(OFFSET($CX$3,0,0,'Données projet'!$E$13+1,1))-AVERAGE(OFFSET($H$3,0,0,'Données projet'!$E$13+1,1))</f>
        <v>342.82846711287749</v>
      </c>
      <c r="CZ114" s="59">
        <f t="shared" si="96"/>
        <v>152.87724741106297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8.3053515733859431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8.3053515733859431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208.48147873805715</v>
      </c>
      <c r="DU114" s="59">
        <f t="shared" si="98"/>
        <v>209.50570914630686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31.483993064441602</v>
      </c>
      <c r="EB114" s="21">
        <f>EXP(-LN(2)/25)*EB113+(1-EXP(-LN(2)/25))/(LN(2)/25)*Calculateur!DW114*Calculateur!DY114*VLOOKUP('Données projet'!$B$14,Paramètres!$A$1:$I$89,3,0)*0.475*44/12</f>
        <v>8.0879780232713383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39.571971087712939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-1.7053025658242404E-13</v>
      </c>
      <c r="EK114" s="17">
        <f>EJ114*VLOOKUP('Données projet'!$B$15,Paramètres!$A$1:$I$89,3,0)*VLOOKUP('Données projet'!$B$15,Paramètres!$A$1:$I$89,5,0)</f>
        <v>-1.0197709343628959E-13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247.31680974612766</v>
      </c>
      <c r="EP114" s="59">
        <f t="shared" si="100"/>
        <v>257.13949761071882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47.246540725122905</v>
      </c>
      <c r="EW114" s="21">
        <f>EXP(-LN(2)/25)*EW113+(1-EXP(-LN(2)/25))/(LN(2)/25)*Calculateur!ER114*Calculateur!ET114*VLOOKUP('Données projet'!$B$15,Paramètres!$A$1:$I$89,3,0)*0.475*44/12</f>
        <v>8.7874956248329212</v>
      </c>
      <c r="EX114" s="21">
        <f>EXP(-LN(2)/2)*EX113+(1-EXP(-LN(2)/2))/(LN(2)/2)*ER114*EU114*VLOOKUP('Données projet'!$B$15,Paramètres!$A$1:$I$89,3,0)*0.475*44/12</f>
        <v>6.7356666664188675E-7</v>
      </c>
      <c r="EY114" s="22">
        <f t="shared" si="75"/>
        <v>56.034037023522494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19.918079999999978</v>
      </c>
      <c r="D115" s="11">
        <f t="shared" si="86"/>
        <v>6.4798825087606957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40.754749136332272</v>
      </c>
      <c r="H115" s="67">
        <f t="shared" si="56"/>
        <v>302.64311803609155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5.1159076974727213E-13</v>
      </c>
      <c r="O115" s="13">
        <f>N115*VLOOKUP('Données projet'!$B$9,Paramètres!$A$1:$I$89,3,0)*VLOOKUP('Données projet'!$B$9,Paramètres!$A$1:$I$89,5,0)</f>
        <v>2.3942448024172334E-13</v>
      </c>
      <c r="P115" s="13">
        <f t="shared" si="87"/>
        <v>3.2492669905861755E-12</v>
      </c>
      <c r="Q115" s="20">
        <f t="shared" si="107"/>
        <v>6.0761376450252565E-12</v>
      </c>
      <c r="R115" s="59">
        <f t="shared" si="55"/>
        <v>293.3333333333394</v>
      </c>
      <c r="S115" s="59">
        <f ca="1">AVERAGE(OFFSET($R$3,0,0,'Données projet'!$E$9+1,1))-AVERAGE(OFFSET($H$3,0,0,'Données projet'!$E$9+1,1))</f>
        <v>223.99456146593315</v>
      </c>
      <c r="T115" s="59">
        <f t="shared" si="88"/>
        <v>132.73290587325937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126.00166648844242</v>
      </c>
      <c r="AA115" s="21">
        <f>EXP(-LN(2)/25)*AA114+(1-EXP(-LN(2)/25))/(LN(2)/25)*Calculateur!V115*Calculateur!X115*VLOOKUP('Données projet'!$B$9,Paramètres!$A$1:$I$89,3,0)*0.475*44/12</f>
        <v>30.593719897952763</v>
      </c>
      <c r="AB115" s="21">
        <f>EXP(-LN(2)/2)*AB114+(1-EXP(-LN(2)/2))/(LN(2)/2)*V115*Y115*VLOOKUP('Données projet'!$B$9,Paramètres!$A$1:$I$89,3,0)*0.475*44/12</f>
        <v>6.4872413236950131</v>
      </c>
      <c r="AC115" s="22">
        <f t="shared" si="57"/>
        <v>163.08262771009018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8.5265128291212022E-14</v>
      </c>
      <c r="AJ115" s="13">
        <f>AI115*VLOOKUP('Données projet'!$B$10,Paramètres!$A$1:$I$89,3,0)*VLOOKUP('Données projet'!$B$10,Paramètres!$A$1:$I$89,5,0)</f>
        <v>5.5865712056402117E-14</v>
      </c>
      <c r="AK115" s="13">
        <f t="shared" si="89"/>
        <v>8.9811031843713517E-13</v>
      </c>
      <c r="AL115" s="20">
        <f t="shared" si="58"/>
        <v>1.6615082531095774E-12</v>
      </c>
      <c r="AM115" s="59">
        <f t="shared" si="59"/>
        <v>293.33333333333496</v>
      </c>
      <c r="AN115" s="59">
        <f ca="1">AVERAGE(OFFSET($AM$3,0,0,'Données projet'!$E$10+1,1))-AVERAGE(OFFSET($H$3,0,0,'Données projet'!$E$10+1,1))</f>
        <v>244.43587473734613</v>
      </c>
      <c r="AO115" s="59">
        <f t="shared" si="90"/>
        <v>256.80261402149375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11.921349958669403</v>
      </c>
      <c r="AV115" s="21">
        <f>EXP(-LN(2)/25)*AV114+(1-EXP(-LN(2)/25))/(LN(2)/25)*Calculateur!AQ115*Calculateur!AS115*VLOOKUP('Données projet'!$B$10,Paramètres!$A$1:$I$89,3,0)*0.475*44/12</f>
        <v>27.455899706162999</v>
      </c>
      <c r="AW115" s="21">
        <f>EXP(-LN(2)/2)*AW114+(1-EXP(-LN(2)/2))/(LN(2)/2)*AQ115*AT115*VLOOKUP('Données projet'!$B$10,Paramètres!$A$1:$I$89,3,0)*0.475*44/12</f>
        <v>1.5294085339620294E-2</v>
      </c>
      <c r="AX115" s="21">
        <f t="shared" si="60"/>
        <v>39.392543750172024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-2.2737367544323206E-13</v>
      </c>
      <c r="BE115" s="13">
        <f>BD115*VLOOKUP('Données projet'!$B$11,Paramètres!$A$1:$I$89,3,0)*VLOOKUP('Données projet'!$B$11,Paramètres!$A$1:$I$89,5,0)</f>
        <v>-1.2710188457276673E-13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430.60186171079067</v>
      </c>
      <c r="BJ115" s="59">
        <f t="shared" si="92"/>
        <v>533.76627289533985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92.404272530731888</v>
      </c>
      <c r="BQ115" s="21">
        <f>EXP(-LN(2)/25)*BQ114+(1-EXP(-LN(2)/25))/(LN(2)/25)*Calculateur!BL115*Calculateur!BN115*VLOOKUP('Données projet'!$B$11,Paramètres!$A$1:$I$89,3,0)*0.475*44/12</f>
        <v>15.237295794833484</v>
      </c>
      <c r="BR115" s="21">
        <f>EXP(-LN(2)/2)*BR114+(1-EXP(-LN(2)/2))/(LN(2)/2)*BL115*BO115*VLOOKUP('Données projet'!$B$11,Paramètres!$A$1:$I$89,3,0)*0.475*44/12</f>
        <v>8.3924607031508227E-7</v>
      </c>
      <c r="BS115" s="22">
        <f t="shared" si="63"/>
        <v>107.64156916481144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-1.69961822393816E-13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215.89467197072673</v>
      </c>
      <c r="CE115" s="59">
        <f t="shared" si="94"/>
        <v>188.21397398859534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60.592745622712854</v>
      </c>
      <c r="CL115" s="21">
        <f>EXP(-LN(2)/25)*CL114+(1-EXP(-LN(2)/25))/(LN(2)/25)*Calculateur!CG115*Calculateur!CI115*VLOOKUP('Données projet'!$B$12,Paramètres!$A$1:$I$89,3,0)*0.475*44/12</f>
        <v>11.524058406858238</v>
      </c>
      <c r="CM115" s="21">
        <f>EXP(-LN(2)/2)*CM114+(1-EXP(-LN(2)/2))/(LN(2)/2)*CG115*CJ115*VLOOKUP('Données projet'!$B$12,Paramètres!$A$1:$I$89,3,0)*0.475*44/12</f>
        <v>4.2536891529310598E-4</v>
      </c>
      <c r="CN115" s="22">
        <f t="shared" si="66"/>
        <v>72.117229398486373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4.7307692307692299</v>
      </c>
      <c r="CT115" s="12">
        <f>IF('Données projet'!$A$140&gt;35,CT114+CS115-DB114,IF(A115&lt;'Données projet'!$A$140,$CQ$205^A115,IF(A115='Données projet'!$A$140,'Données projet'!$B$140,CT114+CS115-DB114)))</f>
        <v>203.647435897436</v>
      </c>
      <c r="CU115" s="17">
        <f>CT115*VLOOKUP('Données projet'!$B$13,Paramètres!$A$1:$I$89,3,0)*VLOOKUP('Données projet'!$B$13,Paramètres!$A$1:$I$89,5,0)</f>
        <v>206.49850000000009</v>
      </c>
      <c r="CV115" s="13">
        <f t="shared" si="95"/>
        <v>51.169672674506309</v>
      </c>
      <c r="CW115" s="20">
        <f t="shared" si="67"/>
        <v>448.77206740809862</v>
      </c>
      <c r="CX115" s="59">
        <f t="shared" si="68"/>
        <v>742.10540074143194</v>
      </c>
      <c r="CY115" s="59">
        <f ca="1">AVERAGE(OFFSET($CX$3,0,0,'Données projet'!$E$13+1,1))-AVERAGE(OFFSET($H$3,0,0,'Données projet'!$E$13+1,1))</f>
        <v>342.82846711287749</v>
      </c>
      <c r="CZ115" s="59">
        <f t="shared" si="96"/>
        <v>152.87724741106297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8.1424886947961017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8.1424886947961017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208.48147873805715</v>
      </c>
      <c r="DU115" s="59">
        <f t="shared" si="98"/>
        <v>209.50570914630686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30.8666111637875</v>
      </c>
      <c r="EB115" s="21">
        <f>EXP(-LN(2)/25)*EB114+(1-EXP(-LN(2)/25))/(LN(2)/25)*Calculateur!DW115*Calculateur!DY115*VLOOKUP('Données projet'!$B$14,Paramètres!$A$1:$I$89,3,0)*0.475*44/12</f>
        <v>7.8668118388967043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38.733423002684205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-1.7053025658242404E-13</v>
      </c>
      <c r="EK115" s="17">
        <f>EJ115*VLOOKUP('Données projet'!$B$15,Paramètres!$A$1:$I$89,3,0)*VLOOKUP('Données projet'!$B$15,Paramètres!$A$1:$I$89,5,0)</f>
        <v>-1.0197709343628959E-13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247.31680974612766</v>
      </c>
      <c r="EP115" s="59">
        <f t="shared" si="100"/>
        <v>257.13949761071882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46.320064879047592</v>
      </c>
      <c r="EW115" s="21">
        <f>EXP(-LN(2)/25)*EW114+(1-EXP(-LN(2)/25))/(LN(2)/25)*Calculateur!ER115*Calculateur!ET115*VLOOKUP('Données projet'!$B$15,Paramètres!$A$1:$I$89,3,0)*0.475*44/12</f>
        <v>8.5472010948575541</v>
      </c>
      <c r="EX115" s="21">
        <f>EXP(-LN(2)/2)*EX114+(1-EXP(-LN(2)/2))/(LN(2)/2)*ER115*EU115*VLOOKUP('Données projet'!$B$15,Paramètres!$A$1:$I$89,3,0)*0.475*44/12</f>
        <v>4.7628355756369684E-7</v>
      </c>
      <c r="EY115" s="22">
        <f t="shared" si="75"/>
        <v>54.867266450188708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20.095919999999978</v>
      </c>
      <c r="D116" s="11">
        <f t="shared" si="86"/>
        <v>6.530977676120596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41.108192903484401</v>
      </c>
      <c r="H116" s="67">
        <f t="shared" si="56"/>
        <v>303.04184678591002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5.1159076974727213E-13</v>
      </c>
      <c r="O116" s="13">
        <f>N116*VLOOKUP('Données projet'!$B$9,Paramètres!$A$1:$I$89,3,0)*VLOOKUP('Données projet'!$B$9,Paramètres!$A$1:$I$89,5,0)</f>
        <v>2.3942448024172334E-13</v>
      </c>
      <c r="P116" s="13">
        <f t="shared" si="87"/>
        <v>3.2492669905861755E-12</v>
      </c>
      <c r="Q116" s="20">
        <f t="shared" si="107"/>
        <v>6.0761376450252565E-12</v>
      </c>
      <c r="R116" s="59">
        <f t="shared" si="55"/>
        <v>293.3333333333394</v>
      </c>
      <c r="S116" s="59">
        <f ca="1">AVERAGE(OFFSET($R$3,0,0,'Données projet'!$E$9+1,1))-AVERAGE(OFFSET($H$3,0,0,'Données projet'!$E$9+1,1))</f>
        <v>223.99456146593315</v>
      </c>
      <c r="T116" s="59">
        <f t="shared" si="88"/>
        <v>132.73290587325937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123.53085066203198</v>
      </c>
      <c r="AA116" s="21">
        <f>EXP(-LN(2)/25)*AA115+(1-EXP(-LN(2)/25))/(LN(2)/25)*Calculateur!V116*Calculateur!X116*VLOOKUP('Données projet'!$B$9,Paramètres!$A$1:$I$89,3,0)*0.475*44/12</f>
        <v>29.757133018489437</v>
      </c>
      <c r="AB116" s="21">
        <f>EXP(-LN(2)/2)*AB115+(1-EXP(-LN(2)/2))/(LN(2)/2)*V116*Y116*VLOOKUP('Données projet'!$B$9,Paramètres!$A$1:$I$89,3,0)*0.475*44/12</f>
        <v>4.5871723311783388</v>
      </c>
      <c r="AC116" s="22">
        <f t="shared" si="57"/>
        <v>157.87515601169977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8.5265128291212022E-14</v>
      </c>
      <c r="AJ116" s="13">
        <f>AI116*VLOOKUP('Données projet'!$B$10,Paramètres!$A$1:$I$89,3,0)*VLOOKUP('Données projet'!$B$10,Paramètres!$A$1:$I$89,5,0)</f>
        <v>5.5865712056402117E-14</v>
      </c>
      <c r="AK116" s="13">
        <f t="shared" si="89"/>
        <v>8.9811031843713517E-13</v>
      </c>
      <c r="AL116" s="20">
        <f t="shared" si="58"/>
        <v>1.6615082531095774E-12</v>
      </c>
      <c r="AM116" s="59">
        <f t="shared" si="59"/>
        <v>293.33333333333496</v>
      </c>
      <c r="AN116" s="59">
        <f ca="1">AVERAGE(OFFSET($AM$3,0,0,'Données projet'!$E$10+1,1))-AVERAGE(OFFSET($H$3,0,0,'Données projet'!$E$10+1,1))</f>
        <v>244.43587473734613</v>
      </c>
      <c r="AO116" s="59">
        <f t="shared" si="90"/>
        <v>256.80261402149375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11.687579557285389</v>
      </c>
      <c r="AV116" s="21">
        <f>EXP(-LN(2)/25)*AV115+(1-EXP(-LN(2)/25))/(LN(2)/25)*Calculateur!AQ116*Calculateur!AS116*VLOOKUP('Données projet'!$B$10,Paramètres!$A$1:$I$89,3,0)*0.475*44/12</f>
        <v>26.705116684854957</v>
      </c>
      <c r="AW116" s="21">
        <f>EXP(-LN(2)/2)*AW115+(1-EXP(-LN(2)/2))/(LN(2)/2)*AQ116*AT116*VLOOKUP('Données projet'!$B$10,Paramètres!$A$1:$I$89,3,0)*0.475*44/12</f>
        <v>1.0814551455691273E-2</v>
      </c>
      <c r="AX116" s="21">
        <f t="shared" si="60"/>
        <v>38.403510793596034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-2.2737367544323206E-13</v>
      </c>
      <c r="BE116" s="13">
        <f>BD116*VLOOKUP('Données projet'!$B$11,Paramètres!$A$1:$I$89,3,0)*VLOOKUP('Données projet'!$B$11,Paramètres!$A$1:$I$89,5,0)</f>
        <v>-1.2710188457276673E-13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430.60186171079067</v>
      </c>
      <c r="BJ116" s="59">
        <f t="shared" si="92"/>
        <v>533.76627289533985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90.592281107445288</v>
      </c>
      <c r="BQ116" s="21">
        <f>EXP(-LN(2)/25)*BQ115+(1-EXP(-LN(2)/25))/(LN(2)/25)*Calculateur!BL116*Calculateur!BN116*VLOOKUP('Données projet'!$B$11,Paramètres!$A$1:$I$89,3,0)*0.475*44/12</f>
        <v>14.820631140029201</v>
      </c>
      <c r="BR116" s="21">
        <f>EXP(-LN(2)/2)*BR115+(1-EXP(-LN(2)/2))/(LN(2)/2)*BL116*BO116*VLOOKUP('Données projet'!$B$11,Paramètres!$A$1:$I$89,3,0)*0.475*44/12</f>
        <v>5.9343658740395674E-7</v>
      </c>
      <c r="BS116" s="22">
        <f t="shared" si="63"/>
        <v>105.41291284091108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-1.69961822393816E-13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215.89467197072673</v>
      </c>
      <c r="CE116" s="59">
        <f t="shared" si="94"/>
        <v>188.21397398859534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59.404558838976996</v>
      </c>
      <c r="CL116" s="21">
        <f>EXP(-LN(2)/25)*CL115+(1-EXP(-LN(2)/25))/(LN(2)/25)*Calculateur!CG116*Calculateur!CI116*VLOOKUP('Données projet'!$B$12,Paramètres!$A$1:$I$89,3,0)*0.475*44/12</f>
        <v>11.208932423698807</v>
      </c>
      <c r="CM116" s="21">
        <f>EXP(-LN(2)/2)*CM115+(1-EXP(-LN(2)/2))/(LN(2)/2)*CG116*CJ116*VLOOKUP('Données projet'!$B$12,Paramètres!$A$1:$I$89,3,0)*0.475*44/12</f>
        <v>3.0078124450972135E-4</v>
      </c>
      <c r="CN116" s="22">
        <f t="shared" si="66"/>
        <v>70.613792043920313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>
        <f>VLOOKUP(A116,'Données projet'!$A$139:$I$159,2,0)</f>
        <v>208.37820512820511</v>
      </c>
      <c r="CR116" s="12">
        <f>VLOOKUP(A116,'Données projet'!$A$139:$I$159,9,0)</f>
        <v>4.7307692307692299</v>
      </c>
      <c r="CS116" s="12">
        <f t="array" ref="CS116">INDEX(CR:CR,MIN(IF(ISNUMBER(CR116:CR312),ROW(CR116:CR312),"")))</f>
        <v>4.7307692307692299</v>
      </c>
      <c r="CT116" s="12">
        <f>IF('Données projet'!$A$140&gt;35,CT115+CS116-DB115,IF(A116&lt;'Données projet'!$A$140,$CQ$205^A116,IF(A116='Données projet'!$A$140,'Données projet'!$B$140,CT115+CS116-DB115)))</f>
        <v>208.37820512820522</v>
      </c>
      <c r="CU116" s="17">
        <f>CT116*VLOOKUP('Données projet'!$B$13,Paramètres!$A$1:$I$89,3,0)*VLOOKUP('Données projet'!$B$13,Paramètres!$A$1:$I$89,5,0)</f>
        <v>211.29550000000012</v>
      </c>
      <c r="CV116" s="13">
        <f t="shared" si="95"/>
        <v>52.21858363160721</v>
      </c>
      <c r="CW116" s="20">
        <f t="shared" si="67"/>
        <v>458.95369565838268</v>
      </c>
      <c r="CX116" s="59">
        <f t="shared" si="68"/>
        <v>752.28702899171594</v>
      </c>
      <c r="CY116" s="59">
        <f ca="1">AVERAGE(OFFSET($CX$3,0,0,'Données projet'!$E$13+1,1))-AVERAGE(OFFSET($H$3,0,0,'Données projet'!$E$13+1,1))</f>
        <v>342.82846711287749</v>
      </c>
      <c r="CZ116" s="59">
        <f t="shared" si="96"/>
        <v>152.87724741106297</v>
      </c>
      <c r="DA116" s="15">
        <f>IF(ISNA(VLOOKUP(A116,'Données projet'!$A$139:$I$159,3,0)),0,VLOOKUP(A116,'Données projet'!$A$139:$I$159,3,0))</f>
        <v>7</v>
      </c>
      <c r="DB116" s="15">
        <f>IF(ISNA(VLOOKUP(A116,'Données projet'!$A$139:$I$159,4,0)),0,VLOOKUP(A116,'Données projet'!$A$139:$I$159,4,0))</f>
        <v>29.602564102564102</v>
      </c>
      <c r="DC116" s="16">
        <f>IF(ISNA(VLOOKUP(A116,'Données projet'!$A$139:$I$159,5,0)),0%,VLOOKUP(A116,'Données projet'!$A$139:$I$159,5,0)*VLOOKUP('Données projet'!$B$13,Paramètres!$A$1:$I$89,7,0))</f>
        <v>0.30099999999999999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17.97087367703347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17.97087367703347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208.48147873805715</v>
      </c>
      <c r="DU116" s="59">
        <f t="shared" si="98"/>
        <v>209.50570914630686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30.261335745639446</v>
      </c>
      <c r="EB116" s="21">
        <f>EXP(-LN(2)/25)*EB115+(1-EXP(-LN(2)/25))/(LN(2)/25)*Calculateur!DW116*Calculateur!DY116*VLOOKUP('Données projet'!$B$14,Paramètres!$A$1:$I$89,3,0)*0.475*44/12</f>
        <v>7.6516934554644189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37.913029201103868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-1.7053025658242404E-13</v>
      </c>
      <c r="EK116" s="17">
        <f>EJ116*VLOOKUP('Données projet'!$B$15,Paramètres!$A$1:$I$89,3,0)*VLOOKUP('Données projet'!$B$15,Paramètres!$A$1:$I$89,5,0)</f>
        <v>-1.0197709343628959E-13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247.31680974612766</v>
      </c>
      <c r="EP116" s="59">
        <f t="shared" si="100"/>
        <v>257.13949761071882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45.41175665921935</v>
      </c>
      <c r="EW116" s="21">
        <f>EXP(-LN(2)/25)*EW115+(1-EXP(-LN(2)/25))/(LN(2)/25)*Calculateur!ER116*Calculateur!ET116*VLOOKUP('Données projet'!$B$15,Paramètres!$A$1:$I$89,3,0)*0.475*44/12</f>
        <v>8.3134774314409032</v>
      </c>
      <c r="EX116" s="21">
        <f>EXP(-LN(2)/2)*EX115+(1-EXP(-LN(2)/2))/(LN(2)/2)*ER116*EU116*VLOOKUP('Données projet'!$B$15,Paramètres!$A$1:$I$89,3,0)*0.475*44/12</f>
        <v>3.3678333332094343E-7</v>
      </c>
      <c r="EY116" s="22">
        <f t="shared" si="75"/>
        <v>53.725234427443581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20.273759999999978</v>
      </c>
      <c r="D117" s="11">
        <f t="shared" si="86"/>
        <v>6.5820202373089609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41.461555454090998</v>
      </c>
      <c r="H117" s="67">
        <f t="shared" si="56"/>
        <v>303.44048391331307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5.1159076974727213E-13</v>
      </c>
      <c r="O117" s="13">
        <f>N117*VLOOKUP('Données projet'!$B$9,Paramètres!$A$1:$I$89,3,0)*VLOOKUP('Données projet'!$B$9,Paramètres!$A$1:$I$89,5,0)</f>
        <v>2.3942448024172334E-13</v>
      </c>
      <c r="P117" s="13">
        <f t="shared" si="87"/>
        <v>3.2492669905861755E-12</v>
      </c>
      <c r="Q117" s="20">
        <f t="shared" si="107"/>
        <v>6.0761376450252565E-12</v>
      </c>
      <c r="R117" s="59">
        <f t="shared" si="55"/>
        <v>293.3333333333394</v>
      </c>
      <c r="S117" s="59">
        <f ca="1">AVERAGE(OFFSET($R$3,0,0,'Données projet'!$E$9+1,1))-AVERAGE(OFFSET($H$3,0,0,'Données projet'!$E$9+1,1))</f>
        <v>223.99456146593315</v>
      </c>
      <c r="T117" s="59">
        <f t="shared" si="88"/>
        <v>132.73290587325937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121.1084860269286</v>
      </c>
      <c r="AA117" s="21">
        <f>EXP(-LN(2)/25)*AA116+(1-EXP(-LN(2)/25))/(LN(2)/25)*Calculateur!V117*Calculateur!X117*VLOOKUP('Données projet'!$B$9,Paramètres!$A$1:$I$89,3,0)*0.475*44/12</f>
        <v>28.943422651239228</v>
      </c>
      <c r="AB117" s="21">
        <f>EXP(-LN(2)/2)*AB116+(1-EXP(-LN(2)/2))/(LN(2)/2)*V117*Y117*VLOOKUP('Données projet'!$B$9,Paramètres!$A$1:$I$89,3,0)*0.475*44/12</f>
        <v>3.243620661847507</v>
      </c>
      <c r="AC117" s="22">
        <f t="shared" si="57"/>
        <v>153.29552934001532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8.5265128291212022E-14</v>
      </c>
      <c r="AJ117" s="13">
        <f>AI117*VLOOKUP('Données projet'!$B$10,Paramètres!$A$1:$I$89,3,0)*VLOOKUP('Données projet'!$B$10,Paramètres!$A$1:$I$89,5,0)</f>
        <v>5.5865712056402117E-14</v>
      </c>
      <c r="AK117" s="13">
        <f t="shared" si="89"/>
        <v>8.9811031843713517E-13</v>
      </c>
      <c r="AL117" s="20">
        <f t="shared" si="58"/>
        <v>1.6615082531095774E-12</v>
      </c>
      <c r="AM117" s="59">
        <f t="shared" si="59"/>
        <v>293.33333333333496</v>
      </c>
      <c r="AN117" s="59">
        <f ca="1">AVERAGE(OFFSET($AM$3,0,0,'Données projet'!$E$10+1,1))-AVERAGE(OFFSET($H$3,0,0,'Données projet'!$E$10+1,1))</f>
        <v>244.43587473734613</v>
      </c>
      <c r="AO117" s="59">
        <f t="shared" si="90"/>
        <v>256.80261402149375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11.458393250886649</v>
      </c>
      <c r="AV117" s="21">
        <f>EXP(-LN(2)/25)*AV116+(1-EXP(-LN(2)/25))/(LN(2)/25)*Calculateur!AQ117*Calculateur!AS117*VLOOKUP('Données projet'!$B$10,Paramètres!$A$1:$I$89,3,0)*0.475*44/12</f>
        <v>25.974863864746546</v>
      </c>
      <c r="AW117" s="21">
        <f>EXP(-LN(2)/2)*AW116+(1-EXP(-LN(2)/2))/(LN(2)/2)*AQ117*AT117*VLOOKUP('Données projet'!$B$10,Paramètres!$A$1:$I$89,3,0)*0.475*44/12</f>
        <v>7.6470426698101489E-3</v>
      </c>
      <c r="AX117" s="21">
        <f t="shared" si="60"/>
        <v>37.440904158303006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-2.2737367544323206E-13</v>
      </c>
      <c r="BE117" s="13">
        <f>BD117*VLOOKUP('Données projet'!$B$11,Paramètres!$A$1:$I$89,3,0)*VLOOKUP('Données projet'!$B$11,Paramètres!$A$1:$I$89,5,0)</f>
        <v>-1.2710188457276673E-13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430.60186171079067</v>
      </c>
      <c r="BJ117" s="59">
        <f t="shared" si="92"/>
        <v>533.76627289533985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88.815821730763702</v>
      </c>
      <c r="BQ117" s="21">
        <f>EXP(-LN(2)/25)*BQ116+(1-EXP(-LN(2)/25))/(LN(2)/25)*Calculateur!BL117*Calculateur!BN117*VLOOKUP('Données projet'!$B$11,Paramètres!$A$1:$I$89,3,0)*0.475*44/12</f>
        <v>14.415360202121985</v>
      </c>
      <c r="BR117" s="21">
        <f>EXP(-LN(2)/2)*BR116+(1-EXP(-LN(2)/2))/(LN(2)/2)*BL117*BO117*VLOOKUP('Données projet'!$B$11,Paramètres!$A$1:$I$89,3,0)*0.475*44/12</f>
        <v>4.1962303515754113E-7</v>
      </c>
      <c r="BS117" s="22">
        <f t="shared" si="63"/>
        <v>103.23118235250872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-1.69961822393816E-13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215.89467197072673</v>
      </c>
      <c r="CE117" s="59">
        <f t="shared" si="94"/>
        <v>188.21397398859534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58.239671673347814</v>
      </c>
      <c r="CL117" s="21">
        <f>EXP(-LN(2)/25)*CL116+(1-EXP(-LN(2)/25))/(LN(2)/25)*Calculateur!CG117*Calculateur!CI117*VLOOKUP('Données projet'!$B$12,Paramètres!$A$1:$I$89,3,0)*0.475*44/12</f>
        <v>10.902423577120626</v>
      </c>
      <c r="CM117" s="21">
        <f>EXP(-LN(2)/2)*CM116+(1-EXP(-LN(2)/2))/(LN(2)/2)*CG117*CJ117*VLOOKUP('Données projet'!$B$12,Paramètres!$A$1:$I$89,3,0)*0.475*44/12</f>
        <v>2.1268445764655299E-4</v>
      </c>
      <c r="CN117" s="22">
        <f t="shared" si="66"/>
        <v>69.142307934926095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4.7948717948717956</v>
      </c>
      <c r="CT117" s="12">
        <f>IF('Données projet'!$A$140&gt;35,CT116+CS117-DB116,IF(A117&lt;'Données projet'!$A$140,$CQ$205^A117,IF(A117='Données projet'!$A$140,'Données projet'!$B$140,CT116+CS117-DB116)))</f>
        <v>183.57051282051293</v>
      </c>
      <c r="CU117" s="17">
        <f>CT117*VLOOKUP('Données projet'!$B$13,Paramètres!$A$1:$I$89,3,0)*VLOOKUP('Données projet'!$B$13,Paramètres!$A$1:$I$89,5,0)</f>
        <v>186.14050000000012</v>
      </c>
      <c r="CV117" s="13">
        <f t="shared" si="95"/>
        <v>46.685655720333244</v>
      </c>
      <c r="CW117" s="20">
        <f t="shared" si="67"/>
        <v>405.5055545462472</v>
      </c>
      <c r="CX117" s="59">
        <f t="shared" si="68"/>
        <v>698.83888787958051</v>
      </c>
      <c r="CY117" s="59">
        <f ca="1">AVERAGE(OFFSET($CX$3,0,0,'Données projet'!$E$13+1,1))-AVERAGE(OFFSET($H$3,0,0,'Données projet'!$E$13+1,1))</f>
        <v>342.82846711287749</v>
      </c>
      <c r="CZ117" s="59">
        <f t="shared" si="96"/>
        <v>152.87724741106297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17.618475805377464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17.618475805377464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208.48147873805715</v>
      </c>
      <c r="DU117" s="59">
        <f t="shared" si="98"/>
        <v>209.50570914630686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29.667929409259724</v>
      </c>
      <c r="EB117" s="21">
        <f>EXP(-LN(2)/25)*EB116+(1-EXP(-LN(2)/25))/(LN(2)/25)*Calculateur!DW117*Calculateur!DY117*VLOOKUP('Données projet'!$B$14,Paramètres!$A$1:$I$89,3,0)*0.475*44/12</f>
        <v>7.4424574955396734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37.110386904799398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-1.7053025658242404E-13</v>
      </c>
      <c r="EK117" s="17">
        <f>EJ117*VLOOKUP('Données projet'!$B$15,Paramètres!$A$1:$I$89,3,0)*VLOOKUP('Données projet'!$B$15,Paramètres!$A$1:$I$89,5,0)</f>
        <v>-1.0197709343628959E-13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247.31680974612766</v>
      </c>
      <c r="EP117" s="59">
        <f t="shared" si="100"/>
        <v>257.13949761071882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44.521259809568626</v>
      </c>
      <c r="EW117" s="21">
        <f>EXP(-LN(2)/25)*EW116+(1-EXP(-LN(2)/25))/(LN(2)/25)*Calculateur!ER117*Calculateur!ET117*VLOOKUP('Données projet'!$B$15,Paramètres!$A$1:$I$89,3,0)*0.475*44/12</f>
        <v>8.0861449538913739</v>
      </c>
      <c r="EX117" s="21">
        <f>EXP(-LN(2)/2)*EX116+(1-EXP(-LN(2)/2))/(LN(2)/2)*ER117*EU117*VLOOKUP('Données projet'!$B$15,Paramètres!$A$1:$I$89,3,0)*0.475*44/12</f>
        <v>2.3814177878184847E-7</v>
      </c>
      <c r="EY117" s="22">
        <f t="shared" si="75"/>
        <v>52.607405001601776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20.451599999999978</v>
      </c>
      <c r="D118" s="11">
        <f t="shared" si="86"/>
        <v>6.6330107072474469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41.814837583118837</v>
      </c>
      <c r="H118" s="67">
        <f t="shared" si="56"/>
        <v>303.83903031512261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5.1159076974727213E-13</v>
      </c>
      <c r="O118" s="13">
        <f>N118*VLOOKUP('Données projet'!$B$9,Paramètres!$A$1:$I$89,3,0)*VLOOKUP('Données projet'!$B$9,Paramètres!$A$1:$I$89,5,0)</f>
        <v>2.3942448024172334E-13</v>
      </c>
      <c r="P118" s="13">
        <f t="shared" si="87"/>
        <v>3.2492669905861755E-12</v>
      </c>
      <c r="Q118" s="20">
        <f t="shared" si="107"/>
        <v>6.0761376450252565E-12</v>
      </c>
      <c r="R118" s="59">
        <f t="shared" si="55"/>
        <v>293.3333333333394</v>
      </c>
      <c r="S118" s="59">
        <f ca="1">AVERAGE(OFFSET($R$3,0,0,'Données projet'!$E$9+1,1))-AVERAGE(OFFSET($H$3,0,0,'Données projet'!$E$9+1,1))</f>
        <v>223.99456146593315</v>
      </c>
      <c r="T118" s="59">
        <f t="shared" si="88"/>
        <v>132.73290587325937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118.73362248482306</v>
      </c>
      <c r="AA118" s="21">
        <f>EXP(-LN(2)/25)*AA117+(1-EXP(-LN(2)/25))/(LN(2)/25)*Calculateur!V118*Calculateur!X118*VLOOKUP('Données projet'!$B$9,Paramètres!$A$1:$I$89,3,0)*0.475*44/12</f>
        <v>28.151963236772644</v>
      </c>
      <c r="AB118" s="21">
        <f>EXP(-LN(2)/2)*AB117+(1-EXP(-LN(2)/2))/(LN(2)/2)*V118*Y118*VLOOKUP('Données projet'!$B$9,Paramètres!$A$1:$I$89,3,0)*0.475*44/12</f>
        <v>2.2935861655891698</v>
      </c>
      <c r="AC118" s="22">
        <f t="shared" si="57"/>
        <v>149.17917188718488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8.5265128291212022E-14</v>
      </c>
      <c r="AJ118" s="13">
        <f>AI118*VLOOKUP('Données projet'!$B$10,Paramètres!$A$1:$I$89,3,0)*VLOOKUP('Données projet'!$B$10,Paramètres!$A$1:$I$89,5,0)</f>
        <v>5.5865712056402117E-14</v>
      </c>
      <c r="AK118" s="13">
        <f t="shared" si="89"/>
        <v>8.9811031843713517E-13</v>
      </c>
      <c r="AL118" s="20">
        <f t="shared" si="58"/>
        <v>1.6615082531095774E-12</v>
      </c>
      <c r="AM118" s="59">
        <f t="shared" si="59"/>
        <v>293.33333333333496</v>
      </c>
      <c r="AN118" s="59">
        <f ca="1">AVERAGE(OFFSET($AM$3,0,0,'Données projet'!$E$10+1,1))-AVERAGE(OFFSET($H$3,0,0,'Données projet'!$E$10+1,1))</f>
        <v>244.43587473734613</v>
      </c>
      <c r="AO118" s="59">
        <f t="shared" si="90"/>
        <v>256.80261402149375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11.233701148166546</v>
      </c>
      <c r="AV118" s="21">
        <f>EXP(-LN(2)/25)*AV117+(1-EXP(-LN(2)/25))/(LN(2)/25)*Calculateur!AQ118*Calculateur!AS118*VLOOKUP('Données projet'!$B$10,Paramètres!$A$1:$I$89,3,0)*0.475*44/12</f>
        <v>25.264579846406328</v>
      </c>
      <c r="AW118" s="21">
        <f>EXP(-LN(2)/2)*AW117+(1-EXP(-LN(2)/2))/(LN(2)/2)*AQ118*AT118*VLOOKUP('Données projet'!$B$10,Paramètres!$A$1:$I$89,3,0)*0.475*44/12</f>
        <v>5.4072757278456375E-3</v>
      </c>
      <c r="AX118" s="21">
        <f t="shared" si="60"/>
        <v>36.503688270300721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-2.2737367544323206E-13</v>
      </c>
      <c r="BE118" s="13">
        <f>BD118*VLOOKUP('Données projet'!$B$11,Paramètres!$A$1:$I$89,3,0)*VLOOKUP('Données projet'!$B$11,Paramètres!$A$1:$I$89,5,0)</f>
        <v>-1.2710188457276673E-13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430.60186171079067</v>
      </c>
      <c r="BJ118" s="59">
        <f t="shared" si="92"/>
        <v>533.76627289533985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87.074197638925611</v>
      </c>
      <c r="BQ118" s="21">
        <f>EXP(-LN(2)/25)*BQ117+(1-EXP(-LN(2)/25))/(LN(2)/25)*Calculateur!BL118*Calculateur!BN118*VLOOKUP('Données projet'!$B$11,Paramètres!$A$1:$I$89,3,0)*0.475*44/12</f>
        <v>14.021171419324112</v>
      </c>
      <c r="BR118" s="21">
        <f>EXP(-LN(2)/2)*BR117+(1-EXP(-LN(2)/2))/(LN(2)/2)*BL118*BO118*VLOOKUP('Données projet'!$B$11,Paramètres!$A$1:$I$89,3,0)*0.475*44/12</f>
        <v>2.9671829370197837E-7</v>
      </c>
      <c r="BS118" s="22">
        <f t="shared" si="63"/>
        <v>101.09536935496803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-1.69961822393816E-13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215.89467197072673</v>
      </c>
      <c r="CE118" s="59">
        <f t="shared" si="94"/>
        <v>188.21397398859534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57.097627234525611</v>
      </c>
      <c r="CL118" s="21">
        <f>EXP(-LN(2)/25)*CL117+(1-EXP(-LN(2)/25))/(LN(2)/25)*Calculateur!CG118*Calculateur!CI118*VLOOKUP('Données projet'!$B$12,Paramètres!$A$1:$I$89,3,0)*0.475*44/12</f>
        <v>10.604296231070725</v>
      </c>
      <c r="CM118" s="21">
        <f>EXP(-LN(2)/2)*CM117+(1-EXP(-LN(2)/2))/(LN(2)/2)*CG118*CJ118*VLOOKUP('Données projet'!$B$12,Paramètres!$A$1:$I$89,3,0)*0.475*44/12</f>
        <v>1.5039062225486068E-4</v>
      </c>
      <c r="CN118" s="22">
        <f t="shared" si="66"/>
        <v>67.70207385621859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4.7948717948717956</v>
      </c>
      <c r="CT118" s="12">
        <f>IF('Données projet'!$A$140&gt;35,CT117+CS118-DB117,IF(A118&lt;'Données projet'!$A$140,$CQ$205^A118,IF(A118='Données projet'!$A$140,'Données projet'!$B$140,CT117+CS118-DB117)))</f>
        <v>188.36538461538473</v>
      </c>
      <c r="CU118" s="17">
        <f>CT118*VLOOKUP('Données projet'!$B$13,Paramètres!$A$1:$I$89,3,0)*VLOOKUP('Données projet'!$B$13,Paramètres!$A$1:$I$89,5,0)</f>
        <v>191.00250000000011</v>
      </c>
      <c r="CV118" s="13">
        <f t="shared" si="95"/>
        <v>47.761523439678669</v>
      </c>
      <c r="CW118" s="20">
        <f t="shared" si="67"/>
        <v>415.84734082410722</v>
      </c>
      <c r="CX118" s="59">
        <f t="shared" si="68"/>
        <v>709.18067415744054</v>
      </c>
      <c r="CY118" s="59">
        <f ca="1">AVERAGE(OFFSET($CX$3,0,0,'Données projet'!$E$13+1,1))-AVERAGE(OFFSET($H$3,0,0,'Données projet'!$E$13+1,1))</f>
        <v>342.82846711287749</v>
      </c>
      <c r="CZ118" s="59">
        <f t="shared" si="96"/>
        <v>152.87724741106297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17.272988241043155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17.272988241043155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208.48147873805715</v>
      </c>
      <c r="DU118" s="59">
        <f t="shared" si="98"/>
        <v>209.50570914630686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29.086159409194284</v>
      </c>
      <c r="EB118" s="21">
        <f>EXP(-LN(2)/25)*EB117+(1-EXP(-LN(2)/25))/(LN(2)/25)*Calculateur!DW118*Calculateur!DY118*VLOOKUP('Données projet'!$B$14,Paramètres!$A$1:$I$89,3,0)*0.475*44/12</f>
        <v>7.2389431039423116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36.325102513136599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-1.7053025658242404E-13</v>
      </c>
      <c r="EK118" s="17">
        <f>EJ118*VLOOKUP('Données projet'!$B$15,Paramètres!$A$1:$I$89,3,0)*VLOOKUP('Données projet'!$B$15,Paramètres!$A$1:$I$89,5,0)</f>
        <v>-1.0197709343628959E-13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247.31680974612766</v>
      </c>
      <c r="EP118" s="59">
        <f t="shared" si="100"/>
        <v>257.13949761071882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43.648225059990111</v>
      </c>
      <c r="EW118" s="21">
        <f>EXP(-LN(2)/25)*EW117+(1-EXP(-LN(2)/25))/(LN(2)/25)*Calculateur!ER118*Calculateur!ET118*VLOOKUP('Données projet'!$B$15,Paramètres!$A$1:$I$89,3,0)*0.475*44/12</f>
        <v>7.8650288948953326</v>
      </c>
      <c r="EX118" s="21">
        <f>EXP(-LN(2)/2)*EX117+(1-EXP(-LN(2)/2))/(LN(2)/2)*ER118*EU118*VLOOKUP('Données projet'!$B$15,Paramètres!$A$1:$I$89,3,0)*0.475*44/12</f>
        <v>1.6839166666047174E-7</v>
      </c>
      <c r="EY118" s="22">
        <f t="shared" si="75"/>
        <v>51.513254123277108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20.629439999999978</v>
      </c>
      <c r="D119" s="11">
        <f t="shared" si="86"/>
        <v>6.6839495913858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42.168040070911381</v>
      </c>
      <c r="H119" s="67">
        <f t="shared" si="56"/>
        <v>304.23748687166358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5.1159076974727213E-13</v>
      </c>
      <c r="O119" s="13">
        <f>N119*VLOOKUP('Données projet'!$B$9,Paramètres!$A$1:$I$89,3,0)*VLOOKUP('Données projet'!$B$9,Paramètres!$A$1:$I$89,5,0)</f>
        <v>2.3942448024172334E-13</v>
      </c>
      <c r="P119" s="13">
        <f t="shared" si="87"/>
        <v>3.2492669905861755E-12</v>
      </c>
      <c r="Q119" s="20">
        <f t="shared" si="107"/>
        <v>6.0761376450252565E-12</v>
      </c>
      <c r="R119" s="59">
        <f t="shared" si="55"/>
        <v>293.3333333333394</v>
      </c>
      <c r="S119" s="59">
        <f ca="1">AVERAGE(OFFSET($R$3,0,0,'Données projet'!$E$9+1,1))-AVERAGE(OFFSET($H$3,0,0,'Données projet'!$E$9+1,1))</f>
        <v>223.99456146593315</v>
      </c>
      <c r="T119" s="59">
        <f t="shared" si="88"/>
        <v>132.73290587325937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116.40532856825448</v>
      </c>
      <c r="AA119" s="21">
        <f>EXP(-LN(2)/25)*AA118+(1-EXP(-LN(2)/25))/(LN(2)/25)*Calculateur!V119*Calculateur!X119*VLOOKUP('Données projet'!$B$9,Paramètres!$A$1:$I$89,3,0)*0.475*44/12</f>
        <v>27.382146321615693</v>
      </c>
      <c r="AB119" s="21">
        <f>EXP(-LN(2)/2)*AB118+(1-EXP(-LN(2)/2))/(LN(2)/2)*V119*Y119*VLOOKUP('Données projet'!$B$9,Paramètres!$A$1:$I$89,3,0)*0.475*44/12</f>
        <v>1.6218103309237537</v>
      </c>
      <c r="AC119" s="22">
        <f t="shared" si="57"/>
        <v>145.40928522079392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8.5265128291212022E-14</v>
      </c>
      <c r="AJ119" s="13">
        <f>AI119*VLOOKUP('Données projet'!$B$10,Paramètres!$A$1:$I$89,3,0)*VLOOKUP('Données projet'!$B$10,Paramètres!$A$1:$I$89,5,0)</f>
        <v>5.5865712056402117E-14</v>
      </c>
      <c r="AK119" s="13">
        <f t="shared" si="89"/>
        <v>8.9811031843713517E-13</v>
      </c>
      <c r="AL119" s="20">
        <f t="shared" si="58"/>
        <v>1.6615082531095774E-12</v>
      </c>
      <c r="AM119" s="59">
        <f t="shared" si="59"/>
        <v>293.33333333333496</v>
      </c>
      <c r="AN119" s="59">
        <f ca="1">AVERAGE(OFFSET($AM$3,0,0,'Données projet'!$E$10+1,1))-AVERAGE(OFFSET($H$3,0,0,'Données projet'!$E$10+1,1))</f>
        <v>244.43587473734613</v>
      </c>
      <c r="AO119" s="59">
        <f t="shared" si="90"/>
        <v>256.80261402149375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11.013415120532134</v>
      </c>
      <c r="AV119" s="21">
        <f>EXP(-LN(2)/25)*AV118+(1-EXP(-LN(2)/25))/(LN(2)/25)*Calculateur!AQ119*Calculateur!AS119*VLOOKUP('Données projet'!$B$10,Paramètres!$A$1:$I$89,3,0)*0.475*44/12</f>
        <v>24.573718581899836</v>
      </c>
      <c r="AW119" s="21">
        <f>EXP(-LN(2)/2)*AW118+(1-EXP(-LN(2)/2))/(LN(2)/2)*AQ119*AT119*VLOOKUP('Données projet'!$B$10,Paramètres!$A$1:$I$89,3,0)*0.475*44/12</f>
        <v>3.8235213349050749E-3</v>
      </c>
      <c r="AX119" s="21">
        <f t="shared" si="60"/>
        <v>35.590957223766878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-2.2737367544323206E-13</v>
      </c>
      <c r="BE119" s="13">
        <f>BD119*VLOOKUP('Données projet'!$B$11,Paramètres!$A$1:$I$89,3,0)*VLOOKUP('Données projet'!$B$11,Paramètres!$A$1:$I$89,5,0)</f>
        <v>-1.2710188457276673E-13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430.60186171079067</v>
      </c>
      <c r="BJ119" s="59">
        <f t="shared" si="92"/>
        <v>533.76627289533985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85.36672573324266</v>
      </c>
      <c r="BQ119" s="21">
        <f>EXP(-LN(2)/25)*BQ118+(1-EXP(-LN(2)/25))/(LN(2)/25)*Calculateur!BL119*Calculateur!BN119*VLOOKUP('Données projet'!$B$11,Paramètres!$A$1:$I$89,3,0)*0.475*44/12</f>
        <v>13.637761749521335</v>
      </c>
      <c r="BR119" s="21">
        <f>EXP(-LN(2)/2)*BR118+(1-EXP(-LN(2)/2))/(LN(2)/2)*BL119*BO119*VLOOKUP('Données projet'!$B$11,Paramètres!$A$1:$I$89,3,0)*0.475*44/12</f>
        <v>2.0981151757877057E-7</v>
      </c>
      <c r="BS119" s="22">
        <f t="shared" si="63"/>
        <v>99.004487692575509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-1.69961822393816E-13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215.89467197072673</v>
      </c>
      <c r="CE119" s="59">
        <f t="shared" si="94"/>
        <v>188.21397398859534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55.977977590570383</v>
      </c>
      <c r="CL119" s="21">
        <f>EXP(-LN(2)/25)*CL118+(1-EXP(-LN(2)/25))/(LN(2)/25)*Calculateur!CG119*Calculateur!CI119*VLOOKUP('Données projet'!$B$12,Paramètres!$A$1:$I$89,3,0)*0.475*44/12</f>
        <v>10.314321192976394</v>
      </c>
      <c r="CM119" s="21">
        <f>EXP(-LN(2)/2)*CM118+(1-EXP(-LN(2)/2))/(LN(2)/2)*CG119*CJ119*VLOOKUP('Données projet'!$B$12,Paramètres!$A$1:$I$89,3,0)*0.475*44/12</f>
        <v>1.063422288232765E-4</v>
      </c>
      <c r="CN119" s="22">
        <f t="shared" si="66"/>
        <v>66.292405125775602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4.7948717948717956</v>
      </c>
      <c r="CT119" s="12">
        <f>IF('Données projet'!$A$140&gt;35,CT118+CS119-DB118,IF(A119&lt;'Données projet'!$A$140,$CQ$205^A119,IF(A119='Données projet'!$A$140,'Données projet'!$B$140,CT118+CS119-DB118)))</f>
        <v>193.16025641025652</v>
      </c>
      <c r="CU119" s="17">
        <f>CT119*VLOOKUP('Données projet'!$B$13,Paramètres!$A$1:$I$89,3,0)*VLOOKUP('Données projet'!$B$13,Paramètres!$A$1:$I$89,5,0)</f>
        <v>195.86450000000013</v>
      </c>
      <c r="CV119" s="13">
        <f t="shared" si="95"/>
        <v>48.834207737972342</v>
      </c>
      <c r="CW119" s="20">
        <f t="shared" si="67"/>
        <v>426.18358264363542</v>
      </c>
      <c r="CX119" s="59">
        <f t="shared" si="68"/>
        <v>719.51691597696868</v>
      </c>
      <c r="CY119" s="59">
        <f ca="1">AVERAGE(OFFSET($CX$3,0,0,'Données projet'!$E$13+1,1))-AVERAGE(OFFSET($H$3,0,0,'Données projet'!$E$13+1,1))</f>
        <v>342.82846711287749</v>
      </c>
      <c r="CZ119" s="59">
        <f t="shared" si="96"/>
        <v>152.87724741106297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16.934275477118835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16.934275477118835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208.48147873805715</v>
      </c>
      <c r="DU119" s="59">
        <f t="shared" si="98"/>
        <v>209.50570914630686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28.515797563985466</v>
      </c>
      <c r="EB119" s="21">
        <f>EXP(-LN(2)/25)*EB118+(1-EXP(-LN(2)/25))/(LN(2)/25)*Calculateur!DW119*Calculateur!DY119*VLOOKUP('Données projet'!$B$14,Paramètres!$A$1:$I$89,3,0)*0.475*44/12</f>
        <v>7.0409938240855361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35.556791388071005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-1.7053025658242404E-13</v>
      </c>
      <c r="EK119" s="17">
        <f>EJ119*VLOOKUP('Données projet'!$B$15,Paramètres!$A$1:$I$89,3,0)*VLOOKUP('Données projet'!$B$15,Paramètres!$A$1:$I$89,5,0)</f>
        <v>-1.0197709343628959E-13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247.31680974612766</v>
      </c>
      <c r="EP119" s="59">
        <f t="shared" si="100"/>
        <v>257.13949761071882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42.792309989352212</v>
      </c>
      <c r="EW119" s="21">
        <f>EXP(-LN(2)/25)*EW118+(1-EXP(-LN(2)/25))/(LN(2)/25)*Calculateur!ER119*Calculateur!ET119*VLOOKUP('Données projet'!$B$15,Paramètres!$A$1:$I$89,3,0)*0.475*44/12</f>
        <v>7.6499592661605256</v>
      </c>
      <c r="EX119" s="21">
        <f>EXP(-LN(2)/2)*EX118+(1-EXP(-LN(2)/2))/(LN(2)/2)*ER119*EU119*VLOOKUP('Données projet'!$B$15,Paramètres!$A$1:$I$89,3,0)*0.475*44/12</f>
        <v>1.1907088939092425E-7</v>
      </c>
      <c r="EY119" s="22">
        <f t="shared" si="75"/>
        <v>50.442269374583631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20.807279999999977</v>
      </c>
      <c r="D120" s="11">
        <f t="shared" si="86"/>
        <v>6.7348373859562045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42.521163683581477</v>
      </c>
      <c r="H120" s="67">
        <f t="shared" si="56"/>
        <v>304.63585444720701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5.1159076974727213E-13</v>
      </c>
      <c r="O120" s="13">
        <f>N120*VLOOKUP('Données projet'!$B$9,Paramètres!$A$1:$I$89,3,0)*VLOOKUP('Données projet'!$B$9,Paramètres!$A$1:$I$89,5,0)</f>
        <v>2.3942448024172334E-13</v>
      </c>
      <c r="P120" s="13">
        <f t="shared" si="87"/>
        <v>3.2492669905861755E-12</v>
      </c>
      <c r="Q120" s="20">
        <f t="shared" si="107"/>
        <v>6.0761376450252565E-12</v>
      </c>
      <c r="R120" s="59">
        <f t="shared" si="55"/>
        <v>293.3333333333394</v>
      </c>
      <c r="S120" s="59">
        <f ca="1">AVERAGE(OFFSET($R$3,0,0,'Données projet'!$E$9+1,1))-AVERAGE(OFFSET($H$3,0,0,'Données projet'!$E$9+1,1))</f>
        <v>223.99456146593315</v>
      </c>
      <c r="T120" s="59">
        <f t="shared" si="88"/>
        <v>132.73290587325937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114.12269107527074</v>
      </c>
      <c r="AA120" s="21">
        <f>EXP(-LN(2)/25)*AA119+(1-EXP(-LN(2)/25))/(LN(2)/25)*Calculateur!V120*Calculateur!X120*VLOOKUP('Données projet'!$B$9,Paramètres!$A$1:$I$89,3,0)*0.475*44/12</f>
        <v>26.633380090486618</v>
      </c>
      <c r="AB120" s="21">
        <f>EXP(-LN(2)/2)*AB119+(1-EXP(-LN(2)/2))/(LN(2)/2)*V120*Y120*VLOOKUP('Données projet'!$B$9,Paramètres!$A$1:$I$89,3,0)*0.475*44/12</f>
        <v>1.1467930827945849</v>
      </c>
      <c r="AC120" s="22">
        <f t="shared" si="57"/>
        <v>141.90286424855194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8.5265128291212022E-14</v>
      </c>
      <c r="AJ120" s="13">
        <f>AI120*VLOOKUP('Données projet'!$B$10,Paramètres!$A$1:$I$89,3,0)*VLOOKUP('Données projet'!$B$10,Paramètres!$A$1:$I$89,5,0)</f>
        <v>5.5865712056402117E-14</v>
      </c>
      <c r="AK120" s="13">
        <f t="shared" si="89"/>
        <v>8.9811031843713517E-13</v>
      </c>
      <c r="AL120" s="20">
        <f t="shared" si="58"/>
        <v>1.6615082531095774E-12</v>
      </c>
      <c r="AM120" s="59">
        <f t="shared" si="59"/>
        <v>293.33333333333496</v>
      </c>
      <c r="AN120" s="59">
        <f ca="1">AVERAGE(OFFSET($AM$3,0,0,'Données projet'!$E$10+1,1))-AVERAGE(OFFSET($H$3,0,0,'Données projet'!$E$10+1,1))</f>
        <v>244.43587473734613</v>
      </c>
      <c r="AO120" s="59">
        <f t="shared" si="90"/>
        <v>256.80261402149375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10.797448767538421</v>
      </c>
      <c r="AV120" s="21">
        <f>EXP(-LN(2)/25)*AV119+(1-EXP(-LN(2)/25))/(LN(2)/25)*Calculateur!AQ120*Calculateur!AS120*VLOOKUP('Données projet'!$B$10,Paramètres!$A$1:$I$89,3,0)*0.475*44/12</f>
        <v>23.901748955002088</v>
      </c>
      <c r="AW120" s="21">
        <f>EXP(-LN(2)/2)*AW119+(1-EXP(-LN(2)/2))/(LN(2)/2)*AQ120*AT120*VLOOKUP('Données projet'!$B$10,Paramètres!$A$1:$I$89,3,0)*0.475*44/12</f>
        <v>2.7036378639228192E-3</v>
      </c>
      <c r="AX120" s="21">
        <f t="shared" si="60"/>
        <v>34.701901360404435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-2.2737367544323206E-13</v>
      </c>
      <c r="BE120" s="13">
        <f>BD120*VLOOKUP('Données projet'!$B$11,Paramètres!$A$1:$I$89,3,0)*VLOOKUP('Données projet'!$B$11,Paramètres!$A$1:$I$89,5,0)</f>
        <v>-1.2710188457276673E-13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430.60186171079067</v>
      </c>
      <c r="BJ120" s="59">
        <f t="shared" si="92"/>
        <v>533.76627289533985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83.692736310175121</v>
      </c>
      <c r="BQ120" s="21">
        <f>EXP(-LN(2)/25)*BQ119+(1-EXP(-LN(2)/25))/(LN(2)/25)*Calculateur!BL120*Calculateur!BN120*VLOOKUP('Données projet'!$B$11,Paramètres!$A$1:$I$89,3,0)*0.475*44/12</f>
        <v>13.264836437301954</v>
      </c>
      <c r="BR120" s="21">
        <f>EXP(-LN(2)/2)*BR119+(1-EXP(-LN(2)/2))/(LN(2)/2)*BL120*BO120*VLOOKUP('Données projet'!$B$11,Paramètres!$A$1:$I$89,3,0)*0.475*44/12</f>
        <v>1.4835914685098919E-7</v>
      </c>
      <c r="BS120" s="22">
        <f t="shared" si="63"/>
        <v>96.957572895836222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-1.69961822393816E-13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215.89467197072673</v>
      </c>
      <c r="CE120" s="59">
        <f t="shared" si="94"/>
        <v>188.21397398859534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54.880283593214266</v>
      </c>
      <c r="CL120" s="21">
        <f>EXP(-LN(2)/25)*CL119+(1-EXP(-LN(2)/25))/(LN(2)/25)*Calculateur!CG120*Calculateur!CI120*VLOOKUP('Données projet'!$B$12,Paramètres!$A$1:$I$89,3,0)*0.475*44/12</f>
        <v>10.032275537547877</v>
      </c>
      <c r="CM120" s="21">
        <f>EXP(-LN(2)/2)*CM119+(1-EXP(-LN(2)/2))/(LN(2)/2)*CG120*CJ120*VLOOKUP('Données projet'!$B$12,Paramètres!$A$1:$I$89,3,0)*0.475*44/12</f>
        <v>7.5195311127430339E-5</v>
      </c>
      <c r="CN120" s="22">
        <f t="shared" si="66"/>
        <v>64.912634326073274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4.7948717948717956</v>
      </c>
      <c r="CT120" s="12">
        <f>IF('Données projet'!$A$140&gt;35,CT119+CS120-DB119,IF(A120&lt;'Données projet'!$A$140,$CQ$205^A120,IF(A120='Données projet'!$A$140,'Données projet'!$B$140,CT119+CS120-DB119)))</f>
        <v>197.95512820512832</v>
      </c>
      <c r="CU120" s="17">
        <f>CT120*VLOOKUP('Données projet'!$B$13,Paramètres!$A$1:$I$89,3,0)*VLOOKUP('Données projet'!$B$13,Paramètres!$A$1:$I$89,5,0)</f>
        <v>200.72650000000013</v>
      </c>
      <c r="CV120" s="13">
        <f t="shared" si="95"/>
        <v>49.903796727423305</v>
      </c>
      <c r="CW120" s="20">
        <f t="shared" si="67"/>
        <v>436.51443346692912</v>
      </c>
      <c r="CX120" s="59">
        <f t="shared" si="68"/>
        <v>729.84776680026243</v>
      </c>
      <c r="CY120" s="59">
        <f ca="1">AVERAGE(OFFSET($CX$3,0,0,'Données projet'!$E$13+1,1))-AVERAGE(OFFSET($H$3,0,0,'Données projet'!$E$13+1,1))</f>
        <v>342.82846711287749</v>
      </c>
      <c r="CZ120" s="59">
        <f t="shared" si="96"/>
        <v>152.87724741106297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16.602204663900682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16.602204663900682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208.48147873805715</v>
      </c>
      <c r="DU120" s="59">
        <f t="shared" si="98"/>
        <v>209.50570914630686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27.956620166674817</v>
      </c>
      <c r="EB120" s="21">
        <f>EXP(-LN(2)/25)*EB119+(1-EXP(-LN(2)/25))/(LN(2)/25)*Calculateur!DW120*Calculateur!DY120*VLOOKUP('Données projet'!$B$14,Paramètres!$A$1:$I$89,3,0)*0.475*44/12</f>
        <v>6.8484574776961447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34.805077644370961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-1.7053025658242404E-13</v>
      </c>
      <c r="EK120" s="17">
        <f>EJ120*VLOOKUP('Données projet'!$B$15,Paramètres!$A$1:$I$89,3,0)*VLOOKUP('Données projet'!$B$15,Paramètres!$A$1:$I$89,5,0)</f>
        <v>-1.0197709343628959E-13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247.31680974612766</v>
      </c>
      <c r="EP120" s="59">
        <f t="shared" si="100"/>
        <v>257.13949761071882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41.953178891192877</v>
      </c>
      <c r="EW120" s="21">
        <f>EXP(-LN(2)/25)*EW119+(1-EXP(-LN(2)/25))/(LN(2)/25)*Calculateur!ER120*Calculateur!ET120*VLOOKUP('Données projet'!$B$15,Paramètres!$A$1:$I$89,3,0)*0.475*44/12</f>
        <v>7.4407707277334927</v>
      </c>
      <c r="EX120" s="21">
        <f>EXP(-LN(2)/2)*EX119+(1-EXP(-LN(2)/2))/(LN(2)/2)*ER120*EU120*VLOOKUP('Données projet'!$B$15,Paramètres!$A$1:$I$89,3,0)*0.475*44/12</f>
        <v>8.4195833330235883E-8</v>
      </c>
      <c r="EY120" s="22">
        <f t="shared" si="75"/>
        <v>49.393949703122203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20.985119999999977</v>
      </c>
      <c r="D121" s="11">
        <f t="shared" si="86"/>
        <v>6.7856745782187087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42.874209173390256</v>
      </c>
      <c r="H121" s="67">
        <f t="shared" si="56"/>
        <v>305.03413389039758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5.1159076974727213E-13</v>
      </c>
      <c r="O121" s="13">
        <f>N121*VLOOKUP('Données projet'!$B$9,Paramètres!$A$1:$I$89,3,0)*VLOOKUP('Données projet'!$B$9,Paramètres!$A$1:$I$89,5,0)</f>
        <v>2.3942448024172334E-13</v>
      </c>
      <c r="P121" s="13">
        <f t="shared" si="87"/>
        <v>3.2492669905861755E-12</v>
      </c>
      <c r="Q121" s="20">
        <f t="shared" si="107"/>
        <v>6.0761376450252565E-12</v>
      </c>
      <c r="R121" s="59">
        <f t="shared" si="55"/>
        <v>293.3333333333394</v>
      </c>
      <c r="S121" s="59">
        <f ca="1">AVERAGE(OFFSET($R$3,0,0,'Données projet'!$E$9+1,1))-AVERAGE(OFFSET($H$3,0,0,'Données projet'!$E$9+1,1))</f>
        <v>223.99456146593315</v>
      </c>
      <c r="T121" s="59">
        <f t="shared" si="88"/>
        <v>132.73290587325937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111.88481471125301</v>
      </c>
      <c r="AA121" s="21">
        <f>EXP(-LN(2)/25)*AA120+(1-EXP(-LN(2)/25))/(LN(2)/25)*Calculateur!V121*Calculateur!X121*VLOOKUP('Données projet'!$B$9,Paramètres!$A$1:$I$89,3,0)*0.475*44/12</f>
        <v>25.905088911323674</v>
      </c>
      <c r="AB121" s="21">
        <f>EXP(-LN(2)/2)*AB120+(1-EXP(-LN(2)/2))/(LN(2)/2)*V121*Y121*VLOOKUP('Données projet'!$B$9,Paramètres!$A$1:$I$89,3,0)*0.475*44/12</f>
        <v>0.81090516546187685</v>
      </c>
      <c r="AC121" s="22">
        <f t="shared" si="57"/>
        <v>138.60080878803856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8.5265128291212022E-14</v>
      </c>
      <c r="AJ121" s="13">
        <f>AI121*VLOOKUP('Données projet'!$B$10,Paramètres!$A$1:$I$89,3,0)*VLOOKUP('Données projet'!$B$10,Paramètres!$A$1:$I$89,5,0)</f>
        <v>5.5865712056402117E-14</v>
      </c>
      <c r="AK121" s="13">
        <f t="shared" si="89"/>
        <v>8.9811031843713517E-13</v>
      </c>
      <c r="AL121" s="20">
        <f t="shared" si="58"/>
        <v>1.6615082531095774E-12</v>
      </c>
      <c r="AM121" s="59">
        <f t="shared" si="59"/>
        <v>293.33333333333496</v>
      </c>
      <c r="AN121" s="59">
        <f ca="1">AVERAGE(OFFSET($AM$3,0,0,'Données projet'!$E$10+1,1))-AVERAGE(OFFSET($H$3,0,0,'Données projet'!$E$10+1,1))</f>
        <v>244.43587473734613</v>
      </c>
      <c r="AO121" s="59">
        <f t="shared" si="90"/>
        <v>256.80261402149375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10.585717383000448</v>
      </c>
      <c r="AV121" s="21">
        <f>EXP(-LN(2)/25)*AV120+(1-EXP(-LN(2)/25))/(LN(2)/25)*Calculateur!AQ121*Calculateur!AS121*VLOOKUP('Données projet'!$B$10,Paramètres!$A$1:$I$89,3,0)*0.475*44/12</f>
        <v>23.248154372889207</v>
      </c>
      <c r="AW121" s="21">
        <f>EXP(-LN(2)/2)*AW120+(1-EXP(-LN(2)/2))/(LN(2)/2)*AQ121*AT121*VLOOKUP('Données projet'!$B$10,Paramètres!$A$1:$I$89,3,0)*0.475*44/12</f>
        <v>1.9117606674525379E-3</v>
      </c>
      <c r="AX121" s="21">
        <f t="shared" si="60"/>
        <v>33.835783516557107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-2.2737367544323206E-13</v>
      </c>
      <c r="BE121" s="13">
        <f>BD121*VLOOKUP('Données projet'!$B$11,Paramètres!$A$1:$I$89,3,0)*VLOOKUP('Données projet'!$B$11,Paramètres!$A$1:$I$89,5,0)</f>
        <v>-1.2710188457276673E-13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430.60186171079067</v>
      </c>
      <c r="BJ121" s="59">
        <f t="shared" si="92"/>
        <v>533.76627289533985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82.051572798661212</v>
      </c>
      <c r="BQ121" s="21">
        <f>EXP(-LN(2)/25)*BQ120+(1-EXP(-LN(2)/25))/(LN(2)/25)*Calculateur!BL121*Calculateur!BN121*VLOOKUP('Données projet'!$B$11,Paramètres!$A$1:$I$89,3,0)*0.475*44/12</f>
        <v>12.9021087873565</v>
      </c>
      <c r="BR121" s="21">
        <f>EXP(-LN(2)/2)*BR120+(1-EXP(-LN(2)/2))/(LN(2)/2)*BL121*BO121*VLOOKUP('Données projet'!$B$11,Paramètres!$A$1:$I$89,3,0)*0.475*44/12</f>
        <v>1.0490575878938528E-7</v>
      </c>
      <c r="BS121" s="22">
        <f t="shared" si="63"/>
        <v>94.953681690923474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-1.69961822393816E-13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215.89467197072673</v>
      </c>
      <c r="CE121" s="59">
        <f t="shared" si="94"/>
        <v>188.21397398859534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53.804114705619078</v>
      </c>
      <c r="CL121" s="21">
        <f>EXP(-LN(2)/25)*CL120+(1-EXP(-LN(2)/25))/(LN(2)/25)*Calculateur!CG121*Calculateur!CI121*VLOOKUP('Données projet'!$B$12,Paramètres!$A$1:$I$89,3,0)*0.475*44/12</f>
        <v>9.7579424353991886</v>
      </c>
      <c r="CM121" s="21">
        <f>EXP(-LN(2)/2)*CM120+(1-EXP(-LN(2)/2))/(LN(2)/2)*CG121*CJ121*VLOOKUP('Données projet'!$B$12,Paramètres!$A$1:$I$89,3,0)*0.475*44/12</f>
        <v>5.3171114411638248E-5</v>
      </c>
      <c r="CN121" s="22">
        <f t="shared" si="66"/>
        <v>63.562110312132674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4.7948717948717956</v>
      </c>
      <c r="CT121" s="12">
        <f>IF('Données projet'!$A$140&gt;35,CT120+CS121-DB120,IF(A121&lt;'Données projet'!$A$140,$CQ$205^A121,IF(A121='Données projet'!$A$140,'Données projet'!$B$140,CT120+CS121-DB120)))</f>
        <v>202.75000000000011</v>
      </c>
      <c r="CU121" s="17">
        <f>CT121*VLOOKUP('Données projet'!$B$13,Paramètres!$A$1:$I$89,3,0)*VLOOKUP('Données projet'!$B$13,Paramètres!$A$1:$I$89,5,0)</f>
        <v>205.58850000000012</v>
      </c>
      <c r="CV121" s="13">
        <f t="shared" si="95"/>
        <v>50.970374008335547</v>
      </c>
      <c r="CW121" s="20">
        <f t="shared" si="67"/>
        <v>446.84003889785134</v>
      </c>
      <c r="CX121" s="59">
        <f t="shared" si="68"/>
        <v>740.17337223118466</v>
      </c>
      <c r="CY121" s="59">
        <f ca="1">AVERAGE(OFFSET($CX$3,0,0,'Données projet'!$E$13+1,1))-AVERAGE(OFFSET($H$3,0,0,'Données projet'!$E$13+1,1))</f>
        <v>342.82846711287749</v>
      </c>
      <c r="CZ121" s="59">
        <f t="shared" si="96"/>
        <v>152.87724741106297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16.276645556786541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16.276645556786541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208.48147873805715</v>
      </c>
      <c r="DU121" s="59">
        <f t="shared" si="98"/>
        <v>209.50570914630686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27.408407897060894</v>
      </c>
      <c r="EB121" s="21">
        <f>EXP(-LN(2)/25)*EB120+(1-EXP(-LN(2)/25))/(LN(2)/25)*Calculateur!DW121*Calculateur!DY121*VLOOKUP('Données projet'!$B$14,Paramètres!$A$1:$I$89,3,0)*0.475*44/12</f>
        <v>6.6611860478238176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34.069593944884708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-1.7053025658242404E-13</v>
      </c>
      <c r="EK121" s="17">
        <f>EJ121*VLOOKUP('Données projet'!$B$15,Paramètres!$A$1:$I$89,3,0)*VLOOKUP('Données projet'!$B$15,Paramètres!$A$1:$I$89,5,0)</f>
        <v>-1.0197709343628959E-13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247.31680974612766</v>
      </c>
      <c r="EP121" s="59">
        <f t="shared" si="100"/>
        <v>257.13949761071882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41.130502642049017</v>
      </c>
      <c r="EW121" s="21">
        <f>EXP(-LN(2)/25)*EW120+(1-EXP(-LN(2)/25))/(LN(2)/25)*Calculateur!ER121*Calculateur!ET121*VLOOKUP('Données projet'!$B$15,Paramètres!$A$1:$I$89,3,0)*0.475*44/12</f>
        <v>7.2373024608904934</v>
      </c>
      <c r="EX121" s="21">
        <f>EXP(-LN(2)/2)*EX120+(1-EXP(-LN(2)/2))/(LN(2)/2)*ER121*EU121*VLOOKUP('Données projet'!$B$15,Paramètres!$A$1:$I$89,3,0)*0.475*44/12</f>
        <v>5.9535444695462131E-8</v>
      </c>
      <c r="EY121" s="22">
        <f t="shared" si="75"/>
        <v>48.367805162474959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21.162959999999977</v>
      </c>
      <c r="D122" s="11">
        <f t="shared" si="86"/>
        <v>6.8364616466980417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43.227177279112738</v>
      </c>
      <c r="H122" s="67">
        <f t="shared" si="56"/>
        <v>305.43232603466572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5.1159076974727213E-13</v>
      </c>
      <c r="O122" s="13">
        <f>N122*VLOOKUP('Données projet'!$B$9,Paramètres!$A$1:$I$89,3,0)*VLOOKUP('Données projet'!$B$9,Paramètres!$A$1:$I$89,5,0)</f>
        <v>2.3942448024172334E-13</v>
      </c>
      <c r="P122" s="13">
        <f t="shared" si="87"/>
        <v>3.2492669905861755E-12</v>
      </c>
      <c r="Q122" s="20">
        <f t="shared" si="107"/>
        <v>6.0761376450252565E-12</v>
      </c>
      <c r="R122" s="59">
        <f t="shared" si="55"/>
        <v>293.3333333333394</v>
      </c>
      <c r="S122" s="59">
        <f ca="1">AVERAGE(OFFSET($R$3,0,0,'Données projet'!$E$9+1,1))-AVERAGE(OFFSET($H$3,0,0,'Données projet'!$E$9+1,1))</f>
        <v>223.99456146593315</v>
      </c>
      <c r="T122" s="59">
        <f t="shared" si="88"/>
        <v>132.73290587325937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109.69082173776388</v>
      </c>
      <c r="AA122" s="21">
        <f>EXP(-LN(2)/25)*AA121+(1-EXP(-LN(2)/25))/(LN(2)/25)*Calculateur!V122*Calculateur!X122*VLOOKUP('Données projet'!$B$9,Paramètres!$A$1:$I$89,3,0)*0.475*44/12</f>
        <v>25.19671289275411</v>
      </c>
      <c r="AB122" s="21">
        <f>EXP(-LN(2)/2)*AB121+(1-EXP(-LN(2)/2))/(LN(2)/2)*V122*Y122*VLOOKUP('Données projet'!$B$9,Paramètres!$A$1:$I$89,3,0)*0.475*44/12</f>
        <v>0.57339654139729246</v>
      </c>
      <c r="AC122" s="22">
        <f t="shared" si="57"/>
        <v>135.46093117191529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8.5265128291212022E-14</v>
      </c>
      <c r="AJ122" s="13">
        <f>AI122*VLOOKUP('Données projet'!$B$10,Paramètres!$A$1:$I$89,3,0)*VLOOKUP('Données projet'!$B$10,Paramètres!$A$1:$I$89,5,0)</f>
        <v>5.5865712056402117E-14</v>
      </c>
      <c r="AK122" s="13">
        <f t="shared" si="89"/>
        <v>8.9811031843713517E-13</v>
      </c>
      <c r="AL122" s="20">
        <f t="shared" si="58"/>
        <v>1.6615082531095774E-12</v>
      </c>
      <c r="AM122" s="59">
        <f t="shared" si="59"/>
        <v>293.33333333333496</v>
      </c>
      <c r="AN122" s="59">
        <f ca="1">AVERAGE(OFFSET($AM$3,0,0,'Données projet'!$E$10+1,1))-AVERAGE(OFFSET($H$3,0,0,'Données projet'!$E$10+1,1))</f>
        <v>244.43587473734613</v>
      </c>
      <c r="AO122" s="59">
        <f t="shared" si="90"/>
        <v>256.80261402149375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10.378137921769872</v>
      </c>
      <c r="AV122" s="21">
        <f>EXP(-LN(2)/25)*AV121+(1-EXP(-LN(2)/25))/(LN(2)/25)*Calculateur!AQ122*Calculateur!AS122*VLOOKUP('Données projet'!$B$10,Paramètres!$A$1:$I$89,3,0)*0.475*44/12</f>
        <v>22.612432368995247</v>
      </c>
      <c r="AW122" s="21">
        <f>EXP(-LN(2)/2)*AW121+(1-EXP(-LN(2)/2))/(LN(2)/2)*AQ122*AT122*VLOOKUP('Données projet'!$B$10,Paramètres!$A$1:$I$89,3,0)*0.475*44/12</f>
        <v>1.3518189319614098E-3</v>
      </c>
      <c r="AX122" s="21">
        <f t="shared" si="60"/>
        <v>32.991922109697079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-2.2737367544323206E-13</v>
      </c>
      <c r="BE122" s="13">
        <f>BD122*VLOOKUP('Données projet'!$B$11,Paramètres!$A$1:$I$89,3,0)*VLOOKUP('Données projet'!$B$11,Paramètres!$A$1:$I$89,5,0)</f>
        <v>-1.2710188457276673E-13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430.60186171079067</v>
      </c>
      <c r="BJ122" s="59">
        <f t="shared" si="92"/>
        <v>533.76627289533985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80.442591502597196</v>
      </c>
      <c r="BQ122" s="21">
        <f>EXP(-LN(2)/25)*BQ121+(1-EXP(-LN(2)/25))/(LN(2)/25)*Calculateur!BL122*Calculateur!BN122*VLOOKUP('Données projet'!$B$11,Paramètres!$A$1:$I$89,3,0)*0.475*44/12</f>
        <v>12.549299944073823</v>
      </c>
      <c r="BR122" s="21">
        <f>EXP(-LN(2)/2)*BR121+(1-EXP(-LN(2)/2))/(LN(2)/2)*BL122*BO122*VLOOKUP('Données projet'!$B$11,Paramètres!$A$1:$I$89,3,0)*0.475*44/12</f>
        <v>7.4179573425494593E-8</v>
      </c>
      <c r="BS122" s="22">
        <f t="shared" si="63"/>
        <v>92.991891520850587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-1.69961822393816E-13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215.89467197072673</v>
      </c>
      <c r="CE122" s="59">
        <f t="shared" si="94"/>
        <v>188.21397398859534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52.749048833511424</v>
      </c>
      <c r="CL122" s="21">
        <f>EXP(-LN(2)/25)*CL121+(1-EXP(-LN(2)/25))/(LN(2)/25)*Calculateur!CG122*Calculateur!CI122*VLOOKUP('Données projet'!$B$12,Paramètres!$A$1:$I$89,3,0)*0.475*44/12</f>
        <v>9.4911109863553076</v>
      </c>
      <c r="CM122" s="21">
        <f>EXP(-LN(2)/2)*CM121+(1-EXP(-LN(2)/2))/(LN(2)/2)*CG122*CJ122*VLOOKUP('Données projet'!$B$12,Paramètres!$A$1:$I$89,3,0)*0.475*44/12</f>
        <v>3.7597655563715169E-5</v>
      </c>
      <c r="CN122" s="22">
        <f t="shared" si="66"/>
        <v>62.240197417522296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4.7948717948717956</v>
      </c>
      <c r="CT122" s="12">
        <f>IF('Données projet'!$A$140&gt;35,CT121+CS122-DB121,IF(A122&lt;'Données projet'!$A$140,$CQ$205^A122,IF(A122='Données projet'!$A$140,'Données projet'!$B$140,CT121+CS122-DB121)))</f>
        <v>207.54487179487191</v>
      </c>
      <c r="CU122" s="17">
        <f>CT122*VLOOKUP('Données projet'!$B$13,Paramètres!$A$1:$I$89,3,0)*VLOOKUP('Données projet'!$B$13,Paramètres!$A$1:$I$89,5,0)</f>
        <v>210.45050000000015</v>
      </c>
      <c r="CV122" s="13">
        <f t="shared" si="95"/>
        <v>52.034019001304493</v>
      </c>
      <c r="CW122" s="20">
        <f t="shared" si="67"/>
        <v>457.16053726060562</v>
      </c>
      <c r="CX122" s="59">
        <f t="shared" si="68"/>
        <v>750.49387059393894</v>
      </c>
      <c r="CY122" s="59">
        <f ca="1">AVERAGE(OFFSET($CX$3,0,0,'Données projet'!$E$13+1,1))-AVERAGE(OFFSET($H$3,0,0,'Données projet'!$E$13+1,1))</f>
        <v>342.82846711287749</v>
      </c>
      <c r="CZ122" s="59">
        <f t="shared" si="96"/>
        <v>152.87724741106297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15.957470465191459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15.957470465191459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208.48147873805715</v>
      </c>
      <c r="DU122" s="59">
        <f t="shared" si="98"/>
        <v>209.50570914630686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26.870945735677633</v>
      </c>
      <c r="EB122" s="21">
        <f>EXP(-LN(2)/25)*EB121+(1-EXP(-LN(2)/25))/(LN(2)/25)*Calculateur!DW122*Calculateur!DY122*VLOOKUP('Données projet'!$B$14,Paramètres!$A$1:$I$89,3,0)*0.475*44/12</f>
        <v>6.479035565049525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33.349981300727158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-1.7053025658242404E-13</v>
      </c>
      <c r="EK122" s="17">
        <f>EJ122*VLOOKUP('Données projet'!$B$15,Paramètres!$A$1:$I$89,3,0)*VLOOKUP('Données projet'!$B$15,Paramètres!$A$1:$I$89,5,0)</f>
        <v>-1.0197709343628959E-13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247.31680974612766</v>
      </c>
      <c r="EP122" s="59">
        <f t="shared" si="100"/>
        <v>257.13949761071882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40.3239585723679</v>
      </c>
      <c r="EW122" s="21">
        <f>EXP(-LN(2)/25)*EW121+(1-EXP(-LN(2)/25))/(LN(2)/25)*Calculateur!ER122*Calculateur!ET122*VLOOKUP('Données projet'!$B$15,Paramètres!$A$1:$I$89,3,0)*0.475*44/12</f>
        <v>7.0393980445042477</v>
      </c>
      <c r="EX122" s="21">
        <f>EXP(-LN(2)/2)*EX121+(1-EXP(-LN(2)/2))/(LN(2)/2)*ER122*EU122*VLOOKUP('Données projet'!$B$15,Paramètres!$A$1:$I$89,3,0)*0.475*44/12</f>
        <v>4.2097916665117948E-8</v>
      </c>
      <c r="EY122" s="22">
        <f t="shared" si="75"/>
        <v>47.363356658970062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21.340799999999977</v>
      </c>
      <c r="D123" s="11">
        <f t="shared" si="86"/>
        <v>6.8871990614123133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43.580068726390913</v>
      </c>
      <c r="H123" s="67">
        <f t="shared" si="56"/>
        <v>305.8304316986264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5.1159076974727213E-13</v>
      </c>
      <c r="O123" s="13">
        <f>N123*VLOOKUP('Données projet'!$B$9,Paramètres!$A$1:$I$89,3,0)*VLOOKUP('Données projet'!$B$9,Paramètres!$A$1:$I$89,5,0)</f>
        <v>2.3942448024172334E-13</v>
      </c>
      <c r="P123" s="13">
        <f t="shared" si="87"/>
        <v>3.2492669905861755E-12</v>
      </c>
      <c r="Q123" s="20">
        <f t="shared" si="107"/>
        <v>6.0761376450252565E-12</v>
      </c>
      <c r="R123" s="59">
        <f t="shared" si="55"/>
        <v>293.3333333333394</v>
      </c>
      <c r="S123" s="59">
        <f ca="1">AVERAGE(OFFSET($R$3,0,0,'Données projet'!$E$9+1,1))-AVERAGE(OFFSET($H$3,0,0,'Données projet'!$E$9+1,1))</f>
        <v>223.99456146593315</v>
      </c>
      <c r="T123" s="59">
        <f t="shared" si="88"/>
        <v>132.73290587325937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107.5398516282813</v>
      </c>
      <c r="AA123" s="21">
        <f>EXP(-LN(2)/25)*AA122+(1-EXP(-LN(2)/25))/(LN(2)/25)*Calculateur!V123*Calculateur!X123*VLOOKUP('Données projet'!$B$9,Paramètres!$A$1:$I$89,3,0)*0.475*44/12</f>
        <v>24.507707453664207</v>
      </c>
      <c r="AB123" s="21">
        <f>EXP(-LN(2)/2)*AB122+(1-EXP(-LN(2)/2))/(LN(2)/2)*V123*Y123*VLOOKUP('Données projet'!$B$9,Paramètres!$A$1:$I$89,3,0)*0.475*44/12</f>
        <v>0.40545258273093843</v>
      </c>
      <c r="AC123" s="22">
        <f t="shared" si="57"/>
        <v>132.45301166467644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8.5265128291212022E-14</v>
      </c>
      <c r="AJ123" s="13">
        <f>AI123*VLOOKUP('Données projet'!$B$10,Paramètres!$A$1:$I$89,3,0)*VLOOKUP('Données projet'!$B$10,Paramètres!$A$1:$I$89,5,0)</f>
        <v>5.5865712056402117E-14</v>
      </c>
      <c r="AK123" s="13">
        <f t="shared" si="89"/>
        <v>8.9811031843713517E-13</v>
      </c>
      <c r="AL123" s="20">
        <f t="shared" si="58"/>
        <v>1.6615082531095774E-12</v>
      </c>
      <c r="AM123" s="59">
        <f t="shared" si="59"/>
        <v>293.33333333333496</v>
      </c>
      <c r="AN123" s="59">
        <f ca="1">AVERAGE(OFFSET($AM$3,0,0,'Données projet'!$E$10+1,1))-AVERAGE(OFFSET($H$3,0,0,'Données projet'!$E$10+1,1))</f>
        <v>244.43587473734613</v>
      </c>
      <c r="AO123" s="59">
        <f t="shared" si="90"/>
        <v>256.80261402149375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10.174628967163057</v>
      </c>
      <c r="AV123" s="21">
        <f>EXP(-LN(2)/25)*AV122+(1-EXP(-LN(2)/25))/(LN(2)/25)*Calculateur!AQ123*Calculateur!AS123*VLOOKUP('Données projet'!$B$10,Paramètres!$A$1:$I$89,3,0)*0.475*44/12</f>
        <v>21.994094216728936</v>
      </c>
      <c r="AW123" s="21">
        <f>EXP(-LN(2)/2)*AW122+(1-EXP(-LN(2)/2))/(LN(2)/2)*AQ123*AT123*VLOOKUP('Données projet'!$B$10,Paramètres!$A$1:$I$89,3,0)*0.475*44/12</f>
        <v>9.5588033372626905E-4</v>
      </c>
      <c r="AX123" s="21">
        <f t="shared" si="60"/>
        <v>32.169679064225718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-2.2737367544323206E-13</v>
      </c>
      <c r="BE123" s="13">
        <f>BD123*VLOOKUP('Données projet'!$B$11,Paramètres!$A$1:$I$89,3,0)*VLOOKUP('Données projet'!$B$11,Paramètres!$A$1:$I$89,5,0)</f>
        <v>-1.2710188457276673E-13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430.60186171079067</v>
      </c>
      <c r="BJ123" s="59">
        <f t="shared" si="92"/>
        <v>533.76627289533985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78.865161348367309</v>
      </c>
      <c r="BQ123" s="21">
        <f>EXP(-LN(2)/25)*BQ122+(1-EXP(-LN(2)/25))/(LN(2)/25)*Calculateur!BL123*Calculateur!BN123*VLOOKUP('Données projet'!$B$11,Paramètres!$A$1:$I$89,3,0)*0.475*44/12</f>
        <v>12.206138677164121</v>
      </c>
      <c r="BR123" s="21">
        <f>EXP(-LN(2)/2)*BR122+(1-EXP(-LN(2)/2))/(LN(2)/2)*BL123*BO123*VLOOKUP('Données projet'!$B$11,Paramètres!$A$1:$I$89,3,0)*0.475*44/12</f>
        <v>5.2452879394692642E-8</v>
      </c>
      <c r="BS123" s="22">
        <f t="shared" si="63"/>
        <v>91.071300077984304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-1.69961822393816E-13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215.89467197072673</v>
      </c>
      <c r="CE123" s="59">
        <f t="shared" si="94"/>
        <v>188.21397398859534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51.71467215962916</v>
      </c>
      <c r="CL123" s="21">
        <f>EXP(-LN(2)/25)*CL122+(1-EXP(-LN(2)/25))/(LN(2)/25)*Calculateur!CG123*Calculateur!CI123*VLOOKUP('Données projet'!$B$12,Paramètres!$A$1:$I$89,3,0)*0.475*44/12</f>
        <v>9.2315760573175876</v>
      </c>
      <c r="CM123" s="21">
        <f>EXP(-LN(2)/2)*CM122+(1-EXP(-LN(2)/2))/(LN(2)/2)*CG123*CJ123*VLOOKUP('Données projet'!$B$12,Paramètres!$A$1:$I$89,3,0)*0.475*44/12</f>
        <v>2.6585557205819124E-5</v>
      </c>
      <c r="CN123" s="22">
        <f t="shared" si="66"/>
        <v>60.946274802503957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4.7948717948717956</v>
      </c>
      <c r="CT123" s="12">
        <f>IF('Données projet'!$A$140&gt;35,CT122+CS123-DB122,IF(A123&lt;'Données projet'!$A$140,$CQ$205^A123,IF(A123='Données projet'!$A$140,'Données projet'!$B$140,CT122+CS123-DB122)))</f>
        <v>212.3397435897437</v>
      </c>
      <c r="CU123" s="17">
        <f>CT123*VLOOKUP('Données projet'!$B$13,Paramètres!$A$1:$I$89,3,0)*VLOOKUP('Données projet'!$B$13,Paramètres!$A$1:$I$89,5,0)</f>
        <v>215.31250000000011</v>
      </c>
      <c r="CV123" s="13">
        <f t="shared" si="95"/>
        <v>53.094807247849026</v>
      </c>
      <c r="CW123" s="20">
        <f t="shared" si="67"/>
        <v>467.47606012333722</v>
      </c>
      <c r="CX123" s="59">
        <f t="shared" si="68"/>
        <v>760.80939345667048</v>
      </c>
      <c r="CY123" s="59">
        <f ca="1">AVERAGE(OFFSET($CX$3,0,0,'Données projet'!$E$13+1,1))-AVERAGE(OFFSET($H$3,0,0,'Données projet'!$E$13+1,1))</f>
        <v>342.82846711287749</v>
      </c>
      <c r="CZ123" s="59">
        <f t="shared" si="96"/>
        <v>152.87724741106297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15.644554202464976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15.644554202464976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208.48147873805715</v>
      </c>
      <c r="DU123" s="59">
        <f t="shared" si="98"/>
        <v>209.50570914630686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26.344022879459548</v>
      </c>
      <c r="EB123" s="21">
        <f>EXP(-LN(2)/25)*EB122+(1-EXP(-LN(2)/25))/(LN(2)/25)*Calculateur!DW123*Calculateur!DY123*VLOOKUP('Données projet'!$B$14,Paramètres!$A$1:$I$89,3,0)*0.475*44/12</f>
        <v>6.3018659968055735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32.645888876265118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-1.7053025658242404E-13</v>
      </c>
      <c r="EK123" s="17">
        <f>EJ123*VLOOKUP('Données projet'!$B$15,Paramètres!$A$1:$I$89,3,0)*VLOOKUP('Données projet'!$B$15,Paramètres!$A$1:$I$89,5,0)</f>
        <v>-1.0197709343628959E-13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247.31680974612766</v>
      </c>
      <c r="EP123" s="59">
        <f t="shared" si="100"/>
        <v>257.13949761071882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39.533230339949924</v>
      </c>
      <c r="EW123" s="21">
        <f>EXP(-LN(2)/25)*EW122+(1-EXP(-LN(2)/25))/(LN(2)/25)*Calculateur!ER123*Calculateur!ET123*VLOOKUP('Données projet'!$B$15,Paramètres!$A$1:$I$89,3,0)*0.475*44/12</f>
        <v>6.8469053347914244</v>
      </c>
      <c r="EX123" s="21">
        <f>EXP(-LN(2)/2)*EX122+(1-EXP(-LN(2)/2))/(LN(2)/2)*ER123*EU123*VLOOKUP('Données projet'!$B$15,Paramètres!$A$1:$I$89,3,0)*0.475*44/12</f>
        <v>2.9767722347731072E-8</v>
      </c>
      <c r="EY123" s="22">
        <f t="shared" si="75"/>
        <v>46.380135704509065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21.518639999999976</v>
      </c>
      <c r="D124" s="11">
        <f t="shared" si="86"/>
        <v>6.9378872840938071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43.932884228074613</v>
      </c>
      <c r="H124" s="67">
        <f t="shared" si="56"/>
        <v>306.22845168646336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5.1159076974727213E-13</v>
      </c>
      <c r="O124" s="13">
        <f>N124*VLOOKUP('Données projet'!$B$9,Paramètres!$A$1:$I$89,3,0)*VLOOKUP('Données projet'!$B$9,Paramètres!$A$1:$I$89,5,0)</f>
        <v>2.3942448024172334E-13</v>
      </c>
      <c r="P124" s="13">
        <f t="shared" si="87"/>
        <v>3.2492669905861755E-12</v>
      </c>
      <c r="Q124" s="20">
        <f t="shared" si="107"/>
        <v>6.0761376450252565E-12</v>
      </c>
      <c r="R124" s="59">
        <f t="shared" si="55"/>
        <v>293.3333333333394</v>
      </c>
      <c r="S124" s="59">
        <f ca="1">AVERAGE(OFFSET($R$3,0,0,'Données projet'!$E$9+1,1))-AVERAGE(OFFSET($H$3,0,0,'Données projet'!$E$9+1,1))</f>
        <v>223.99456146593315</v>
      </c>
      <c r="T124" s="59">
        <f t="shared" si="88"/>
        <v>132.73290587325937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105.43106073068344</v>
      </c>
      <c r="AA124" s="21">
        <f>EXP(-LN(2)/25)*AA123+(1-EXP(-LN(2)/25))/(LN(2)/25)*Calculateur!V124*Calculateur!X124*VLOOKUP('Données projet'!$B$9,Paramètres!$A$1:$I$89,3,0)*0.475*44/12</f>
        <v>23.837542904539436</v>
      </c>
      <c r="AB124" s="21">
        <f>EXP(-LN(2)/2)*AB123+(1-EXP(-LN(2)/2))/(LN(2)/2)*V124*Y124*VLOOKUP('Données projet'!$B$9,Paramètres!$A$1:$I$89,3,0)*0.475*44/12</f>
        <v>0.28669827069864623</v>
      </c>
      <c r="AC124" s="22">
        <f t="shared" si="57"/>
        <v>129.55530190592154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8.5265128291212022E-14</v>
      </c>
      <c r="AJ124" s="13">
        <f>AI124*VLOOKUP('Données projet'!$B$10,Paramètres!$A$1:$I$89,3,0)*VLOOKUP('Données projet'!$B$10,Paramètres!$A$1:$I$89,5,0)</f>
        <v>5.5865712056402117E-14</v>
      </c>
      <c r="AK124" s="13">
        <f t="shared" si="89"/>
        <v>8.9811031843713517E-13</v>
      </c>
      <c r="AL124" s="20">
        <f t="shared" si="58"/>
        <v>1.6615082531095774E-12</v>
      </c>
      <c r="AM124" s="59">
        <f t="shared" si="59"/>
        <v>293.33333333333496</v>
      </c>
      <c r="AN124" s="59">
        <f ca="1">AVERAGE(OFFSET($AM$3,0,0,'Données projet'!$E$10+1,1))-AVERAGE(OFFSET($H$3,0,0,'Données projet'!$E$10+1,1))</f>
        <v>244.43587473734613</v>
      </c>
      <c r="AO124" s="59">
        <f t="shared" si="90"/>
        <v>256.80261402149375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9.9751106990278764</v>
      </c>
      <c r="AV124" s="21">
        <f>EXP(-LN(2)/25)*AV123+(1-EXP(-LN(2)/25))/(LN(2)/25)*Calculateur!AQ124*Calculateur!AS124*VLOOKUP('Données projet'!$B$10,Paramètres!$A$1:$I$89,3,0)*0.475*44/12</f>
        <v>21.392664553753335</v>
      </c>
      <c r="AW124" s="21">
        <f>EXP(-LN(2)/2)*AW123+(1-EXP(-LN(2)/2))/(LN(2)/2)*AQ124*AT124*VLOOKUP('Données projet'!$B$10,Paramètres!$A$1:$I$89,3,0)*0.475*44/12</f>
        <v>6.7590946598070501E-4</v>
      </c>
      <c r="AX124" s="21">
        <f t="shared" si="60"/>
        <v>31.36845116224719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-2.2737367544323206E-13</v>
      </c>
      <c r="BE124" s="13">
        <f>BD124*VLOOKUP('Données projet'!$B$11,Paramètres!$A$1:$I$89,3,0)*VLOOKUP('Données projet'!$B$11,Paramètres!$A$1:$I$89,5,0)</f>
        <v>-1.2710188457276673E-13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430.60186171079067</v>
      </c>
      <c r="BJ124" s="59">
        <f t="shared" si="92"/>
        <v>533.76627289533985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77.318663637324477</v>
      </c>
      <c r="BQ124" s="21">
        <f>EXP(-LN(2)/25)*BQ123+(1-EXP(-LN(2)/25))/(LN(2)/25)*Calculateur!BL124*Calculateur!BN124*VLOOKUP('Données projet'!$B$11,Paramètres!$A$1:$I$89,3,0)*0.475*44/12</f>
        <v>11.872361173144133</v>
      </c>
      <c r="BR124" s="21">
        <f>EXP(-LN(2)/2)*BR123+(1-EXP(-LN(2)/2))/(LN(2)/2)*BL124*BO124*VLOOKUP('Données projet'!$B$11,Paramètres!$A$1:$I$89,3,0)*0.475*44/12</f>
        <v>3.7089786712747296E-8</v>
      </c>
      <c r="BS124" s="22">
        <f t="shared" si="63"/>
        <v>89.191024847558396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-1.69961822393816E-13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215.89467197072673</v>
      </c>
      <c r="CE124" s="59">
        <f t="shared" si="94"/>
        <v>188.21397398859534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50.700578981414253</v>
      </c>
      <c r="CL124" s="21">
        <f>EXP(-LN(2)/25)*CL123+(1-EXP(-LN(2)/25))/(LN(2)/25)*Calculateur!CG124*Calculateur!CI124*VLOOKUP('Données projet'!$B$12,Paramètres!$A$1:$I$89,3,0)*0.475*44/12</f>
        <v>8.979138124562752</v>
      </c>
      <c r="CM124" s="21">
        <f>EXP(-LN(2)/2)*CM123+(1-EXP(-LN(2)/2))/(LN(2)/2)*CG124*CJ124*VLOOKUP('Données projet'!$B$12,Paramètres!$A$1:$I$89,3,0)*0.475*44/12</f>
        <v>1.8798827781857585E-5</v>
      </c>
      <c r="CN124" s="22">
        <f t="shared" si="66"/>
        <v>59.679735904804787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4.7948717948717956</v>
      </c>
      <c r="CT124" s="12">
        <f>IF('Données projet'!$A$140&gt;35,CT123+CS124-DB123,IF(A124&lt;'Données projet'!$A$140,$CQ$205^A124,IF(A124='Données projet'!$A$140,'Données projet'!$B$140,CT123+CS124-DB123)))</f>
        <v>217.1346153846155</v>
      </c>
      <c r="CU124" s="17">
        <f>CT124*VLOOKUP('Données projet'!$B$13,Paramètres!$A$1:$I$89,3,0)*VLOOKUP('Données projet'!$B$13,Paramètres!$A$1:$I$89,5,0)</f>
        <v>220.17450000000014</v>
      </c>
      <c r="CV124" s="13">
        <f t="shared" si="95"/>
        <v>54.152810683124237</v>
      </c>
      <c r="CW124" s="20">
        <f t="shared" si="67"/>
        <v>477.78673277310827</v>
      </c>
      <c r="CX124" s="59">
        <f t="shared" si="68"/>
        <v>771.12006610644153</v>
      </c>
      <c r="CY124" s="59">
        <f ca="1">AVERAGE(OFFSET($CX$3,0,0,'Données projet'!$E$13+1,1))-AVERAGE(OFFSET($H$3,0,0,'Données projet'!$E$13+1,1))</f>
        <v>342.82846711287749</v>
      </c>
      <c r="CZ124" s="59">
        <f t="shared" si="96"/>
        <v>152.87724741106297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15.337774036790483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15.337774036790483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208.48147873805715</v>
      </c>
      <c r="DU124" s="59">
        <f t="shared" si="98"/>
        <v>209.50570914630686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25.827432659060694</v>
      </c>
      <c r="EB124" s="21">
        <f>EXP(-LN(2)/25)*EB123+(1-EXP(-LN(2)/25))/(LN(2)/25)*Calculateur!DW124*Calculateur!DY124*VLOOKUP('Données projet'!$B$14,Paramètres!$A$1:$I$89,3,0)*0.475*44/12</f>
        <v>6.1295411397221953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31.95697379878289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-1.7053025658242404E-13</v>
      </c>
      <c r="EK124" s="17">
        <f>EJ124*VLOOKUP('Données projet'!$B$15,Paramètres!$A$1:$I$89,3,0)*VLOOKUP('Données projet'!$B$15,Paramètres!$A$1:$I$89,5,0)</f>
        <v>-1.0197709343628959E-13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247.31680974612766</v>
      </c>
      <c r="EP124" s="59">
        <f t="shared" si="100"/>
        <v>257.13949761071882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38.758007805873063</v>
      </c>
      <c r="EW124" s="21">
        <f>EXP(-LN(2)/25)*EW123+(1-EXP(-LN(2)/25))/(LN(2)/25)*Calculateur!ER124*Calculateur!ET124*VLOOKUP('Données projet'!$B$15,Paramètres!$A$1:$I$89,3,0)*0.475*44/12</f>
        <v>6.6596763483484498</v>
      </c>
      <c r="EX124" s="21">
        <f>EXP(-LN(2)/2)*EX123+(1-EXP(-LN(2)/2))/(LN(2)/2)*ER124*EU124*VLOOKUP('Données projet'!$B$15,Paramètres!$A$1:$I$89,3,0)*0.475*44/12</f>
        <v>2.1048958332558977E-8</v>
      </c>
      <c r="EY124" s="22">
        <f t="shared" si="75"/>
        <v>45.417684175270473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21.696479999999976</v>
      </c>
      <c r="D125" s="11">
        <f t="shared" si="86"/>
        <v>6.9885267684023011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44.285624484550887</v>
      </c>
      <c r="H125" s="67">
        <f t="shared" si="56"/>
        <v>306.62638678830064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5.1159076974727213E-13</v>
      </c>
      <c r="O125" s="13">
        <f>N125*VLOOKUP('Données projet'!$B$9,Paramètres!$A$1:$I$89,3,0)*VLOOKUP('Données projet'!$B$9,Paramètres!$A$1:$I$89,5,0)</f>
        <v>2.3942448024172334E-13</v>
      </c>
      <c r="P125" s="13">
        <f t="shared" si="87"/>
        <v>3.2492669905861755E-12</v>
      </c>
      <c r="Q125" s="20">
        <f t="shared" si="107"/>
        <v>6.0761376450252565E-12</v>
      </c>
      <c r="R125" s="59">
        <f t="shared" si="55"/>
        <v>293.3333333333394</v>
      </c>
      <c r="S125" s="59">
        <f ca="1">AVERAGE(OFFSET($R$3,0,0,'Données projet'!$E$9+1,1))-AVERAGE(OFFSET($H$3,0,0,'Données projet'!$E$9+1,1))</f>
        <v>223.99456146593315</v>
      </c>
      <c r="T125" s="59">
        <f t="shared" si="88"/>
        <v>132.73290587325937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103.36362193635203</v>
      </c>
      <c r="AA125" s="21">
        <f>EXP(-LN(2)/25)*AA124+(1-EXP(-LN(2)/25))/(LN(2)/25)*Calculateur!V125*Calculateur!X125*VLOOKUP('Données projet'!$B$9,Paramètres!$A$1:$I$89,3,0)*0.475*44/12</f>
        <v>23.185704040252904</v>
      </c>
      <c r="AB125" s="21">
        <f>EXP(-LN(2)/2)*AB124+(1-EXP(-LN(2)/2))/(LN(2)/2)*V125*Y125*VLOOKUP('Données projet'!$B$9,Paramètres!$A$1:$I$89,3,0)*0.475*44/12</f>
        <v>0.20272629136546921</v>
      </c>
      <c r="AC125" s="22">
        <f t="shared" si="57"/>
        <v>126.7520522679704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8.5265128291212022E-14</v>
      </c>
      <c r="AJ125" s="13">
        <f>AI125*VLOOKUP('Données projet'!$B$10,Paramètres!$A$1:$I$89,3,0)*VLOOKUP('Données projet'!$B$10,Paramètres!$A$1:$I$89,5,0)</f>
        <v>5.5865712056402117E-14</v>
      </c>
      <c r="AK125" s="13">
        <f t="shared" si="89"/>
        <v>8.9811031843713517E-13</v>
      </c>
      <c r="AL125" s="20">
        <f t="shared" si="58"/>
        <v>1.6615082531095774E-12</v>
      </c>
      <c r="AM125" s="59">
        <f t="shared" si="59"/>
        <v>293.33333333333496</v>
      </c>
      <c r="AN125" s="59">
        <f ca="1">AVERAGE(OFFSET($AM$3,0,0,'Données projet'!$E$10+1,1))-AVERAGE(OFFSET($H$3,0,0,'Données projet'!$E$10+1,1))</f>
        <v>244.43587473734613</v>
      </c>
      <c r="AO125" s="59">
        <f t="shared" si="90"/>
        <v>256.80261402149375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9.7795048624366991</v>
      </c>
      <c r="AV125" s="21">
        <f>EXP(-LN(2)/25)*AV124+(1-EXP(-LN(2)/25))/(LN(2)/25)*Calculateur!AQ125*Calculateur!AS125*VLOOKUP('Données projet'!$B$10,Paramètres!$A$1:$I$89,3,0)*0.475*44/12</f>
        <v>20.807681016539615</v>
      </c>
      <c r="AW125" s="21">
        <f>EXP(-LN(2)/2)*AW124+(1-EXP(-LN(2)/2))/(LN(2)/2)*AQ125*AT125*VLOOKUP('Données projet'!$B$10,Paramètres!$A$1:$I$89,3,0)*0.475*44/12</f>
        <v>4.7794016686313458E-4</v>
      </c>
      <c r="AX125" s="21">
        <f t="shared" si="60"/>
        <v>30.587663819143177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-2.2737367544323206E-13</v>
      </c>
      <c r="BE125" s="13">
        <f>BD125*VLOOKUP('Données projet'!$B$11,Paramètres!$A$1:$I$89,3,0)*VLOOKUP('Données projet'!$B$11,Paramètres!$A$1:$I$89,5,0)</f>
        <v>-1.2710188457276673E-13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430.60186171079067</v>
      </c>
      <c r="BJ125" s="59">
        <f t="shared" si="92"/>
        <v>533.76627289533985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75.802491803124724</v>
      </c>
      <c r="BQ125" s="21">
        <f>EXP(-LN(2)/25)*BQ124+(1-EXP(-LN(2)/25))/(LN(2)/25)*Calculateur!BL125*Calculateur!BN125*VLOOKUP('Données projet'!$B$11,Paramètres!$A$1:$I$89,3,0)*0.475*44/12</f>
        <v>11.547710832524167</v>
      </c>
      <c r="BR125" s="21">
        <f>EXP(-LN(2)/2)*BR124+(1-EXP(-LN(2)/2))/(LN(2)/2)*BL125*BO125*VLOOKUP('Données projet'!$B$11,Paramètres!$A$1:$I$89,3,0)*0.475*44/12</f>
        <v>2.6226439697346321E-8</v>
      </c>
      <c r="BS125" s="22">
        <f t="shared" si="63"/>
        <v>87.350202661875329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-1.69961822393816E-13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215.89467197072673</v>
      </c>
      <c r="CE125" s="59">
        <f t="shared" si="94"/>
        <v>188.21397398859534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49.706371551888374</v>
      </c>
      <c r="CL125" s="21">
        <f>EXP(-LN(2)/25)*CL124+(1-EXP(-LN(2)/25))/(LN(2)/25)*Calculateur!CG125*Calculateur!CI125*VLOOKUP('Données projet'!$B$12,Paramètres!$A$1:$I$89,3,0)*0.475*44/12</f>
        <v>8.7336031203542319</v>
      </c>
      <c r="CM125" s="21">
        <f>EXP(-LN(2)/2)*CM124+(1-EXP(-LN(2)/2))/(LN(2)/2)*CG125*CJ125*VLOOKUP('Données projet'!$B$12,Paramètres!$A$1:$I$89,3,0)*0.475*44/12</f>
        <v>1.3292778602909562E-5</v>
      </c>
      <c r="CN125" s="22">
        <f t="shared" si="66"/>
        <v>58.43998796502121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>
        <f>VLOOKUP(A125,'Données projet'!$A$139:$I$159,2,0)</f>
        <v>221.92948717948715</v>
      </c>
      <c r="CR125" s="12">
        <f>VLOOKUP(A125,'Données projet'!$A$139:$I$159,9,0)</f>
        <v>4.7948717948717956</v>
      </c>
      <c r="CS125" s="12">
        <f t="array" ref="CS125">INDEX(CR:CR,MIN(IF(ISNUMBER(CR125:CR321),ROW(CR125:CR321),"")))</f>
        <v>4.7948717948717956</v>
      </c>
      <c r="CT125" s="12">
        <f>IF('Données projet'!$A$140&gt;35,CT124+CS125-DB124,IF(A125&lt;'Données projet'!$A$140,$CQ$205^A125,IF(A125='Données projet'!$A$140,'Données projet'!$B$140,CT124+CS125-DB124)))</f>
        <v>221.9294871794873</v>
      </c>
      <c r="CU125" s="17">
        <f>CT125*VLOOKUP('Données projet'!$B$13,Paramètres!$A$1:$I$89,3,0)*VLOOKUP('Données projet'!$B$13,Paramètres!$A$1:$I$89,5,0)</f>
        <v>225.03650000000013</v>
      </c>
      <c r="CV125" s="13">
        <f t="shared" si="95"/>
        <v>55.208097883865697</v>
      </c>
      <c r="CW125" s="20">
        <f t="shared" si="67"/>
        <v>488.09267464773296</v>
      </c>
      <c r="CX125" s="59">
        <f t="shared" si="68"/>
        <v>781.42600798106628</v>
      </c>
      <c r="CY125" s="59">
        <f ca="1">AVERAGE(OFFSET($CX$3,0,0,'Données projet'!$E$13+1,1))-AVERAGE(OFFSET($H$3,0,0,'Données projet'!$E$13+1,1))</f>
        <v>342.82846711287749</v>
      </c>
      <c r="CZ125" s="59">
        <f t="shared" si="96"/>
        <v>152.87724741106297</v>
      </c>
      <c r="DA125" s="15">
        <f>IF(ISNA(VLOOKUP(A125,'Données projet'!$A$139:$I$159,3,0)),0,VLOOKUP(A125,'Données projet'!$A$139:$I$159,3,0))</f>
        <v>8</v>
      </c>
      <c r="DB125" s="15">
        <f>IF(ISNA(VLOOKUP(A125,'Données projet'!$A$139:$I$159,4,0)),0,VLOOKUP(A125,'Données projet'!$A$139:$I$159,4,0))</f>
        <v>32.333333333333329</v>
      </c>
      <c r="DC125" s="16">
        <f>IF(ISNA(VLOOKUP(A125,'Données projet'!$A$139:$I$159,5,0)),0%,VLOOKUP(A125,'Données projet'!$A$139:$I$159,5,0)*VLOOKUP('Données projet'!$B$13,Paramètres!$A$1:$I$89,7,0))</f>
        <v>0.30099999999999999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25.946439153920998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25.946439153920998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208.48147873805715</v>
      </c>
      <c r="DU125" s="59">
        <f t="shared" si="98"/>
        <v>209.50570914630686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25.320972457794937</v>
      </c>
      <c r="EB125" s="21">
        <f>EXP(-LN(2)/25)*EB124+(1-EXP(-LN(2)/25))/(LN(2)/25)*Calculateur!DW125*Calculateur!DY125*VLOOKUP('Données projet'!$B$14,Paramètres!$A$1:$I$89,3,0)*0.475*44/12</f>
        <v>5.9619285149179326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31.28290097271287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-1.7053025658242404E-13</v>
      </c>
      <c r="EK125" s="17">
        <f>EJ125*VLOOKUP('Données projet'!$B$15,Paramètres!$A$1:$I$89,3,0)*VLOOKUP('Données projet'!$B$15,Paramètres!$A$1:$I$89,5,0)</f>
        <v>-1.0197709343628959E-13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247.31680974612766</v>
      </c>
      <c r="EP125" s="59">
        <f t="shared" si="100"/>
        <v>257.13949761071882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37.997986912850394</v>
      </c>
      <c r="EW125" s="21">
        <f>EXP(-LN(2)/25)*EW124+(1-EXP(-LN(2)/25))/(LN(2)/25)*Calculateur!ER125*Calculateur!ET125*VLOOKUP('Données projet'!$B$15,Paramètres!$A$1:$I$89,3,0)*0.475*44/12</f>
        <v>6.4775671483857034</v>
      </c>
      <c r="EX125" s="21">
        <f>EXP(-LN(2)/2)*EX124+(1-EXP(-LN(2)/2))/(LN(2)/2)*ER125*EU125*VLOOKUP('Données projet'!$B$15,Paramètres!$A$1:$I$89,3,0)*0.475*44/12</f>
        <v>1.4883861173865538E-8</v>
      </c>
      <c r="EY125" s="22">
        <f t="shared" si="75"/>
        <v>44.475554076119955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21.874319999999976</v>
      </c>
      <c r="D126" s="11">
        <f t="shared" si="86"/>
        <v>7.0391179601311817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44.638290184062136</v>
      </c>
      <c r="H126" s="67">
        <f t="shared" si="56"/>
        <v>307.0242377805618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5.1159076974727213E-13</v>
      </c>
      <c r="O126" s="13">
        <f>N126*VLOOKUP('Données projet'!$B$9,Paramètres!$A$1:$I$89,3,0)*VLOOKUP('Données projet'!$B$9,Paramètres!$A$1:$I$89,5,0)</f>
        <v>2.3942448024172334E-13</v>
      </c>
      <c r="P126" s="13">
        <f t="shared" si="87"/>
        <v>3.2492669905861755E-12</v>
      </c>
      <c r="Q126" s="20">
        <f t="shared" si="107"/>
        <v>6.0761376450252565E-12</v>
      </c>
      <c r="R126" s="59">
        <f t="shared" si="55"/>
        <v>293.3333333333394</v>
      </c>
      <c r="S126" s="59">
        <f ca="1">AVERAGE(OFFSET($R$3,0,0,'Données projet'!$E$9+1,1))-AVERAGE(OFFSET($H$3,0,0,'Données projet'!$E$9+1,1))</f>
        <v>223.99456146593315</v>
      </c>
      <c r="T126" s="59">
        <f t="shared" si="88"/>
        <v>132.73290587325937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101.33672435576432</v>
      </c>
      <c r="AA126" s="21">
        <f>EXP(-LN(2)/25)*AA125+(1-EXP(-LN(2)/25))/(LN(2)/25)*Calculateur!V126*Calculateur!X126*VLOOKUP('Données projet'!$B$9,Paramètres!$A$1:$I$89,3,0)*0.475*44/12</f>
        <v>22.551689743989005</v>
      </c>
      <c r="AB126" s="21">
        <f>EXP(-LN(2)/2)*AB125+(1-EXP(-LN(2)/2))/(LN(2)/2)*V126*Y126*VLOOKUP('Données projet'!$B$9,Paramètres!$A$1:$I$89,3,0)*0.475*44/12</f>
        <v>0.14334913534932311</v>
      </c>
      <c r="AC126" s="22">
        <f t="shared" si="57"/>
        <v>124.03176323510264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8.5265128291212022E-14</v>
      </c>
      <c r="AJ126" s="13">
        <f>AI126*VLOOKUP('Données projet'!$B$10,Paramètres!$A$1:$I$89,3,0)*VLOOKUP('Données projet'!$B$10,Paramètres!$A$1:$I$89,5,0)</f>
        <v>5.5865712056402117E-14</v>
      </c>
      <c r="AK126" s="13">
        <f t="shared" si="89"/>
        <v>8.9811031843713517E-13</v>
      </c>
      <c r="AL126" s="20">
        <f t="shared" si="58"/>
        <v>1.6615082531095774E-12</v>
      </c>
      <c r="AM126" s="59">
        <f t="shared" si="59"/>
        <v>293.33333333333496</v>
      </c>
      <c r="AN126" s="59">
        <f ca="1">AVERAGE(OFFSET($AM$3,0,0,'Données projet'!$E$10+1,1))-AVERAGE(OFFSET($H$3,0,0,'Données projet'!$E$10+1,1))</f>
        <v>244.43587473734613</v>
      </c>
      <c r="AO126" s="59">
        <f t="shared" si="90"/>
        <v>256.80261402149375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9.5877347369932959</v>
      </c>
      <c r="AV126" s="21">
        <f>EXP(-LN(2)/25)*AV125+(1-EXP(-LN(2)/25))/(LN(2)/25)*Calculateur!AQ126*Calculateur!AS126*VLOOKUP('Données projet'!$B$10,Paramètres!$A$1:$I$89,3,0)*0.475*44/12</f>
        <v>20.23869388491395</v>
      </c>
      <c r="AW126" s="21">
        <f>EXP(-LN(2)/2)*AW125+(1-EXP(-LN(2)/2))/(LN(2)/2)*AQ126*AT126*VLOOKUP('Données projet'!$B$10,Paramètres!$A$1:$I$89,3,0)*0.475*44/12</f>
        <v>3.3795473299035256E-4</v>
      </c>
      <c r="AX126" s="21">
        <f t="shared" si="60"/>
        <v>29.826766576640239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-2.2737367544323206E-13</v>
      </c>
      <c r="BE126" s="13">
        <f>BD126*VLOOKUP('Données projet'!$B$11,Paramètres!$A$1:$I$89,3,0)*VLOOKUP('Données projet'!$B$11,Paramètres!$A$1:$I$89,5,0)</f>
        <v>-1.2710188457276673E-13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430.60186171079067</v>
      </c>
      <c r="BJ126" s="59">
        <f t="shared" si="92"/>
        <v>533.76627289533985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74.316051173820128</v>
      </c>
      <c r="BQ126" s="21">
        <f>EXP(-LN(2)/25)*BQ125+(1-EXP(-LN(2)/25))/(LN(2)/25)*Calculateur!BL126*Calculateur!BN126*VLOOKUP('Données projet'!$B$11,Paramètres!$A$1:$I$89,3,0)*0.475*44/12</f>
        <v>11.231938072541073</v>
      </c>
      <c r="BR126" s="21">
        <f>EXP(-LN(2)/2)*BR125+(1-EXP(-LN(2)/2))/(LN(2)/2)*BL126*BO126*VLOOKUP('Données projet'!$B$11,Paramètres!$A$1:$I$89,3,0)*0.475*44/12</f>
        <v>1.8544893356373648E-8</v>
      </c>
      <c r="BS126" s="22">
        <f t="shared" si="63"/>
        <v>85.547989264906093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-1.69961822393816E-13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215.89467197072673</v>
      </c>
      <c r="CE126" s="59">
        <f t="shared" si="94"/>
        <v>188.21397398859534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48.731659923648849</v>
      </c>
      <c r="CL126" s="21">
        <f>EXP(-LN(2)/25)*CL125+(1-EXP(-LN(2)/25))/(LN(2)/25)*Calculateur!CG126*Calculateur!CI126*VLOOKUP('Données projet'!$B$12,Paramètres!$A$1:$I$89,3,0)*0.475*44/12</f>
        <v>8.4947822837479183</v>
      </c>
      <c r="CM126" s="21">
        <f>EXP(-LN(2)/2)*CM125+(1-EXP(-LN(2)/2))/(LN(2)/2)*CG126*CJ126*VLOOKUP('Données projet'!$B$12,Paramètres!$A$1:$I$89,3,0)*0.475*44/12</f>
        <v>9.3994138909287923E-6</v>
      </c>
      <c r="CN126" s="22">
        <f t="shared" si="66"/>
        <v>57.226451606810656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4.8538461538461579</v>
      </c>
      <c r="CT126" s="12">
        <f>IF('Données projet'!$A$140&gt;35,CT125+CS126-DB125,IF(A126&lt;'Données projet'!$A$140,$CQ$205^A126,IF(A126='Données projet'!$A$140,'Données projet'!$B$140,CT125+CS126-DB125)))</f>
        <v>194.4500000000001</v>
      </c>
      <c r="CU126" s="17">
        <f>CT126*VLOOKUP('Données projet'!$B$13,Paramètres!$A$1:$I$89,3,0)*VLOOKUP('Données projet'!$B$13,Paramètres!$A$1:$I$89,5,0)</f>
        <v>197.17230000000012</v>
      </c>
      <c r="CV126" s="13">
        <f t="shared" si="95"/>
        <v>49.122210779646707</v>
      </c>
      <c r="CW126" s="20">
        <f t="shared" si="67"/>
        <v>428.96293960788489</v>
      </c>
      <c r="CX126" s="59">
        <f t="shared" si="68"/>
        <v>722.29627294121815</v>
      </c>
      <c r="CY126" s="59">
        <f ca="1">AVERAGE(OFFSET($CX$3,0,0,'Données projet'!$E$13+1,1))-AVERAGE(OFFSET($H$3,0,0,'Données projet'!$E$13+1,1))</f>
        <v>342.82846711287749</v>
      </c>
      <c r="CZ126" s="59">
        <f t="shared" si="96"/>
        <v>152.87724741106297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25.437645307877826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25.437645307877826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208.48147873805715</v>
      </c>
      <c r="DU126" s="59">
        <f t="shared" si="98"/>
        <v>209.50570914630686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24.824443632165782</v>
      </c>
      <c r="EB126" s="21">
        <f>EXP(-LN(2)/25)*EB125+(1-EXP(-LN(2)/25))/(LN(2)/25)*Calculateur!DW126*Calculateur!DY126*VLOOKUP('Données projet'!$B$14,Paramètres!$A$1:$I$89,3,0)*0.475*44/12</f>
        <v>5.798899266153307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30.623342898319088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-1.7053025658242404E-13</v>
      </c>
      <c r="EK126" s="17">
        <f>EJ126*VLOOKUP('Données projet'!$B$15,Paramètres!$A$1:$I$89,3,0)*VLOOKUP('Données projet'!$B$15,Paramètres!$A$1:$I$89,5,0)</f>
        <v>-1.0197709343628959E-13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247.31680974612766</v>
      </c>
      <c r="EP126" s="59">
        <f t="shared" si="100"/>
        <v>257.13949761071882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37.252869565972929</v>
      </c>
      <c r="EW126" s="21">
        <f>EXP(-LN(2)/25)*EW125+(1-EXP(-LN(2)/25))/(LN(2)/25)*Calculateur!ER126*Calculateur!ET126*VLOOKUP('Données projet'!$B$15,Paramètres!$A$1:$I$89,3,0)*0.475*44/12</f>
        <v>6.300437734072645</v>
      </c>
      <c r="EX126" s="21">
        <f>EXP(-LN(2)/2)*EX125+(1-EXP(-LN(2)/2))/(LN(2)/2)*ER126*EU126*VLOOKUP('Données projet'!$B$15,Paramètres!$A$1:$I$89,3,0)*0.475*44/12</f>
        <v>1.052447916627949E-8</v>
      </c>
      <c r="EY126" s="22">
        <f t="shared" si="75"/>
        <v>43.553307310570055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22.052159999999976</v>
      </c>
      <c r="D127" s="11">
        <f t="shared" si="86"/>
        <v>7.0896612974066704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44.990882003013773</v>
      </c>
      <c r="H127" s="67">
        <f t="shared" si="56"/>
        <v>307.42200542631662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5.1159076974727213E-13</v>
      </c>
      <c r="O127" s="13">
        <f>N127*VLOOKUP('Données projet'!$B$9,Paramètres!$A$1:$I$89,3,0)*VLOOKUP('Données projet'!$B$9,Paramètres!$A$1:$I$89,5,0)</f>
        <v>2.3942448024172334E-13</v>
      </c>
      <c r="P127" s="13">
        <f t="shared" si="87"/>
        <v>3.2492669905861755E-12</v>
      </c>
      <c r="Q127" s="20">
        <f t="shared" si="107"/>
        <v>6.0761376450252565E-12</v>
      </c>
      <c r="R127" s="59">
        <f t="shared" si="55"/>
        <v>293.3333333333394</v>
      </c>
      <c r="S127" s="59">
        <f ca="1">AVERAGE(OFFSET($R$3,0,0,'Données projet'!$E$9+1,1))-AVERAGE(OFFSET($H$3,0,0,'Données projet'!$E$9+1,1))</f>
        <v>223.99456146593315</v>
      </c>
      <c r="T127" s="59">
        <f t="shared" si="88"/>
        <v>132.73290587325937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99.349573000446469</v>
      </c>
      <c r="AA127" s="21">
        <f>EXP(-LN(2)/25)*AA126+(1-EXP(-LN(2)/25))/(LN(2)/25)*Calculateur!V127*Calculateur!X127*VLOOKUP('Données projet'!$B$9,Paramètres!$A$1:$I$89,3,0)*0.475*44/12</f>
        <v>21.935012601997805</v>
      </c>
      <c r="AB127" s="21">
        <f>EXP(-LN(2)/2)*AB126+(1-EXP(-LN(2)/2))/(LN(2)/2)*V127*Y127*VLOOKUP('Données projet'!$B$9,Paramètres!$A$1:$I$89,3,0)*0.475*44/12</f>
        <v>0.10136314568273461</v>
      </c>
      <c r="AC127" s="22">
        <f t="shared" si="57"/>
        <v>121.38594874812702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8.5265128291212022E-14</v>
      </c>
      <c r="AJ127" s="13">
        <f>AI127*VLOOKUP('Données projet'!$B$10,Paramètres!$A$1:$I$89,3,0)*VLOOKUP('Données projet'!$B$10,Paramètres!$A$1:$I$89,5,0)</f>
        <v>5.5865712056402117E-14</v>
      </c>
      <c r="AK127" s="13">
        <f t="shared" si="89"/>
        <v>8.9811031843713517E-13</v>
      </c>
      <c r="AL127" s="20">
        <f t="shared" si="58"/>
        <v>1.6615082531095774E-12</v>
      </c>
      <c r="AM127" s="59">
        <f t="shared" si="59"/>
        <v>293.33333333333496</v>
      </c>
      <c r="AN127" s="59">
        <f ca="1">AVERAGE(OFFSET($AM$3,0,0,'Données projet'!$E$10+1,1))-AVERAGE(OFFSET($H$3,0,0,'Données projet'!$E$10+1,1))</f>
        <v>244.43587473734613</v>
      </c>
      <c r="AO127" s="59">
        <f t="shared" si="90"/>
        <v>256.80261402149375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9.3997251067416112</v>
      </c>
      <c r="AV127" s="21">
        <f>EXP(-LN(2)/25)*AV126+(1-EXP(-LN(2)/25))/(LN(2)/25)*Calculateur!AQ127*Calculateur!AS127*VLOOKUP('Données projet'!$B$10,Paramètres!$A$1:$I$89,3,0)*0.475*44/12</f>
        <v>19.685265736324322</v>
      </c>
      <c r="AW127" s="21">
        <f>EXP(-LN(2)/2)*AW126+(1-EXP(-LN(2)/2))/(LN(2)/2)*AQ127*AT127*VLOOKUP('Données projet'!$B$10,Paramètres!$A$1:$I$89,3,0)*0.475*44/12</f>
        <v>2.3897008343156734E-4</v>
      </c>
      <c r="AX127" s="21">
        <f t="shared" si="60"/>
        <v>29.085229813149361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-2.2737367544323206E-13</v>
      </c>
      <c r="BE127" s="13">
        <f>BD127*VLOOKUP('Données projet'!$B$11,Paramètres!$A$1:$I$89,3,0)*VLOOKUP('Données projet'!$B$11,Paramètres!$A$1:$I$89,5,0)</f>
        <v>-1.2710188457276673E-13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430.60186171079067</v>
      </c>
      <c r="BJ127" s="59">
        <f t="shared" si="92"/>
        <v>533.76627289533985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72.858758738616928</v>
      </c>
      <c r="BQ127" s="21">
        <f>EXP(-LN(2)/25)*BQ126+(1-EXP(-LN(2)/25))/(LN(2)/25)*Calculateur!BL127*Calculateur!BN127*VLOOKUP('Données projet'!$B$11,Paramètres!$A$1:$I$89,3,0)*0.475*44/12</f>
        <v>10.924800135285485</v>
      </c>
      <c r="BR127" s="21">
        <f>EXP(-LN(2)/2)*BR126+(1-EXP(-LN(2)/2))/(LN(2)/2)*BL127*BO127*VLOOKUP('Données projet'!$B$11,Paramètres!$A$1:$I$89,3,0)*0.475*44/12</f>
        <v>1.311321984867316E-8</v>
      </c>
      <c r="BS127" s="22">
        <f t="shared" si="63"/>
        <v>83.78355888701563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-1.69961822393816E-13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215.89467197072673</v>
      </c>
      <c r="CE127" s="59">
        <f t="shared" si="94"/>
        <v>188.21397398859534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47.776061795923709</v>
      </c>
      <c r="CL127" s="21">
        <f>EXP(-LN(2)/25)*CL126+(1-EXP(-LN(2)/25))/(LN(2)/25)*Calculateur!CG127*Calculateur!CI127*VLOOKUP('Données projet'!$B$12,Paramètres!$A$1:$I$89,3,0)*0.475*44/12</f>
        <v>8.2624920154776458</v>
      </c>
      <c r="CM127" s="21">
        <f>EXP(-LN(2)/2)*CM126+(1-EXP(-LN(2)/2))/(LN(2)/2)*CG127*CJ127*VLOOKUP('Données projet'!$B$12,Paramètres!$A$1:$I$89,3,0)*0.475*44/12</f>
        <v>6.6463893014547809E-6</v>
      </c>
      <c r="CN127" s="22">
        <f t="shared" si="66"/>
        <v>56.038560457790659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4.8538461538461579</v>
      </c>
      <c r="CT127" s="12">
        <f>IF('Données projet'!$A$140&gt;35,CT126+CS127-DB126,IF(A127&lt;'Données projet'!$A$140,$CQ$205^A127,IF(A127='Données projet'!$A$140,'Données projet'!$B$140,CT126+CS127-DB126)))</f>
        <v>199.30384615384625</v>
      </c>
      <c r="CU127" s="17">
        <f>CT127*VLOOKUP('Données projet'!$B$13,Paramètres!$A$1:$I$89,3,0)*VLOOKUP('Données projet'!$B$13,Paramètres!$A$1:$I$89,5,0)</f>
        <v>202.09410000000011</v>
      </c>
      <c r="CV127" s="13">
        <f t="shared" si="95"/>
        <v>50.204108159851529</v>
      </c>
      <c r="CW127" s="20">
        <f t="shared" si="67"/>
        <v>439.41937921174161</v>
      </c>
      <c r="CX127" s="59">
        <f t="shared" si="68"/>
        <v>732.75271254507493</v>
      </c>
      <c r="CY127" s="59">
        <f ca="1">AVERAGE(OFFSET($CX$3,0,0,'Données projet'!$E$13+1,1))-AVERAGE(OFFSET($H$3,0,0,'Données projet'!$E$13+1,1))</f>
        <v>342.82846711287749</v>
      </c>
      <c r="CZ127" s="59">
        <f t="shared" si="96"/>
        <v>152.87724741106297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24.938828598821956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24.938828598821956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208.48147873805715</v>
      </c>
      <c r="DU127" s="59">
        <f t="shared" si="98"/>
        <v>209.50570914630686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24.337651433954537</v>
      </c>
      <c r="EB127" s="21">
        <f>EXP(-LN(2)/25)*EB126+(1-EXP(-LN(2)/25))/(LN(2)/25)*Calculateur!DW127*Calculateur!DY127*VLOOKUP('Données projet'!$B$14,Paramètres!$A$1:$I$89,3,0)*0.475*44/12</f>
        <v>5.6403280607694857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29.977979494724025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-1.7053025658242404E-13</v>
      </c>
      <c r="EK127" s="17">
        <f>EJ127*VLOOKUP('Données projet'!$B$15,Paramètres!$A$1:$I$89,3,0)*VLOOKUP('Données projet'!$B$15,Paramètres!$A$1:$I$89,5,0)</f>
        <v>-1.0197709343628959E-13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247.31680974612766</v>
      </c>
      <c r="EP127" s="59">
        <f t="shared" si="100"/>
        <v>257.13949761071882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36.522363515791021</v>
      </c>
      <c r="EW127" s="21">
        <f>EXP(-LN(2)/25)*EW126+(1-EXP(-LN(2)/25))/(LN(2)/25)*Calculateur!ER127*Calculateur!ET127*VLOOKUP('Données projet'!$B$15,Paramètres!$A$1:$I$89,3,0)*0.475*44/12</f>
        <v>6.1281519329088079</v>
      </c>
      <c r="EX127" s="21">
        <f>EXP(-LN(2)/2)*EX126+(1-EXP(-LN(2)/2))/(LN(2)/2)*ER127*EU127*VLOOKUP('Données projet'!$B$15,Paramètres!$A$1:$I$89,3,0)*0.475*44/12</f>
        <v>7.4419305869327706E-9</v>
      </c>
      <c r="EY127" s="22">
        <f t="shared" si="75"/>
        <v>42.650515456141761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22.229999999999976</v>
      </c>
      <c r="D128" s="11">
        <f t="shared" si="86"/>
        <v>7.1401572108804343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45.343400606271523</v>
      </c>
      <c r="H128" s="67">
        <f t="shared" si="56"/>
        <v>307.81969047561671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5.1159076974727213E-13</v>
      </c>
      <c r="O128" s="13">
        <f>N128*VLOOKUP('Données projet'!$B$9,Paramètres!$A$1:$I$89,3,0)*VLOOKUP('Données projet'!$B$9,Paramètres!$A$1:$I$89,5,0)</f>
        <v>2.3942448024172334E-13</v>
      </c>
      <c r="P128" s="13">
        <f t="shared" si="87"/>
        <v>3.2492669905861755E-12</v>
      </c>
      <c r="Q128" s="20">
        <f t="shared" si="107"/>
        <v>6.0761376450252565E-12</v>
      </c>
      <c r="R128" s="59">
        <f t="shared" si="55"/>
        <v>293.3333333333394</v>
      </c>
      <c r="S128" s="59">
        <f ca="1">AVERAGE(OFFSET($R$3,0,0,'Données projet'!$E$9+1,1))-AVERAGE(OFFSET($H$3,0,0,'Données projet'!$E$9+1,1))</f>
        <v>223.99456146593315</v>
      </c>
      <c r="T128" s="59">
        <f t="shared" si="88"/>
        <v>132.73290587325937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97.401388471163756</v>
      </c>
      <c r="AA128" s="21">
        <f>EXP(-LN(2)/25)*AA127+(1-EXP(-LN(2)/25))/(LN(2)/25)*Calculateur!V128*Calculateur!X128*VLOOKUP('Données projet'!$B$9,Paramètres!$A$1:$I$89,3,0)*0.475*44/12</f>
        <v>21.335198528883996</v>
      </c>
      <c r="AB128" s="21">
        <f>EXP(-LN(2)/2)*AB127+(1-EXP(-LN(2)/2))/(LN(2)/2)*V128*Y128*VLOOKUP('Données projet'!$B$9,Paramètres!$A$1:$I$89,3,0)*0.475*44/12</f>
        <v>7.1674567674661557E-2</v>
      </c>
      <c r="AC128" s="22">
        <f t="shared" si="57"/>
        <v>118.80826156772241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8.5265128291212022E-14</v>
      </c>
      <c r="AJ128" s="13">
        <f>AI128*VLOOKUP('Données projet'!$B$10,Paramètres!$A$1:$I$89,3,0)*VLOOKUP('Données projet'!$B$10,Paramètres!$A$1:$I$89,5,0)</f>
        <v>5.5865712056402117E-14</v>
      </c>
      <c r="AK128" s="13">
        <f t="shared" si="89"/>
        <v>8.9811031843713517E-13</v>
      </c>
      <c r="AL128" s="20">
        <f t="shared" si="58"/>
        <v>1.6615082531095774E-12</v>
      </c>
      <c r="AM128" s="59">
        <f t="shared" si="59"/>
        <v>293.33333333333496</v>
      </c>
      <c r="AN128" s="59">
        <f ca="1">AVERAGE(OFFSET($AM$3,0,0,'Données projet'!$E$10+1,1))-AVERAGE(OFFSET($H$3,0,0,'Données projet'!$E$10+1,1))</f>
        <v>244.43587473734613</v>
      </c>
      <c r="AO128" s="59">
        <f t="shared" si="90"/>
        <v>256.80261402149375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9.2154022306646102</v>
      </c>
      <c r="AV128" s="21">
        <f>EXP(-LN(2)/25)*AV127+(1-EXP(-LN(2)/25))/(LN(2)/25)*Calculateur!AQ128*Calculateur!AS128*VLOOKUP('Données projet'!$B$10,Paramètres!$A$1:$I$89,3,0)*0.475*44/12</f>
        <v>19.146971109561399</v>
      </c>
      <c r="AW128" s="21">
        <f>EXP(-LN(2)/2)*AW127+(1-EXP(-LN(2)/2))/(LN(2)/2)*AQ128*AT128*VLOOKUP('Données projet'!$B$10,Paramètres!$A$1:$I$89,3,0)*0.475*44/12</f>
        <v>1.6897736649517631E-4</v>
      </c>
      <c r="AX128" s="21">
        <f t="shared" si="60"/>
        <v>28.362542317592503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-2.2737367544323206E-13</v>
      </c>
      <c r="BE128" s="13">
        <f>BD128*VLOOKUP('Données projet'!$B$11,Paramètres!$A$1:$I$89,3,0)*VLOOKUP('Données projet'!$B$11,Paramètres!$A$1:$I$89,5,0)</f>
        <v>-1.2710188457276673E-13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430.60186171079067</v>
      </c>
      <c r="BJ128" s="59">
        <f t="shared" si="92"/>
        <v>533.76627289533985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71.430042919207452</v>
      </c>
      <c r="BQ128" s="21">
        <f>EXP(-LN(2)/25)*BQ127+(1-EXP(-LN(2)/25))/(LN(2)/25)*Calculateur!BL128*Calculateur!BN128*VLOOKUP('Données projet'!$B$11,Paramètres!$A$1:$I$89,3,0)*0.475*44/12</f>
        <v>10.626060901075833</v>
      </c>
      <c r="BR128" s="21">
        <f>EXP(-LN(2)/2)*BR127+(1-EXP(-LN(2)/2))/(LN(2)/2)*BL128*BO128*VLOOKUP('Données projet'!$B$11,Paramètres!$A$1:$I$89,3,0)*0.475*44/12</f>
        <v>9.2724466781868241E-9</v>
      </c>
      <c r="BS128" s="22">
        <f t="shared" si="63"/>
        <v>82.056103829555724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-1.69961822393816E-13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215.89467197072673</v>
      </c>
      <c r="CE128" s="59">
        <f t="shared" si="94"/>
        <v>188.21397398859534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46.839202364625955</v>
      </c>
      <c r="CL128" s="21">
        <f>EXP(-LN(2)/25)*CL127+(1-EXP(-LN(2)/25))/(LN(2)/25)*Calculateur!CG128*Calculateur!CI128*VLOOKUP('Données projet'!$B$12,Paramètres!$A$1:$I$89,3,0)*0.475*44/12</f>
        <v>8.0365537368088393</v>
      </c>
      <c r="CM128" s="21">
        <f>EXP(-LN(2)/2)*CM127+(1-EXP(-LN(2)/2))/(LN(2)/2)*CG128*CJ128*VLOOKUP('Données projet'!$B$12,Paramètres!$A$1:$I$89,3,0)*0.475*44/12</f>
        <v>4.6997069454643962E-6</v>
      </c>
      <c r="CN128" s="22">
        <f t="shared" si="66"/>
        <v>54.875760801141745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4.8538461538461579</v>
      </c>
      <c r="CT128" s="12">
        <f>IF('Données projet'!$A$140&gt;35,CT127+CS128-DB127,IF(A128&lt;'Données projet'!$A$140,$CQ$205^A128,IF(A128='Données projet'!$A$140,'Données projet'!$B$140,CT127+CS128-DB127)))</f>
        <v>204.1576923076924</v>
      </c>
      <c r="CU128" s="17">
        <f>CT128*VLOOKUP('Données projet'!$B$13,Paramètres!$A$1:$I$89,3,0)*VLOOKUP('Données projet'!$B$13,Paramètres!$A$1:$I$89,5,0)</f>
        <v>207.01590000000013</v>
      </c>
      <c r="CV128" s="13">
        <f t="shared" si="95"/>
        <v>51.28294259415523</v>
      </c>
      <c r="CW128" s="20">
        <f t="shared" si="67"/>
        <v>449.87048418482055</v>
      </c>
      <c r="CX128" s="59">
        <f t="shared" si="68"/>
        <v>743.20381751815387</v>
      </c>
      <c r="CY128" s="59">
        <f ca="1">AVERAGE(OFFSET($CX$3,0,0,'Données projet'!$E$13+1,1))-AVERAGE(OFFSET($H$3,0,0,'Données projet'!$E$13+1,1))</f>
        <v>342.82846711287749</v>
      </c>
      <c r="CZ128" s="59">
        <f t="shared" si="96"/>
        <v>152.87724741106297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24.449793381182523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24.449793381182523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208.48147873805715</v>
      </c>
      <c r="DU128" s="59">
        <f t="shared" si="98"/>
        <v>209.50570914630686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23.860404933836289</v>
      </c>
      <c r="EB128" s="21">
        <f>EXP(-LN(2)/25)*EB127+(1-EXP(-LN(2)/25))/(LN(2)/25)*Calculateur!DW128*Calculateur!DY128*VLOOKUP('Données projet'!$B$14,Paramètres!$A$1:$I$89,3,0)*0.475*44/12</f>
        <v>5.4860929933357827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29.346497927172074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-1.7053025658242404E-13</v>
      </c>
      <c r="EK128" s="17">
        <f>EJ128*VLOOKUP('Données projet'!$B$15,Paramètres!$A$1:$I$89,3,0)*VLOOKUP('Données projet'!$B$15,Paramètres!$A$1:$I$89,5,0)</f>
        <v>-1.0197709343628959E-13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247.31680974612766</v>
      </c>
      <c r="EP128" s="59">
        <f t="shared" si="100"/>
        <v>257.13949761071882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35.80618224368849</v>
      </c>
      <c r="EW128" s="21">
        <f>EXP(-LN(2)/25)*EW127+(1-EXP(-LN(2)/25))/(LN(2)/25)*Calculateur!ER128*Calculateur!ET128*VLOOKUP('Données projet'!$B$15,Paramètres!$A$1:$I$89,3,0)*0.475*44/12</f>
        <v>5.9605772960379122</v>
      </c>
      <c r="EX128" s="21">
        <f>EXP(-LN(2)/2)*EX127+(1-EXP(-LN(2)/2))/(LN(2)/2)*ER128*EU128*VLOOKUP('Données projet'!$B$15,Paramètres!$A$1:$I$89,3,0)*0.475*44/12</f>
        <v>5.262239583139746E-9</v>
      </c>
      <c r="EY128" s="22">
        <f t="shared" si="75"/>
        <v>41.766759544988638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22.407839999999975</v>
      </c>
      <c r="D129" s="11">
        <f t="shared" si="86"/>
        <v>7.1906061239158392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45.695846647448974</v>
      </c>
      <c r="H129" s="67">
        <f t="shared" si="56"/>
        <v>308.21729366582008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5.1159076974727213E-13</v>
      </c>
      <c r="O129" s="13">
        <f>N129*VLOOKUP('Données projet'!$B$9,Paramètres!$A$1:$I$89,3,0)*VLOOKUP('Données projet'!$B$9,Paramètres!$A$1:$I$89,5,0)</f>
        <v>2.3942448024172334E-13</v>
      </c>
      <c r="P129" s="13">
        <f t="shared" si="87"/>
        <v>3.2492669905861755E-12</v>
      </c>
      <c r="Q129" s="20">
        <f t="shared" si="107"/>
        <v>6.0761376450252565E-12</v>
      </c>
      <c r="R129" s="59">
        <f t="shared" si="55"/>
        <v>293.3333333333394</v>
      </c>
      <c r="S129" s="59">
        <f ca="1">AVERAGE(OFFSET($R$3,0,0,'Données projet'!$E$9+1,1))-AVERAGE(OFFSET($H$3,0,0,'Données projet'!$E$9+1,1))</f>
        <v>223.99456146593315</v>
      </c>
      <c r="T129" s="59">
        <f t="shared" si="88"/>
        <v>132.73290587325937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95.491406652225052</v>
      </c>
      <c r="AA129" s="21">
        <f>EXP(-LN(2)/25)*AA128+(1-EXP(-LN(2)/25))/(LN(2)/25)*Calculateur!V129*Calculateur!X129*VLOOKUP('Données projet'!$B$9,Paramètres!$A$1:$I$89,3,0)*0.475*44/12</f>
        <v>20.751786403142336</v>
      </c>
      <c r="AB129" s="21">
        <f>EXP(-LN(2)/2)*AB128+(1-EXP(-LN(2)/2))/(LN(2)/2)*V129*Y129*VLOOKUP('Données projet'!$B$9,Paramètres!$A$1:$I$89,3,0)*0.475*44/12</f>
        <v>5.0681572841367303E-2</v>
      </c>
      <c r="AC129" s="22">
        <f t="shared" si="57"/>
        <v>116.29387462820875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8.5265128291212022E-14</v>
      </c>
      <c r="AJ129" s="13">
        <f>AI129*VLOOKUP('Données projet'!$B$10,Paramètres!$A$1:$I$89,3,0)*VLOOKUP('Données projet'!$B$10,Paramètres!$A$1:$I$89,5,0)</f>
        <v>5.5865712056402117E-14</v>
      </c>
      <c r="AK129" s="13">
        <f t="shared" si="89"/>
        <v>8.9811031843713517E-13</v>
      </c>
      <c r="AL129" s="20">
        <f t="shared" si="58"/>
        <v>1.6615082531095774E-12</v>
      </c>
      <c r="AM129" s="59">
        <f t="shared" si="59"/>
        <v>293.33333333333496</v>
      </c>
      <c r="AN129" s="59">
        <f ca="1">AVERAGE(OFFSET($AM$3,0,0,'Données projet'!$E$10+1,1))-AVERAGE(OFFSET($H$3,0,0,'Données projet'!$E$10+1,1))</f>
        <v>244.43587473734613</v>
      </c>
      <c r="AO129" s="59">
        <f t="shared" si="90"/>
        <v>256.80261402149375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9.0346938137616259</v>
      </c>
      <c r="AV129" s="21">
        <f>EXP(-LN(2)/25)*AV128+(1-EXP(-LN(2)/25))/(LN(2)/25)*Calculateur!AQ129*Calculateur!AS129*VLOOKUP('Données projet'!$B$10,Paramètres!$A$1:$I$89,3,0)*0.475*44/12</f>
        <v>18.623396177674994</v>
      </c>
      <c r="AW129" s="21">
        <f>EXP(-LN(2)/2)*AW128+(1-EXP(-LN(2)/2))/(LN(2)/2)*AQ129*AT129*VLOOKUP('Données projet'!$B$10,Paramètres!$A$1:$I$89,3,0)*0.475*44/12</f>
        <v>1.1948504171578369E-4</v>
      </c>
      <c r="AX129" s="21">
        <f t="shared" si="60"/>
        <v>27.658209476478333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-2.2737367544323206E-13</v>
      </c>
      <c r="BE129" s="13">
        <f>BD129*VLOOKUP('Données projet'!$B$11,Paramètres!$A$1:$I$89,3,0)*VLOOKUP('Données projet'!$B$11,Paramètres!$A$1:$I$89,5,0)</f>
        <v>-1.2710188457276673E-13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430.60186171079067</v>
      </c>
      <c r="BJ129" s="59">
        <f t="shared" si="92"/>
        <v>533.76627289533985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70.029343345585986</v>
      </c>
      <c r="BQ129" s="21">
        <f>EXP(-LN(2)/25)*BQ128+(1-EXP(-LN(2)/25))/(LN(2)/25)*Calculateur!BL129*Calculateur!BN129*VLOOKUP('Données projet'!$B$11,Paramètres!$A$1:$I$89,3,0)*0.475*44/12</f>
        <v>10.335490706935659</v>
      </c>
      <c r="BR129" s="21">
        <f>EXP(-LN(2)/2)*BR128+(1-EXP(-LN(2)/2))/(LN(2)/2)*BL129*BO129*VLOOKUP('Données projet'!$B$11,Paramètres!$A$1:$I$89,3,0)*0.475*44/12</f>
        <v>6.5566099243365802E-9</v>
      </c>
      <c r="BS129" s="22">
        <f t="shared" si="63"/>
        <v>80.364834059078248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-1.69961822393816E-13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215.89467197072673</v>
      </c>
      <c r="CE129" s="59">
        <f t="shared" si="94"/>
        <v>188.21397398859534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45.920714175348117</v>
      </c>
      <c r="CL129" s="21">
        <f>EXP(-LN(2)/25)*CL128+(1-EXP(-LN(2)/25))/(LN(2)/25)*Calculateur!CG129*Calculateur!CI129*VLOOKUP('Données projet'!$B$12,Paramètres!$A$1:$I$89,3,0)*0.475*44/12</f>
        <v>7.8167937522518081</v>
      </c>
      <c r="CM129" s="21">
        <f>EXP(-LN(2)/2)*CM128+(1-EXP(-LN(2)/2))/(LN(2)/2)*CG129*CJ129*VLOOKUP('Données projet'!$B$12,Paramètres!$A$1:$I$89,3,0)*0.475*44/12</f>
        <v>3.3231946507273905E-6</v>
      </c>
      <c r="CN129" s="22">
        <f t="shared" si="66"/>
        <v>53.737511250794569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4.8538461538461579</v>
      </c>
      <c r="CT129" s="12">
        <f>IF('Données projet'!$A$140&gt;35,CT128+CS129-DB128,IF(A129&lt;'Données projet'!$A$140,$CQ$205^A129,IF(A129='Données projet'!$A$140,'Données projet'!$B$140,CT128+CS129-DB128)))</f>
        <v>209.01153846153855</v>
      </c>
      <c r="CU129" s="17">
        <f>CT129*VLOOKUP('Données projet'!$B$13,Paramètres!$A$1:$I$89,3,0)*VLOOKUP('Données projet'!$B$13,Paramètres!$A$1:$I$89,5,0)</f>
        <v>211.93770000000012</v>
      </c>
      <c r="CV129" s="13">
        <f t="shared" si="95"/>
        <v>52.35879528355197</v>
      </c>
      <c r="CW129" s="20">
        <f t="shared" si="67"/>
        <v>460.3163959521865</v>
      </c>
      <c r="CX129" s="59">
        <f t="shared" si="68"/>
        <v>753.64972928551981</v>
      </c>
      <c r="CY129" s="59">
        <f ca="1">AVERAGE(OFFSET($CX$3,0,0,'Données projet'!$E$13+1,1))-AVERAGE(OFFSET($H$3,0,0,'Données projet'!$E$13+1,1))</f>
        <v>342.82846711287749</v>
      </c>
      <c r="CZ129" s="59">
        <f t="shared" si="96"/>
        <v>152.87724741106297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23.970347845878969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23.970347845878969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208.48147873805715</v>
      </c>
      <c r="DU129" s="59">
        <f t="shared" si="98"/>
        <v>209.50570914630686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23.392516946493739</v>
      </c>
      <c r="EB129" s="21">
        <f>EXP(-LN(2)/25)*EB128+(1-EXP(-LN(2)/25))/(LN(2)/25)*Calculateur!DW129*Calculateur!DY129*VLOOKUP('Données projet'!$B$14,Paramètres!$A$1:$I$89,3,0)*0.475*44/12</f>
        <v>5.3360754919319238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28.728592438425665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-1.7053025658242404E-13</v>
      </c>
      <c r="EK129" s="17">
        <f>EJ129*VLOOKUP('Données projet'!$B$15,Paramètres!$A$1:$I$89,3,0)*VLOOKUP('Données projet'!$B$15,Paramètres!$A$1:$I$89,5,0)</f>
        <v>-1.0197709343628959E-13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247.31680974612766</v>
      </c>
      <c r="EP129" s="59">
        <f t="shared" si="100"/>
        <v>257.13949761071882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35.104044849504447</v>
      </c>
      <c r="EW129" s="21">
        <f>EXP(-LN(2)/25)*EW128+(1-EXP(-LN(2)/25))/(LN(2)/25)*Calculateur!ER129*Calculateur!ET129*VLOOKUP('Données projet'!$B$15,Paramètres!$A$1:$I$89,3,0)*0.475*44/12</f>
        <v>5.7975849964246189</v>
      </c>
      <c r="EX129" s="21">
        <f>EXP(-LN(2)/2)*EX128+(1-EXP(-LN(2)/2))/(LN(2)/2)*ER129*EU129*VLOOKUP('Données projet'!$B$15,Paramètres!$A$1:$I$89,3,0)*0.475*44/12</f>
        <v>3.7209652934663857E-9</v>
      </c>
      <c r="EY129" s="22">
        <f t="shared" si="75"/>
        <v>40.901629849650028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22.585679999999975</v>
      </c>
      <c r="D130" s="11">
        <f t="shared" si="86"/>
        <v>7.2410084527681828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46.048220769185924</v>
      </c>
      <c r="H130" s="67">
        <f t="shared" si="56"/>
        <v>308.61481572190456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5.1159076974727213E-13</v>
      </c>
      <c r="O130" s="13">
        <f>N130*VLOOKUP('Données projet'!$B$9,Paramètres!$A$1:$I$89,3,0)*VLOOKUP('Données projet'!$B$9,Paramètres!$A$1:$I$89,5,0)</f>
        <v>2.3942448024172334E-13</v>
      </c>
      <c r="P130" s="13">
        <f t="shared" si="87"/>
        <v>3.2492669905861755E-12</v>
      </c>
      <c r="Q130" s="20">
        <f t="shared" si="107"/>
        <v>6.0761376450252565E-12</v>
      </c>
      <c r="R130" s="59">
        <f t="shared" si="55"/>
        <v>293.3333333333394</v>
      </c>
      <c r="S130" s="59">
        <f ca="1">AVERAGE(OFFSET($R$3,0,0,'Données projet'!$E$9+1,1))-AVERAGE(OFFSET($H$3,0,0,'Données projet'!$E$9+1,1))</f>
        <v>223.99456146593315</v>
      </c>
      <c r="T130" s="59">
        <f t="shared" si="88"/>
        <v>132.73290587325937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93.618878411781864</v>
      </c>
      <c r="AA130" s="21">
        <f>EXP(-LN(2)/25)*AA129+(1-EXP(-LN(2)/25))/(LN(2)/25)*Calculateur!V130*Calculateur!X130*VLOOKUP('Données projet'!$B$9,Paramètres!$A$1:$I$89,3,0)*0.475*44/12</f>
        <v>20.184327712659393</v>
      </c>
      <c r="AB130" s="21">
        <f>EXP(-LN(2)/2)*AB129+(1-EXP(-LN(2)/2))/(LN(2)/2)*V130*Y130*VLOOKUP('Données projet'!$B$9,Paramètres!$A$1:$I$89,3,0)*0.475*44/12</f>
        <v>3.5837283837330779E-2</v>
      </c>
      <c r="AC130" s="22">
        <f t="shared" si="57"/>
        <v>113.83904340827858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8.5265128291212022E-14</v>
      </c>
      <c r="AJ130" s="13">
        <f>AI130*VLOOKUP('Données projet'!$B$10,Paramètres!$A$1:$I$89,3,0)*VLOOKUP('Données projet'!$B$10,Paramètres!$A$1:$I$89,5,0)</f>
        <v>5.5865712056402117E-14</v>
      </c>
      <c r="AK130" s="13">
        <f t="shared" si="89"/>
        <v>8.9811031843713517E-13</v>
      </c>
      <c r="AL130" s="20">
        <f t="shared" si="58"/>
        <v>1.6615082531095774E-12</v>
      </c>
      <c r="AM130" s="59">
        <f t="shared" si="59"/>
        <v>293.33333333333496</v>
      </c>
      <c r="AN130" s="59">
        <f ca="1">AVERAGE(OFFSET($AM$3,0,0,'Données projet'!$E$10+1,1))-AVERAGE(OFFSET($H$3,0,0,'Données projet'!$E$10+1,1))</f>
        <v>244.43587473734613</v>
      </c>
      <c r="AO130" s="59">
        <f t="shared" si="90"/>
        <v>256.80261402149375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8.8575289786928586</v>
      </c>
      <c r="AV130" s="21">
        <f>EXP(-LN(2)/25)*AV129+(1-EXP(-LN(2)/25))/(LN(2)/25)*Calculateur!AQ130*Calculateur!AS130*VLOOKUP('Données projet'!$B$10,Paramètres!$A$1:$I$89,3,0)*0.475*44/12</f>
        <v>18.114138429834632</v>
      </c>
      <c r="AW130" s="21">
        <f>EXP(-LN(2)/2)*AW129+(1-EXP(-LN(2)/2))/(LN(2)/2)*AQ130*AT130*VLOOKUP('Données projet'!$B$10,Paramètres!$A$1:$I$89,3,0)*0.475*44/12</f>
        <v>8.4488683247588167E-5</v>
      </c>
      <c r="AX130" s="21">
        <f t="shared" si="60"/>
        <v>26.971751897210737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-2.2737367544323206E-13</v>
      </c>
      <c r="BE130" s="13">
        <f>BD130*VLOOKUP('Données projet'!$B$11,Paramètres!$A$1:$I$89,3,0)*VLOOKUP('Données projet'!$B$11,Paramètres!$A$1:$I$89,5,0)</f>
        <v>-1.2710188457276673E-13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430.60186171079067</v>
      </c>
      <c r="BJ130" s="59">
        <f t="shared" si="92"/>
        <v>533.76627289533985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68.656110636260863</v>
      </c>
      <c r="BQ130" s="21">
        <f>EXP(-LN(2)/25)*BQ129+(1-EXP(-LN(2)/25))/(LN(2)/25)*Calculateur!BL130*Calculateur!BN130*VLOOKUP('Données projet'!$B$11,Paramètres!$A$1:$I$89,3,0)*0.475*44/12</f>
        <v>10.052866170034669</v>
      </c>
      <c r="BR130" s="21">
        <f>EXP(-LN(2)/2)*BR129+(1-EXP(-LN(2)/2))/(LN(2)/2)*BL130*BO130*VLOOKUP('Données projet'!$B$11,Paramètres!$A$1:$I$89,3,0)*0.475*44/12</f>
        <v>4.636223339093412E-9</v>
      </c>
      <c r="BS130" s="22">
        <f t="shared" si="63"/>
        <v>78.708976810931759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-1.69961822393816E-13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215.89467197072673</v>
      </c>
      <c r="CE130" s="59">
        <f t="shared" si="94"/>
        <v>188.21397398859534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45.020236979239542</v>
      </c>
      <c r="CL130" s="21">
        <f>EXP(-LN(2)/25)*CL129+(1-EXP(-LN(2)/25))/(LN(2)/25)*Calculateur!CG130*Calculateur!CI130*VLOOKUP('Données projet'!$B$12,Paramètres!$A$1:$I$89,3,0)*0.475*44/12</f>
        <v>7.6030431160291645</v>
      </c>
      <c r="CM130" s="21">
        <f>EXP(-LN(2)/2)*CM129+(1-EXP(-LN(2)/2))/(LN(2)/2)*CG130*CJ130*VLOOKUP('Données projet'!$B$12,Paramètres!$A$1:$I$89,3,0)*0.475*44/12</f>
        <v>2.3498534727321981E-6</v>
      </c>
      <c r="CN130" s="22">
        <f t="shared" si="66"/>
        <v>52.623282445122179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4.8538461538461579</v>
      </c>
      <c r="CT130" s="12">
        <f>IF('Données projet'!$A$140&gt;35,CT129+CS130-DB129,IF(A130&lt;'Données projet'!$A$140,$CQ$205^A130,IF(A130='Données projet'!$A$140,'Données projet'!$B$140,CT129+CS130-DB129)))</f>
        <v>213.8653846153847</v>
      </c>
      <c r="CU130" s="17">
        <f>CT130*VLOOKUP('Données projet'!$B$13,Paramètres!$A$1:$I$89,3,0)*VLOOKUP('Données projet'!$B$13,Paramètres!$A$1:$I$89,5,0)</f>
        <v>216.85950000000008</v>
      </c>
      <c r="CV130" s="13">
        <f t="shared" si="95"/>
        <v>53.431743442409875</v>
      </c>
      <c r="CW130" s="20">
        <f t="shared" si="67"/>
        <v>470.75724899553057</v>
      </c>
      <c r="CX130" s="59">
        <f t="shared" si="68"/>
        <v>764.09058232886389</v>
      </c>
      <c r="CY130" s="59">
        <f ca="1">AVERAGE(OFFSET($CX$3,0,0,'Données projet'!$E$13+1,1))-AVERAGE(OFFSET($H$3,0,0,'Données projet'!$E$13+1,1))</f>
        <v>342.82846711287749</v>
      </c>
      <c r="CZ130" s="59">
        <f t="shared" si="96"/>
        <v>152.87724741106297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23.500303945089819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23.500303945089819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208.48147873805715</v>
      </c>
      <c r="DU130" s="59">
        <f t="shared" si="98"/>
        <v>209.50570914630686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22.933803957199483</v>
      </c>
      <c r="EB130" s="21">
        <f>EXP(-LN(2)/25)*EB129+(1-EXP(-LN(2)/25))/(LN(2)/25)*Calculateur!DW130*Calculateur!DY130*VLOOKUP('Données projet'!$B$14,Paramètres!$A$1:$I$89,3,0)*0.475*44/12</f>
        <v>5.1901602269930311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28.123964184192516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-1.7053025658242404E-13</v>
      </c>
      <c r="EK130" s="17">
        <f>EJ130*VLOOKUP('Données projet'!$B$15,Paramètres!$A$1:$I$89,3,0)*VLOOKUP('Données projet'!$B$15,Paramètres!$A$1:$I$89,5,0)</f>
        <v>-1.0197709343628959E-13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247.31680974612766</v>
      </c>
      <c r="EP130" s="59">
        <f t="shared" si="100"/>
        <v>257.13949761071882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34.415675941358828</v>
      </c>
      <c r="EW130" s="21">
        <f>EXP(-LN(2)/25)*EW129+(1-EXP(-LN(2)/25))/(LN(2)/25)*Calculateur!ER130*Calculateur!ET130*VLOOKUP('Données projet'!$B$15,Paramètres!$A$1:$I$89,3,0)*0.475*44/12</f>
        <v>5.6390497298156435</v>
      </c>
      <c r="EX130" s="21">
        <f>EXP(-LN(2)/2)*EX129+(1-EXP(-LN(2)/2))/(LN(2)/2)*ER130*EU130*VLOOKUP('Données projet'!$B$15,Paramètres!$A$1:$I$89,3,0)*0.475*44/12</f>
        <v>2.6311197915698734E-9</v>
      </c>
      <c r="EY130" s="22">
        <f t="shared" si="75"/>
        <v>40.054725673805592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22.763519999999975</v>
      </c>
      <c r="D131" s="11">
        <f t="shared" si="86"/>
        <v>7.2913646067589815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46.400523603417334</v>
      </c>
      <c r="H131" s="67">
        <f t="shared" si="56"/>
        <v>309.0122573567719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5.1159076974727213E-13</v>
      </c>
      <c r="O131" s="13">
        <f>N131*VLOOKUP('Données projet'!$B$9,Paramètres!$A$1:$I$89,3,0)*VLOOKUP('Données projet'!$B$9,Paramètres!$A$1:$I$89,5,0)</f>
        <v>2.3942448024172334E-13</v>
      </c>
      <c r="P131" s="13">
        <f t="shared" si="87"/>
        <v>3.2492669905861755E-12</v>
      </c>
      <c r="Q131" s="20">
        <f t="shared" ref="Q131:Q153" si="108">(O131+P131)*0.475*44/12</f>
        <v>6.0761376450252565E-12</v>
      </c>
      <c r="R131" s="59">
        <f t="shared" ref="R131:R194" si="109">Q131+(I131+J131)*44/12</f>
        <v>293.3333333333394</v>
      </c>
      <c r="S131" s="59">
        <f ca="1">AVERAGE(OFFSET($R$3,0,0,'Données projet'!$E$9+1,1))-AVERAGE(OFFSET($H$3,0,0,'Données projet'!$E$9+1,1))</f>
        <v>223.99456146593315</v>
      </c>
      <c r="T131" s="59">
        <f t="shared" si="88"/>
        <v>132.73290587325937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91.783069308004315</v>
      </c>
      <c r="AA131" s="21">
        <f>EXP(-LN(2)/25)*AA130+(1-EXP(-LN(2)/25))/(LN(2)/25)*Calculateur!V131*Calculateur!X131*VLOOKUP('Données projet'!$B$9,Paramètres!$A$1:$I$89,3,0)*0.475*44/12</f>
        <v>19.632386209909058</v>
      </c>
      <c r="AB131" s="21">
        <f>EXP(-LN(2)/2)*AB130+(1-EXP(-LN(2)/2))/(LN(2)/2)*V131*Y131*VLOOKUP('Données projet'!$B$9,Paramètres!$A$1:$I$89,3,0)*0.475*44/12</f>
        <v>2.5340786420683652E-2</v>
      </c>
      <c r="AC131" s="22">
        <f t="shared" si="57"/>
        <v>111.44079630433406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8.5265128291212022E-14</v>
      </c>
      <c r="AJ131" s="13">
        <f>AI131*VLOOKUP('Données projet'!$B$10,Paramètres!$A$1:$I$89,3,0)*VLOOKUP('Données projet'!$B$10,Paramètres!$A$1:$I$89,5,0)</f>
        <v>5.5865712056402117E-14</v>
      </c>
      <c r="AK131" s="13">
        <f t="shared" si="89"/>
        <v>8.9811031843713517E-13</v>
      </c>
      <c r="AL131" s="20">
        <f t="shared" si="58"/>
        <v>1.6615082531095774E-12</v>
      </c>
      <c r="AM131" s="59">
        <f t="shared" si="59"/>
        <v>293.33333333333496</v>
      </c>
      <c r="AN131" s="59">
        <f ca="1">AVERAGE(OFFSET($AM$3,0,0,'Données projet'!$E$10+1,1))-AVERAGE(OFFSET($H$3,0,0,'Données projet'!$E$10+1,1))</f>
        <v>244.43587473734613</v>
      </c>
      <c r="AO131" s="59">
        <f t="shared" si="90"/>
        <v>256.80261402149375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8.6838382379799111</v>
      </c>
      <c r="AV131" s="21">
        <f>EXP(-LN(2)/25)*AV130+(1-EXP(-LN(2)/25))/(LN(2)/25)*Calculateur!AQ131*Calculateur!AS131*VLOOKUP('Données projet'!$B$10,Paramètres!$A$1:$I$89,3,0)*0.475*44/12</f>
        <v>17.618806361889664</v>
      </c>
      <c r="AW131" s="21">
        <f>EXP(-LN(2)/2)*AW130+(1-EXP(-LN(2)/2))/(LN(2)/2)*AQ131*AT131*VLOOKUP('Données projet'!$B$10,Paramètres!$A$1:$I$89,3,0)*0.475*44/12</f>
        <v>5.9742520857891856E-5</v>
      </c>
      <c r="AX131" s="21">
        <f t="shared" si="60"/>
        <v>26.302704342390431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-2.2737367544323206E-13</v>
      </c>
      <c r="BE131" s="13">
        <f>BD131*VLOOKUP('Données projet'!$B$11,Paramètres!$A$1:$I$89,3,0)*VLOOKUP('Données projet'!$B$11,Paramètres!$A$1:$I$89,5,0)</f>
        <v>-1.2710188457276673E-13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430.60186171079067</v>
      </c>
      <c r="BJ131" s="59">
        <f t="shared" si="92"/>
        <v>533.76627289533985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67.309806182776356</v>
      </c>
      <c r="BQ131" s="21">
        <f>EXP(-LN(2)/25)*BQ130+(1-EXP(-LN(2)/25))/(LN(2)/25)*Calculateur!BL131*Calculateur!BN131*VLOOKUP('Données projet'!$B$11,Paramètres!$A$1:$I$89,3,0)*0.475*44/12</f>
        <v>9.7779700159578145</v>
      </c>
      <c r="BR131" s="21">
        <f>EXP(-LN(2)/2)*BR130+(1-EXP(-LN(2)/2))/(LN(2)/2)*BL131*BO131*VLOOKUP('Données projet'!$B$11,Paramètres!$A$1:$I$89,3,0)*0.475*44/12</f>
        <v>3.2783049621682901E-9</v>
      </c>
      <c r="BS131" s="22">
        <f t="shared" si="63"/>
        <v>77.087776202012478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-1.69961822393816E-13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215.89467197072673</v>
      </c>
      <c r="CE131" s="59">
        <f t="shared" si="94"/>
        <v>188.21397398859534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44.137417591709799</v>
      </c>
      <c r="CL131" s="21">
        <f>EXP(-LN(2)/25)*CL130+(1-EXP(-LN(2)/25))/(LN(2)/25)*Calculateur!CG131*Calculateur!CI131*VLOOKUP('Données projet'!$B$12,Paramètres!$A$1:$I$89,3,0)*0.475*44/12</f>
        <v>7.3951375021946868</v>
      </c>
      <c r="CM131" s="21">
        <f>EXP(-LN(2)/2)*CM130+(1-EXP(-LN(2)/2))/(LN(2)/2)*CG131*CJ131*VLOOKUP('Données projet'!$B$12,Paramètres!$A$1:$I$89,3,0)*0.475*44/12</f>
        <v>1.6615973253636952E-6</v>
      </c>
      <c r="CN131" s="22">
        <f t="shared" si="66"/>
        <v>51.532556755501808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4.8538461538461579</v>
      </c>
      <c r="CT131" s="12">
        <f>IF('Données projet'!$A$140&gt;35,CT130+CS131-DB130,IF(A131&lt;'Données projet'!$A$140,$CQ$205^A131,IF(A131='Données projet'!$A$140,'Données projet'!$B$140,CT130+CS131-DB130)))</f>
        <v>218.71923076923085</v>
      </c>
      <c r="CU131" s="17">
        <f>CT131*VLOOKUP('Données projet'!$B$13,Paramètres!$A$1:$I$89,3,0)*VLOOKUP('Données projet'!$B$13,Paramètres!$A$1:$I$89,5,0)</f>
        <v>221.78130000000007</v>
      </c>
      <c r="CV131" s="13">
        <f t="shared" si="95"/>
        <v>54.501860580167346</v>
      </c>
      <c r="CW131" s="20">
        <f t="shared" si="67"/>
        <v>481.19317134379156</v>
      </c>
      <c r="CX131" s="59">
        <f t="shared" si="68"/>
        <v>774.52650467712488</v>
      </c>
      <c r="CY131" s="59">
        <f ca="1">AVERAGE(OFFSET($CX$3,0,0,'Données projet'!$E$13+1,1))-AVERAGE(OFFSET($H$3,0,0,'Données projet'!$E$13+1,1))</f>
        <v>342.82846711287749</v>
      </c>
      <c r="CZ131" s="59">
        <f t="shared" si="96"/>
        <v>152.87724741106297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23.039477318496672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23.039477318496672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208.48147873805715</v>
      </c>
      <c r="DU131" s="59">
        <f t="shared" si="98"/>
        <v>209.50570914630686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22.484086049837991</v>
      </c>
      <c r="EB131" s="21">
        <f>EXP(-LN(2)/25)*EB130+(1-EXP(-LN(2)/25))/(LN(2)/25)*Calculateur!DW131*Calculateur!DY131*VLOOKUP('Données projet'!$B$14,Paramètres!$A$1:$I$89,3,0)*0.475*44/12</f>
        <v>5.0482350226472423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27.532321072485232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-1.7053025658242404E-13</v>
      </c>
      <c r="EK131" s="17">
        <f>EJ131*VLOOKUP('Données projet'!$B$15,Paramètres!$A$1:$I$89,3,0)*VLOOKUP('Données projet'!$B$15,Paramètres!$A$1:$I$89,5,0)</f>
        <v>-1.0197709343628959E-13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247.31680974612766</v>
      </c>
      <c r="EP131" s="59">
        <f t="shared" si="100"/>
        <v>257.13949761071882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33.740805527638365</v>
      </c>
      <c r="EW131" s="21">
        <f>EXP(-LN(2)/25)*EW130+(1-EXP(-LN(2)/25))/(LN(2)/25)*Calculateur!ER131*Calculateur!ET131*VLOOKUP('Données projet'!$B$15,Paramètres!$A$1:$I$89,3,0)*0.475*44/12</f>
        <v>5.4848496184090978</v>
      </c>
      <c r="EX131" s="21">
        <f>EXP(-LN(2)/2)*EX130+(1-EXP(-LN(2)/2))/(LN(2)/2)*ER131*EU131*VLOOKUP('Données projet'!$B$15,Paramètres!$A$1:$I$89,3,0)*0.475*44/12</f>
        <v>1.8604826467331931E-9</v>
      </c>
      <c r="EY131" s="22">
        <f t="shared" si="75"/>
        <v>39.22565514790795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22.941359999999975</v>
      </c>
      <c r="D132" s="11">
        <f t="shared" si="86"/>
        <v>7.341674988444769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46.752755771633986</v>
      </c>
      <c r="H132" s="67">
        <f t="shared" ref="H132:H195" si="110">(B132+E132+F132)*44/12+(C132+D132)*0.475*44/12</f>
        <v>309.40961927154126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5.1159076974727213E-13</v>
      </c>
      <c r="O132" s="13">
        <f>N132*VLOOKUP('Données projet'!$B$9,Paramètres!$A$1:$I$89,3,0)*VLOOKUP('Données projet'!$B$9,Paramètres!$A$1:$I$89,5,0)</f>
        <v>2.3942448024172334E-13</v>
      </c>
      <c r="P132" s="13">
        <f t="shared" si="87"/>
        <v>3.2492669905861755E-12</v>
      </c>
      <c r="Q132" s="20">
        <f t="shared" si="108"/>
        <v>6.0761376450252565E-12</v>
      </c>
      <c r="R132" s="59">
        <f t="shared" si="109"/>
        <v>293.3333333333394</v>
      </c>
      <c r="S132" s="59">
        <f ca="1">AVERAGE(OFFSET($R$3,0,0,'Données projet'!$E$9+1,1))-AVERAGE(OFFSET($H$3,0,0,'Données projet'!$E$9+1,1))</f>
        <v>223.99456146593315</v>
      </c>
      <c r="T132" s="59">
        <f t="shared" si="88"/>
        <v>132.73290587325937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89.983259301018848</v>
      </c>
      <c r="AA132" s="21">
        <f>EXP(-LN(2)/25)*AA131+(1-EXP(-LN(2)/25))/(LN(2)/25)*Calculateur!V132*Calculateur!X132*VLOOKUP('Données projet'!$B$9,Paramètres!$A$1:$I$89,3,0)*0.475*44/12</f>
        <v>19.095537576576774</v>
      </c>
      <c r="AB132" s="21">
        <f>EXP(-LN(2)/2)*AB131+(1-EXP(-LN(2)/2))/(LN(2)/2)*V132*Y132*VLOOKUP('Données projet'!$B$9,Paramètres!$A$1:$I$89,3,0)*0.475*44/12</f>
        <v>1.7918641918665389E-2</v>
      </c>
      <c r="AC132" s="22">
        <f t="shared" ref="AC132:AC153" si="111">SUM(Z132:AB132)</f>
        <v>109.09671551951429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8.5265128291212022E-14</v>
      </c>
      <c r="AJ132" s="13">
        <f>AI132*VLOOKUP('Données projet'!$B$10,Paramètres!$A$1:$I$89,3,0)*VLOOKUP('Données projet'!$B$10,Paramètres!$A$1:$I$89,5,0)</f>
        <v>5.5865712056402117E-14</v>
      </c>
      <c r="AK132" s="13">
        <f t="shared" si="89"/>
        <v>8.9811031843713517E-13</v>
      </c>
      <c r="AL132" s="20">
        <f t="shared" ref="AL132:AL153" si="112">(AJ132+AK132)*0.475*44/12</f>
        <v>1.6615082531095774E-12</v>
      </c>
      <c r="AM132" s="59">
        <f t="shared" ref="AM132:AM195" si="113">AL132+(AD132+AE132)*44/12</f>
        <v>293.33333333333496</v>
      </c>
      <c r="AN132" s="59">
        <f ca="1">AVERAGE(OFFSET($AM$3,0,0,'Données projet'!$E$10+1,1))-AVERAGE(OFFSET($H$3,0,0,'Données projet'!$E$10+1,1))</f>
        <v>244.43587473734613</v>
      </c>
      <c r="AO132" s="59">
        <f t="shared" si="90"/>
        <v>256.80261402149375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8.5135534667514534</v>
      </c>
      <c r="AV132" s="21">
        <f>EXP(-LN(2)/25)*AV131+(1-EXP(-LN(2)/25))/(LN(2)/25)*Calculateur!AQ132*Calculateur!AS132*VLOOKUP('Données projet'!$B$10,Paramètres!$A$1:$I$89,3,0)*0.475*44/12</f>
        <v>17.137019175391032</v>
      </c>
      <c r="AW132" s="21">
        <f>EXP(-LN(2)/2)*AW131+(1-EXP(-LN(2)/2))/(LN(2)/2)*AQ132*AT132*VLOOKUP('Données projet'!$B$10,Paramètres!$A$1:$I$89,3,0)*0.475*44/12</f>
        <v>4.224434162379409E-5</v>
      </c>
      <c r="AX132" s="21">
        <f t="shared" ref="AX132:AX153" si="114">SUM(AU132:AW132)</f>
        <v>25.65061488648411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-2.2737367544323206E-13</v>
      </c>
      <c r="BE132" s="13">
        <f>BD132*VLOOKUP('Données projet'!$B$11,Paramètres!$A$1:$I$89,3,0)*VLOOKUP('Données projet'!$B$11,Paramètres!$A$1:$I$89,5,0)</f>
        <v>-1.2710188457276673E-13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430.60186171079067</v>
      </c>
      <c r="BJ132" s="59">
        <f t="shared" si="92"/>
        <v>533.76627289533985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65.989901938460051</v>
      </c>
      <c r="BQ132" s="21">
        <f>EXP(-LN(2)/25)*BQ131+(1-EXP(-LN(2)/25))/(LN(2)/25)*Calculateur!BL132*Calculateur!BN132*VLOOKUP('Données projet'!$B$11,Paramètres!$A$1:$I$89,3,0)*0.475*44/12</f>
        <v>9.5105909116703522</v>
      </c>
      <c r="BR132" s="21">
        <f>EXP(-LN(2)/2)*BR131+(1-EXP(-LN(2)/2))/(LN(2)/2)*BL132*BO132*VLOOKUP('Données projet'!$B$11,Paramètres!$A$1:$I$89,3,0)*0.475*44/12</f>
        <v>2.318111669546706E-9</v>
      </c>
      <c r="BS132" s="22">
        <f t="shared" ref="BS132:BS153" si="117">SUM(BP132:BR132)</f>
        <v>75.500492852448517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-1.69961822393816E-13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215.89467197072673</v>
      </c>
      <c r="CE132" s="59">
        <f t="shared" si="94"/>
        <v>188.21397398859534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43.271909753902854</v>
      </c>
      <c r="CL132" s="21">
        <f>EXP(-LN(2)/25)*CL131+(1-EXP(-LN(2)/25))/(LN(2)/25)*Calculateur!CG132*Calculateur!CI132*VLOOKUP('Données projet'!$B$12,Paramètres!$A$1:$I$89,3,0)*0.475*44/12</f>
        <v>7.1929170783037932</v>
      </c>
      <c r="CM132" s="21">
        <f>EXP(-LN(2)/2)*CM131+(1-EXP(-LN(2)/2))/(LN(2)/2)*CG132*CJ132*VLOOKUP('Données projet'!$B$12,Paramètres!$A$1:$I$89,3,0)*0.475*44/12</f>
        <v>1.174926736366099E-6</v>
      </c>
      <c r="CN132" s="22">
        <f t="shared" ref="CN132:CN153" si="120">SUM(CK132:CM132)</f>
        <v>50.464828007133384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4.8538461538461579</v>
      </c>
      <c r="CT132" s="12">
        <f>IF('Données projet'!$A$140&gt;35,CT131+CS132-DB131,IF(A132&lt;'Données projet'!$A$140,$CQ$205^A132,IF(A132='Données projet'!$A$140,'Données projet'!$B$140,CT131+CS132-DB131)))</f>
        <v>223.573076923077</v>
      </c>
      <c r="CU132" s="17">
        <f>CT132*VLOOKUP('Données projet'!$B$13,Paramètres!$A$1:$I$89,3,0)*VLOOKUP('Données projet'!$B$13,Paramètres!$A$1:$I$89,5,0)</f>
        <v>226.70310000000009</v>
      </c>
      <c r="CV132" s="13">
        <f t="shared" si="95"/>
        <v>55.569216757317641</v>
      </c>
      <c r="CW132" s="20">
        <f t="shared" ref="CW132:CW153" si="121">(CU132+CV132)*0.475*44/12</f>
        <v>491.62428501899507</v>
      </c>
      <c r="CX132" s="59">
        <f t="shared" ref="CX132:CX195" si="122">CW132+(CO132+CP132)*44/12</f>
        <v>784.95761835232838</v>
      </c>
      <c r="CY132" s="59">
        <f ca="1">AVERAGE(OFFSET($CX$3,0,0,'Données projet'!$E$13+1,1))-AVERAGE(OFFSET($H$3,0,0,'Données projet'!$E$13+1,1))</f>
        <v>342.82846711287749</v>
      </c>
      <c r="CZ132" s="59">
        <f t="shared" si="96"/>
        <v>152.87724741106297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22.58768722097453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22.58768722097453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208.48147873805715</v>
      </c>
      <c r="DU132" s="59">
        <f t="shared" si="98"/>
        <v>209.50570914630686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22.043186836339018</v>
      </c>
      <c r="EB132" s="21">
        <f>EXP(-LN(2)/25)*EB131+(1-EXP(-LN(2)/25))/(LN(2)/25)*Calculateur!DW132*Calculateur!DY132*VLOOKUP('Données projet'!$B$14,Paramètres!$A$1:$I$89,3,0)*0.475*44/12</f>
        <v>4.9101907704778114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26.953377606816829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-1.7053025658242404E-13</v>
      </c>
      <c r="EK132" s="17">
        <f>EJ132*VLOOKUP('Données projet'!$B$15,Paramètres!$A$1:$I$89,3,0)*VLOOKUP('Données projet'!$B$15,Paramètres!$A$1:$I$89,5,0)</f>
        <v>-1.0197709343628959E-13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247.31680974612766</v>
      </c>
      <c r="EP132" s="59">
        <f t="shared" si="100"/>
        <v>257.13949761071882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33.079168911100659</v>
      </c>
      <c r="EW132" s="21">
        <f>EXP(-LN(2)/25)*EW131+(1-EXP(-LN(2)/25))/(LN(2)/25)*Calculateur!ER132*Calculateur!ET132*VLOOKUP('Données projet'!$B$15,Paramètres!$A$1:$I$89,3,0)*0.475*44/12</f>
        <v>5.3348661171579952</v>
      </c>
      <c r="EX132" s="21">
        <f>EXP(-LN(2)/2)*EX131+(1-EXP(-LN(2)/2))/(LN(2)/2)*ER132*EU132*VLOOKUP('Données projet'!$B$15,Paramètres!$A$1:$I$89,3,0)*0.475*44/12</f>
        <v>1.3155598957849369E-9</v>
      </c>
      <c r="EY132" s="22">
        <f t="shared" ref="EY132:EY153" si="129">SUM(EV132:EX132)</f>
        <v>38.414035029574215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23.119199999999974</v>
      </c>
      <c r="D133" s="11">
        <f t="shared" ref="D133:D196" si="140">IFERROR(EXP(-1.0587+0.8836*LN(C133)+0.284),0)</f>
        <v>7.3919399937804302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47.104917885134661</v>
      </c>
      <c r="H133" s="67">
        <f t="shared" si="110"/>
        <v>309.80690215583422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5.1159076974727213E-13</v>
      </c>
      <c r="O133" s="13">
        <f>N133*VLOOKUP('Données projet'!$B$9,Paramètres!$A$1:$I$89,3,0)*VLOOKUP('Données projet'!$B$9,Paramètres!$A$1:$I$89,5,0)</f>
        <v>2.3942448024172334E-13</v>
      </c>
      <c r="P133" s="13">
        <f t="shared" ref="P133:P196" si="141">EXP(-1.0587+0.8836*LN(O133)+0.284)</f>
        <v>3.2492669905861755E-12</v>
      </c>
      <c r="Q133" s="20">
        <f t="shared" si="108"/>
        <v>6.0761376450252565E-12</v>
      </c>
      <c r="R133" s="59">
        <f t="shared" si="109"/>
        <v>293.3333333333394</v>
      </c>
      <c r="S133" s="59">
        <f ca="1">AVERAGE(OFFSET($R$3,0,0,'Données projet'!$E$9+1,1))-AVERAGE(OFFSET($H$3,0,0,'Données projet'!$E$9+1,1))</f>
        <v>223.99456146593315</v>
      </c>
      <c r="T133" s="59">
        <f t="shared" ref="T133:T196" si="142">$T$3</f>
        <v>132.73290587325937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88.218742470494661</v>
      </c>
      <c r="AA133" s="21">
        <f>EXP(-LN(2)/25)*AA132+(1-EXP(-LN(2)/25))/(LN(2)/25)*Calculateur!V133*Calculateur!X133*VLOOKUP('Données projet'!$B$9,Paramètres!$A$1:$I$89,3,0)*0.475*44/12</f>
        <v>18.573369097354604</v>
      </c>
      <c r="AB133" s="21">
        <f>EXP(-LN(2)/2)*AB132+(1-EXP(-LN(2)/2))/(LN(2)/2)*V133*Y133*VLOOKUP('Données projet'!$B$9,Paramètres!$A$1:$I$89,3,0)*0.475*44/12</f>
        <v>1.2670393210341826E-2</v>
      </c>
      <c r="AC133" s="22">
        <f t="shared" si="111"/>
        <v>106.8047819610596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8.5265128291212022E-14</v>
      </c>
      <c r="AJ133" s="13">
        <f>AI133*VLOOKUP('Données projet'!$B$10,Paramètres!$A$1:$I$89,3,0)*VLOOKUP('Données projet'!$B$10,Paramètres!$A$1:$I$89,5,0)</f>
        <v>5.5865712056402117E-14</v>
      </c>
      <c r="AK133" s="13">
        <f t="shared" ref="AK133:AK153" si="143">EXP(-1.0587+0.8836*LN(AJ133)+0.284)</f>
        <v>8.9811031843713517E-13</v>
      </c>
      <c r="AL133" s="20">
        <f t="shared" si="112"/>
        <v>1.6615082531095774E-12</v>
      </c>
      <c r="AM133" s="59">
        <f t="shared" si="113"/>
        <v>293.33333333333496</v>
      </c>
      <c r="AN133" s="59">
        <f ca="1">AVERAGE(OFFSET($AM$3,0,0,'Données projet'!$E$10+1,1))-AVERAGE(OFFSET($H$3,0,0,'Données projet'!$E$10+1,1))</f>
        <v>244.43587473734613</v>
      </c>
      <c r="AO133" s="59">
        <f t="shared" ref="AO133:AO196" si="144">$AO$3</f>
        <v>256.80261402149375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8.3466078760233309</v>
      </c>
      <c r="AV133" s="21">
        <f>EXP(-LN(2)/25)*AV132+(1-EXP(-LN(2)/25))/(LN(2)/25)*Calculateur!AQ133*Calculateur!AS133*VLOOKUP('Données projet'!$B$10,Paramètres!$A$1:$I$89,3,0)*0.475*44/12</f>
        <v>16.668406484843292</v>
      </c>
      <c r="AW133" s="21">
        <f>EXP(-LN(2)/2)*AW132+(1-EXP(-LN(2)/2))/(LN(2)/2)*AQ133*AT133*VLOOKUP('Données projet'!$B$10,Paramètres!$A$1:$I$89,3,0)*0.475*44/12</f>
        <v>2.9871260428945931E-5</v>
      </c>
      <c r="AX133" s="21">
        <f t="shared" si="114"/>
        <v>25.015044232127053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-2.2737367544323206E-13</v>
      </c>
      <c r="BE133" s="13">
        <f>BD133*VLOOKUP('Données projet'!$B$11,Paramètres!$A$1:$I$89,3,0)*VLOOKUP('Données projet'!$B$11,Paramètres!$A$1:$I$89,5,0)</f>
        <v>-1.2710188457276673E-13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430.60186171079067</v>
      </c>
      <c r="BJ133" s="59">
        <f t="shared" ref="BJ133:BJ196" si="146">$BJ$3</f>
        <v>533.76627289533985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64.695880211312684</v>
      </c>
      <c r="BQ133" s="21">
        <f>EXP(-LN(2)/25)*BQ132+(1-EXP(-LN(2)/25))/(LN(2)/25)*Calculateur!BL133*Calculateur!BN133*VLOOKUP('Données projet'!$B$11,Paramètres!$A$1:$I$89,3,0)*0.475*44/12</f>
        <v>9.2505233030504872</v>
      </c>
      <c r="BR133" s="21">
        <f>EXP(-LN(2)/2)*BR132+(1-EXP(-LN(2)/2))/(LN(2)/2)*BL133*BO133*VLOOKUP('Données projet'!$B$11,Paramètres!$A$1:$I$89,3,0)*0.475*44/12</f>
        <v>1.6391524810841451E-9</v>
      </c>
      <c r="BS133" s="22">
        <f t="shared" si="117"/>
        <v>73.94640351600232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-1.69961822393816E-13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215.89467197072673</v>
      </c>
      <c r="CE133" s="59">
        <f t="shared" ref="CE133:CE196" si="148">$CE$3</f>
        <v>188.21397398859534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42.423373996887648</v>
      </c>
      <c r="CL133" s="21">
        <f>EXP(-LN(2)/25)*CL132+(1-EXP(-LN(2)/25))/(LN(2)/25)*Calculateur!CG133*Calculateur!CI133*VLOOKUP('Données projet'!$B$12,Paramètres!$A$1:$I$89,3,0)*0.475*44/12</f>
        <v>6.9962263825385067</v>
      </c>
      <c r="CM133" s="21">
        <f>EXP(-LN(2)/2)*CM132+(1-EXP(-LN(2)/2))/(LN(2)/2)*CG133*CJ133*VLOOKUP('Données projet'!$B$12,Paramètres!$A$1:$I$89,3,0)*0.475*44/12</f>
        <v>8.3079866268184762E-7</v>
      </c>
      <c r="CN133" s="22">
        <f t="shared" si="120"/>
        <v>49.419601210224819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4.8538461538461579</v>
      </c>
      <c r="CT133" s="12">
        <f>IF('Données projet'!$A$140&gt;35,CT132+CS133-DB132,IF(A133&lt;'Données projet'!$A$140,$CQ$205^A133,IF(A133='Données projet'!$A$140,'Données projet'!$B$140,CT132+CS133-DB132)))</f>
        <v>228.42692307692315</v>
      </c>
      <c r="CU133" s="17">
        <f>CT133*VLOOKUP('Données projet'!$B$13,Paramètres!$A$1:$I$89,3,0)*VLOOKUP('Données projet'!$B$13,Paramètres!$A$1:$I$89,5,0)</f>
        <v>231.62490000000008</v>
      </c>
      <c r="CV133" s="13">
        <f t="shared" ref="CV133:CV153" si="149">EXP(-1.0587+0.8836*LN(CU133)+0.284)</f>
        <v>56.633878818536978</v>
      </c>
      <c r="CW133" s="20">
        <f t="shared" si="121"/>
        <v>502.05070644228527</v>
      </c>
      <c r="CX133" s="59">
        <f t="shared" si="122"/>
        <v>795.38403977561859</v>
      </c>
      <c r="CY133" s="59">
        <f ca="1">AVERAGE(OFFSET($CX$3,0,0,'Données projet'!$E$13+1,1))-AVERAGE(OFFSET($H$3,0,0,'Données projet'!$E$13+1,1))</f>
        <v>342.82846711287749</v>
      </c>
      <c r="CZ133" s="59">
        <f t="shared" ref="CZ133:CZ196" si="150">$CZ$3</f>
        <v>152.87724741106297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22.144756451700047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22.144756451700047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208.48147873805715</v>
      </c>
      <c r="DU133" s="59">
        <f t="shared" ref="DU133:DU196" si="152">$DU$3</f>
        <v>209.50570914630686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21.610933387494796</v>
      </c>
      <c r="EB133" s="21">
        <f>EXP(-LN(2)/25)*EB132+(1-EXP(-LN(2)/25))/(LN(2)/25)*Calculateur!DW133*Calculateur!DY133*VLOOKUP('Données projet'!$B$14,Paramètres!$A$1:$I$89,3,0)*0.475*44/12</f>
        <v>4.7759213456433853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26.386854733138183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-1.7053025658242404E-13</v>
      </c>
      <c r="EK133" s="17">
        <f>EJ133*VLOOKUP('Données projet'!$B$15,Paramètres!$A$1:$I$89,3,0)*VLOOKUP('Données projet'!$B$15,Paramètres!$A$1:$I$89,5,0)</f>
        <v>-1.0197709343628959E-13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247.31680974612766</v>
      </c>
      <c r="EP133" s="59">
        <f t="shared" ref="EP133:EP196" si="154">$EP$3</f>
        <v>257.13949761071882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32.430506585054765</v>
      </c>
      <c r="EW133" s="21">
        <f>EXP(-LN(2)/25)*EW132+(1-EXP(-LN(2)/25))/(LN(2)/25)*Calculateur!ER133*Calculateur!ET133*VLOOKUP('Données projet'!$B$15,Paramètres!$A$1:$I$89,3,0)*0.475*44/12</f>
        <v>5.1889839226358934</v>
      </c>
      <c r="EX133" s="21">
        <f>EXP(-LN(2)/2)*EX132+(1-EXP(-LN(2)/2))/(LN(2)/2)*ER133*EU133*VLOOKUP('Données projet'!$B$15,Paramètres!$A$1:$I$89,3,0)*0.475*44/12</f>
        <v>9.3024132336659673E-10</v>
      </c>
      <c r="EY133" s="22">
        <f t="shared" si="129"/>
        <v>37.619490508620899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23.297039999999974</v>
      </c>
      <c r="D134" s="11">
        <f t="shared" si="140"/>
        <v>7.4421600122773999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47.457010545270329</v>
      </c>
      <c r="H134" s="67">
        <f t="shared" si="110"/>
        <v>310.20410668804976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5.1159076974727213E-13</v>
      </c>
      <c r="O134" s="13">
        <f>N134*VLOOKUP('Données projet'!$B$9,Paramètres!$A$1:$I$89,3,0)*VLOOKUP('Données projet'!$B$9,Paramètres!$A$1:$I$89,5,0)</f>
        <v>2.3942448024172334E-13</v>
      </c>
      <c r="P134" s="13">
        <f t="shared" si="141"/>
        <v>3.2492669905861755E-12</v>
      </c>
      <c r="Q134" s="20">
        <f t="shared" si="108"/>
        <v>6.0761376450252565E-12</v>
      </c>
      <c r="R134" s="59">
        <f t="shared" si="109"/>
        <v>293.3333333333394</v>
      </c>
      <c r="S134" s="59">
        <f ca="1">AVERAGE(OFFSET($R$3,0,0,'Données projet'!$E$9+1,1))-AVERAGE(OFFSET($H$3,0,0,'Données projet'!$E$9+1,1))</f>
        <v>223.99456146593315</v>
      </c>
      <c r="T134" s="59">
        <f t="shared" si="142"/>
        <v>132.73290587325937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86.488826738768054</v>
      </c>
      <c r="AA134" s="21">
        <f>EXP(-LN(2)/25)*AA133+(1-EXP(-LN(2)/25))/(LN(2)/25)*Calculateur!V134*Calculateur!X134*VLOOKUP('Données projet'!$B$9,Paramètres!$A$1:$I$89,3,0)*0.475*44/12</f>
        <v>18.06547934265641</v>
      </c>
      <c r="AB134" s="21">
        <f>EXP(-LN(2)/2)*AB133+(1-EXP(-LN(2)/2))/(LN(2)/2)*V134*Y134*VLOOKUP('Données projet'!$B$9,Paramètres!$A$1:$I$89,3,0)*0.475*44/12</f>
        <v>8.9593209593326947E-3</v>
      </c>
      <c r="AC134" s="22">
        <f t="shared" si="111"/>
        <v>104.56326540238381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8.5265128291212022E-14</v>
      </c>
      <c r="AJ134" s="13">
        <f>AI134*VLOOKUP('Données projet'!$B$10,Paramètres!$A$1:$I$89,3,0)*VLOOKUP('Données projet'!$B$10,Paramètres!$A$1:$I$89,5,0)</f>
        <v>5.5865712056402117E-14</v>
      </c>
      <c r="AK134" s="13">
        <f t="shared" si="143"/>
        <v>8.9811031843713517E-13</v>
      </c>
      <c r="AL134" s="20">
        <f t="shared" si="112"/>
        <v>1.6615082531095774E-12</v>
      </c>
      <c r="AM134" s="59">
        <f t="shared" si="113"/>
        <v>293.33333333333496</v>
      </c>
      <c r="AN134" s="59">
        <f ca="1">AVERAGE(OFFSET($AM$3,0,0,'Données projet'!$E$10+1,1))-AVERAGE(OFFSET($H$3,0,0,'Données projet'!$E$10+1,1))</f>
        <v>244.43587473734613</v>
      </c>
      <c r="AO134" s="59">
        <f t="shared" si="144"/>
        <v>256.80261402149375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8.1829359865026312</v>
      </c>
      <c r="AV134" s="21">
        <f>EXP(-LN(2)/25)*AV133+(1-EXP(-LN(2)/25))/(LN(2)/25)*Calculateur!AQ134*Calculateur!AS134*VLOOKUP('Données projet'!$B$10,Paramètres!$A$1:$I$89,3,0)*0.475*44/12</f>
        <v>16.21260803296185</v>
      </c>
      <c r="AW134" s="21">
        <f>EXP(-LN(2)/2)*AW133+(1-EXP(-LN(2)/2))/(LN(2)/2)*AQ134*AT134*VLOOKUP('Données projet'!$B$10,Paramètres!$A$1:$I$89,3,0)*0.475*44/12</f>
        <v>2.1122170811897049E-5</v>
      </c>
      <c r="AX134" s="21">
        <f t="shared" si="114"/>
        <v>24.395565141635291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-2.2737367544323206E-13</v>
      </c>
      <c r="BE134" s="13">
        <f>BD134*VLOOKUP('Données projet'!$B$11,Paramètres!$A$1:$I$89,3,0)*VLOOKUP('Données projet'!$B$11,Paramètres!$A$1:$I$89,5,0)</f>
        <v>-1.2710188457276673E-13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430.60186171079067</v>
      </c>
      <c r="BJ134" s="59">
        <f t="shared" si="146"/>
        <v>533.76627289533985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63.427233460959364</v>
      </c>
      <c r="BQ134" s="21">
        <f>EXP(-LN(2)/25)*BQ133+(1-EXP(-LN(2)/25))/(LN(2)/25)*Calculateur!BL134*Calculateur!BN134*VLOOKUP('Données projet'!$B$11,Paramètres!$A$1:$I$89,3,0)*0.475*44/12</f>
        <v>8.9975672568646932</v>
      </c>
      <c r="BR134" s="21">
        <f>EXP(-LN(2)/2)*BR133+(1-EXP(-LN(2)/2))/(LN(2)/2)*BL134*BO134*VLOOKUP('Données projet'!$B$11,Paramètres!$A$1:$I$89,3,0)*0.475*44/12</f>
        <v>1.159055834773353E-9</v>
      </c>
      <c r="BS134" s="22">
        <f t="shared" si="117"/>
        <v>72.424800718983107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-1.69961822393816E-13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215.89467197072673</v>
      </c>
      <c r="CE134" s="59">
        <f t="shared" si="148"/>
        <v>188.21397398859534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41.591477508511808</v>
      </c>
      <c r="CL134" s="21">
        <f>EXP(-LN(2)/25)*CL133+(1-EXP(-LN(2)/25))/(LN(2)/25)*Calculateur!CG134*Calculateur!CI134*VLOOKUP('Données projet'!$B$12,Paramètres!$A$1:$I$89,3,0)*0.475*44/12</f>
        <v>6.8049142041924355</v>
      </c>
      <c r="CM134" s="21">
        <f>EXP(-LN(2)/2)*CM133+(1-EXP(-LN(2)/2))/(LN(2)/2)*CG134*CJ134*VLOOKUP('Données projet'!$B$12,Paramètres!$A$1:$I$89,3,0)*0.475*44/12</f>
        <v>5.8746336818304952E-7</v>
      </c>
      <c r="CN134" s="22">
        <f t="shared" si="120"/>
        <v>48.396392300167612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4.8538461538461579</v>
      </c>
      <c r="CT134" s="12">
        <f>IF('Données projet'!$A$140&gt;35,CT133+CS134-DB133,IF(A134&lt;'Données projet'!$A$140,$CQ$205^A134,IF(A134='Données projet'!$A$140,'Données projet'!$B$140,CT133+CS134-DB133)))</f>
        <v>233.28076923076929</v>
      </c>
      <c r="CU134" s="17">
        <f>CT134*VLOOKUP('Données projet'!$B$13,Paramètres!$A$1:$I$89,3,0)*VLOOKUP('Données projet'!$B$13,Paramètres!$A$1:$I$89,5,0)</f>
        <v>236.54670000000007</v>
      </c>
      <c r="CV134" s="13">
        <f t="shared" si="149"/>
        <v>57.695910605438456</v>
      </c>
      <c r="CW134" s="20">
        <f t="shared" si="121"/>
        <v>512.47254680447202</v>
      </c>
      <c r="CX134" s="59">
        <f t="shared" si="122"/>
        <v>805.80588013780539</v>
      </c>
      <c r="CY134" s="59">
        <f ca="1">AVERAGE(OFFSET($CX$3,0,0,'Données projet'!$E$13+1,1))-AVERAGE(OFFSET($H$3,0,0,'Données projet'!$E$13+1,1))</f>
        <v>342.82846711287749</v>
      </c>
      <c r="CZ134" s="59">
        <f t="shared" si="150"/>
        <v>152.87724741106297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21.710511284649943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21.710511284649943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208.48147873805715</v>
      </c>
      <c r="DU134" s="59">
        <f t="shared" si="152"/>
        <v>209.50570914630686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21.187156165133839</v>
      </c>
      <c r="EB134" s="21">
        <f>EXP(-LN(2)/25)*EB133+(1-EXP(-LN(2)/25))/(LN(2)/25)*Calculateur!DW134*Calculateur!DY134*VLOOKUP('Données projet'!$B$14,Paramètres!$A$1:$I$89,3,0)*0.475*44/12</f>
        <v>4.6453235252919791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25.832479690425817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-1.7053025658242404E-13</v>
      </c>
      <c r="EK134" s="17">
        <f>EJ134*VLOOKUP('Données projet'!$B$15,Paramètres!$A$1:$I$89,3,0)*VLOOKUP('Données projet'!$B$15,Paramètres!$A$1:$I$89,5,0)</f>
        <v>-1.0197709343628959E-13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247.31680974612766</v>
      </c>
      <c r="EP134" s="59">
        <f t="shared" si="154"/>
        <v>257.13949761071882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31.79456413157768</v>
      </c>
      <c r="EW134" s="21">
        <f>EXP(-LN(2)/25)*EW133+(1-EXP(-LN(2)/25))/(LN(2)/25)*Calculateur!ER134*Calculateur!ET134*VLOOKUP('Données projet'!$B$15,Paramètres!$A$1:$I$89,3,0)*0.475*44/12</f>
        <v>5.0470908843946098</v>
      </c>
      <c r="EX134" s="21">
        <f>EXP(-LN(2)/2)*EX133+(1-EXP(-LN(2)/2))/(LN(2)/2)*ER134*EU134*VLOOKUP('Données projet'!$B$15,Paramètres!$A$1:$I$89,3,0)*0.475*44/12</f>
        <v>6.5777994789246856E-10</v>
      </c>
      <c r="EY134" s="22">
        <f t="shared" si="129"/>
        <v>36.841655016630071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23.474879999999974</v>
      </c>
      <c r="D135" s="11">
        <f t="shared" si="140"/>
        <v>7.4923354271568998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47.809034343680793</v>
      </c>
      <c r="H135" s="67">
        <f t="shared" si="110"/>
        <v>310.60123353563154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5.1159076974727213E-13</v>
      </c>
      <c r="O135" s="13">
        <f>N135*VLOOKUP('Données projet'!$B$9,Paramètres!$A$1:$I$89,3,0)*VLOOKUP('Données projet'!$B$9,Paramètres!$A$1:$I$89,5,0)</f>
        <v>2.3942448024172334E-13</v>
      </c>
      <c r="P135" s="13">
        <f t="shared" si="141"/>
        <v>3.2492669905861755E-12</v>
      </c>
      <c r="Q135" s="20">
        <f t="shared" si="108"/>
        <v>6.0761376450252565E-12</v>
      </c>
      <c r="R135" s="59">
        <f t="shared" si="109"/>
        <v>293.3333333333394</v>
      </c>
      <c r="S135" s="59">
        <f ca="1">AVERAGE(OFFSET($R$3,0,0,'Données projet'!$E$9+1,1))-AVERAGE(OFFSET($H$3,0,0,'Données projet'!$E$9+1,1))</f>
        <v>223.99456146593315</v>
      </c>
      <c r="T135" s="59">
        <f t="shared" si="142"/>
        <v>132.73290587325937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84.792833599396204</v>
      </c>
      <c r="AA135" s="21">
        <f>EXP(-LN(2)/25)*AA134+(1-EXP(-LN(2)/25))/(LN(2)/25)*Calculateur!V135*Calculateur!X135*VLOOKUP('Données projet'!$B$9,Paramètres!$A$1:$I$89,3,0)*0.475*44/12</f>
        <v>17.5714778600092</v>
      </c>
      <c r="AB135" s="21">
        <f>EXP(-LN(2)/2)*AB134+(1-EXP(-LN(2)/2))/(LN(2)/2)*V135*Y135*VLOOKUP('Données projet'!$B$9,Paramètres!$A$1:$I$89,3,0)*0.475*44/12</f>
        <v>6.3351966051709129E-3</v>
      </c>
      <c r="AC135" s="22">
        <f t="shared" si="111"/>
        <v>102.37064665601056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8.5265128291212022E-14</v>
      </c>
      <c r="AJ135" s="13">
        <f>AI135*VLOOKUP('Données projet'!$B$10,Paramètres!$A$1:$I$89,3,0)*VLOOKUP('Données projet'!$B$10,Paramètres!$A$1:$I$89,5,0)</f>
        <v>5.5865712056402117E-14</v>
      </c>
      <c r="AK135" s="13">
        <f t="shared" si="143"/>
        <v>8.9811031843713517E-13</v>
      </c>
      <c r="AL135" s="20">
        <f t="shared" si="112"/>
        <v>1.6615082531095774E-12</v>
      </c>
      <c r="AM135" s="59">
        <f t="shared" si="113"/>
        <v>293.33333333333496</v>
      </c>
      <c r="AN135" s="59">
        <f ca="1">AVERAGE(OFFSET($AM$3,0,0,'Données projet'!$E$10+1,1))-AVERAGE(OFFSET($H$3,0,0,'Données projet'!$E$10+1,1))</f>
        <v>244.43587473734613</v>
      </c>
      <c r="AO135" s="59">
        <f t="shared" si="144"/>
        <v>256.80261402149375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8.0224736029054355</v>
      </c>
      <c r="AV135" s="21">
        <f>EXP(-LN(2)/25)*AV134+(1-EXP(-LN(2)/25))/(LN(2)/25)*Calculateur!AQ135*Calculateur!AS135*VLOOKUP('Données projet'!$B$10,Paramètres!$A$1:$I$89,3,0)*0.475*44/12</f>
        <v>15.769273413716506</v>
      </c>
      <c r="AW135" s="21">
        <f>EXP(-LN(2)/2)*AW134+(1-EXP(-LN(2)/2))/(LN(2)/2)*AQ135*AT135*VLOOKUP('Données projet'!$B$10,Paramètres!$A$1:$I$89,3,0)*0.475*44/12</f>
        <v>1.4935630214472967E-5</v>
      </c>
      <c r="AX135" s="21">
        <f t="shared" si="114"/>
        <v>23.791761952252156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-2.2737367544323206E-13</v>
      </c>
      <c r="BE135" s="13">
        <f>BD135*VLOOKUP('Données projet'!$B$11,Paramètres!$A$1:$I$89,3,0)*VLOOKUP('Données projet'!$B$11,Paramètres!$A$1:$I$89,5,0)</f>
        <v>-1.2710188457276673E-13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430.60186171079067</v>
      </c>
      <c r="BJ135" s="59">
        <f t="shared" si="146"/>
        <v>533.76627289533985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62.183464099582359</v>
      </c>
      <c r="BQ135" s="21">
        <f>EXP(-LN(2)/25)*BQ134+(1-EXP(-LN(2)/25))/(LN(2)/25)*Calculateur!BL135*Calculateur!BN135*VLOOKUP('Données projet'!$B$11,Paramètres!$A$1:$I$89,3,0)*0.475*44/12</f>
        <v>8.7515283070642305</v>
      </c>
      <c r="BR135" s="21">
        <f>EXP(-LN(2)/2)*BR134+(1-EXP(-LN(2)/2))/(LN(2)/2)*BL135*BO135*VLOOKUP('Données projet'!$B$11,Paramètres!$A$1:$I$89,3,0)*0.475*44/12</f>
        <v>8.1957624054207253E-10</v>
      </c>
      <c r="BS135" s="22">
        <f t="shared" si="117"/>
        <v>70.934992407466169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-1.69961822393816E-13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215.89467197072673</v>
      </c>
      <c r="CE135" s="59">
        <f t="shared" si="148"/>
        <v>188.21397398859534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40.775894002866259</v>
      </c>
      <c r="CL135" s="21">
        <f>EXP(-LN(2)/25)*CL134+(1-EXP(-LN(2)/25))/(LN(2)/25)*Calculateur!CG135*Calculateur!CI135*VLOOKUP('Données projet'!$B$12,Paramètres!$A$1:$I$89,3,0)*0.475*44/12</f>
        <v>6.618833467423908</v>
      </c>
      <c r="CM135" s="21">
        <f>EXP(-LN(2)/2)*CM134+(1-EXP(-LN(2)/2))/(LN(2)/2)*CG135*CJ135*VLOOKUP('Données projet'!$B$12,Paramètres!$A$1:$I$89,3,0)*0.475*44/12</f>
        <v>4.1539933134092381E-7</v>
      </c>
      <c r="CN135" s="22">
        <f t="shared" si="120"/>
        <v>47.394727885689498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>
        <f>VLOOKUP(A135,'Données projet'!$A$139:$I$159,2,0)</f>
        <v>238.13461538461539</v>
      </c>
      <c r="CR135" s="12">
        <f>VLOOKUP(A135,'Données projet'!$A$139:$I$159,9,0)</f>
        <v>4.8538461538461579</v>
      </c>
      <c r="CS135" s="12">
        <f t="array" ref="CS135">INDEX(CR:CR,MIN(IF(ISNUMBER(CR135:CR331),ROW(CR135:CR331),"")))</f>
        <v>4.8538461538461579</v>
      </c>
      <c r="CT135" s="12">
        <f>IF('Données projet'!$A$140&gt;35,CT134+CS135-DB134,IF(A135&lt;'Données projet'!$A$140,$CQ$205^A135,IF(A135='Données projet'!$A$140,'Données projet'!$B$140,CT134+CS135-DB134)))</f>
        <v>238.13461538461544</v>
      </c>
      <c r="CU135" s="17">
        <f>CT135*VLOOKUP('Données projet'!$B$13,Paramètres!$A$1:$I$89,3,0)*VLOOKUP('Données projet'!$B$13,Paramètres!$A$1:$I$89,5,0)</f>
        <v>241.46850000000009</v>
      </c>
      <c r="CV135" s="13">
        <f t="shared" si="149"/>
        <v>58.755373151118711</v>
      </c>
      <c r="CW135" s="20">
        <f t="shared" si="121"/>
        <v>522.88991240486519</v>
      </c>
      <c r="CX135" s="59">
        <f t="shared" si="122"/>
        <v>816.22324573819856</v>
      </c>
      <c r="CY135" s="59">
        <f ca="1">AVERAGE(OFFSET($CX$3,0,0,'Données projet'!$E$13+1,1))-AVERAGE(OFFSET($H$3,0,0,'Données projet'!$E$13+1,1))</f>
        <v>342.82846711287749</v>
      </c>
      <c r="CZ135" s="59">
        <f t="shared" si="150"/>
        <v>152.87724741106297</v>
      </c>
      <c r="DA135" s="15">
        <f>IF(ISNA(VLOOKUP(A135,'Données projet'!$A$139:$I$159,3,0)),0,VLOOKUP(A135,'Données projet'!$A$139:$I$159,3,0))</f>
        <v>9</v>
      </c>
      <c r="DB135" s="15">
        <f>IF(ISNA(VLOOKUP(A135,'Données projet'!$A$139:$I$159,4,0)),0,VLOOKUP(A135,'Données projet'!$A$139:$I$159,4,0))</f>
        <v>34.128205128205131</v>
      </c>
      <c r="DC135" s="16">
        <f>IF(ISNA(VLOOKUP(A135,'Données projet'!$A$139:$I$159,5,0)),0%,VLOOKUP(A135,'Données projet'!$A$139:$I$159,5,0)*VLOOKUP('Données projet'!$B$13,Paramètres!$A$1:$I$89,7,0))</f>
        <v>0.30099999999999999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32.799809694651593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32.799809694651593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208.48147873805715</v>
      </c>
      <c r="DU135" s="59">
        <f t="shared" si="152"/>
        <v>209.50570914630686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20.771688955624796</v>
      </c>
      <c r="EB135" s="21">
        <f>EXP(-LN(2)/25)*EB134+(1-EXP(-LN(2)/25))/(LN(2)/25)*Calculateur!DW135*Calculateur!DY135*VLOOKUP('Données projet'!$B$14,Paramètres!$A$1:$I$89,3,0)*0.475*44/12</f>
        <v>4.5182969092059224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25.289985864830719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-1.7053025658242404E-13</v>
      </c>
      <c r="EK135" s="17">
        <f>EJ135*VLOOKUP('Données projet'!$B$15,Paramètres!$A$1:$I$89,3,0)*VLOOKUP('Données projet'!$B$15,Paramètres!$A$1:$I$89,5,0)</f>
        <v>-1.0197709343628959E-13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247.31680974612766</v>
      </c>
      <c r="EP135" s="59">
        <f t="shared" si="154"/>
        <v>257.13949761071882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31.171092121726684</v>
      </c>
      <c r="EW135" s="21">
        <f>EXP(-LN(2)/25)*EW134+(1-EXP(-LN(2)/25))/(LN(2)/25)*Calculateur!ER135*Calculateur!ET135*VLOOKUP('Données projet'!$B$15,Paramètres!$A$1:$I$89,3,0)*0.475*44/12</f>
        <v>4.9090779187458651</v>
      </c>
      <c r="EX135" s="21">
        <f>EXP(-LN(2)/2)*EX134+(1-EXP(-LN(2)/2))/(LN(2)/2)*ER135*EU135*VLOOKUP('Données projet'!$B$15,Paramètres!$A$1:$I$89,3,0)*0.475*44/12</f>
        <v>4.6512066168329842E-10</v>
      </c>
      <c r="EY135" s="22">
        <f t="shared" si="129"/>
        <v>36.080170040937674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23.652719999999974</v>
      </c>
      <c r="D136" s="11">
        <f t="shared" si="140"/>
        <v>7.5424666154983582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48.160989862523742</v>
      </c>
      <c r="H136" s="67">
        <f t="shared" si="110"/>
        <v>310.99828335532629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5.1159076974727213E-13</v>
      </c>
      <c r="O136" s="13">
        <f>N136*VLOOKUP('Données projet'!$B$9,Paramètres!$A$1:$I$89,3,0)*VLOOKUP('Données projet'!$B$9,Paramètres!$A$1:$I$89,5,0)</f>
        <v>2.3942448024172334E-13</v>
      </c>
      <c r="P136" s="13">
        <f t="shared" si="141"/>
        <v>3.2492669905861755E-12</v>
      </c>
      <c r="Q136" s="20">
        <f t="shared" si="108"/>
        <v>6.0761376450252565E-12</v>
      </c>
      <c r="R136" s="59">
        <f t="shared" si="109"/>
        <v>293.3333333333394</v>
      </c>
      <c r="S136" s="59">
        <f ca="1">AVERAGE(OFFSET($R$3,0,0,'Données projet'!$E$9+1,1))-AVERAGE(OFFSET($H$3,0,0,'Données projet'!$E$9+1,1))</f>
        <v>223.99456146593315</v>
      </c>
      <c r="T136" s="59">
        <f t="shared" si="142"/>
        <v>132.73290587325937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83.130097851033753</v>
      </c>
      <c r="AA136" s="21">
        <f>EXP(-LN(2)/25)*AA135+(1-EXP(-LN(2)/25))/(LN(2)/25)*Calculateur!V136*Calculateur!X136*VLOOKUP('Données projet'!$B$9,Paramètres!$A$1:$I$89,3,0)*0.475*44/12</f>
        <v>17.090984873883386</v>
      </c>
      <c r="AB136" s="21">
        <f>EXP(-LN(2)/2)*AB135+(1-EXP(-LN(2)/2))/(LN(2)/2)*V136*Y136*VLOOKUP('Données projet'!$B$9,Paramètres!$A$1:$I$89,3,0)*0.475*44/12</f>
        <v>4.4796604796663473E-3</v>
      </c>
      <c r="AC136" s="22">
        <f t="shared" si="111"/>
        <v>100.2255623853968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8.5265128291212022E-14</v>
      </c>
      <c r="AJ136" s="13">
        <f>AI136*VLOOKUP('Données projet'!$B$10,Paramètres!$A$1:$I$89,3,0)*VLOOKUP('Données projet'!$B$10,Paramètres!$A$1:$I$89,5,0)</f>
        <v>5.5865712056402117E-14</v>
      </c>
      <c r="AK136" s="13">
        <f t="shared" si="143"/>
        <v>8.9811031843713517E-13</v>
      </c>
      <c r="AL136" s="20">
        <f t="shared" si="112"/>
        <v>1.6615082531095774E-12</v>
      </c>
      <c r="AM136" s="59">
        <f t="shared" si="113"/>
        <v>293.33333333333496</v>
      </c>
      <c r="AN136" s="59">
        <f ca="1">AVERAGE(OFFSET($AM$3,0,0,'Données projet'!$E$10+1,1))-AVERAGE(OFFSET($H$3,0,0,'Données projet'!$E$10+1,1))</f>
        <v>244.43587473734613</v>
      </c>
      <c r="AO136" s="59">
        <f t="shared" si="144"/>
        <v>256.80261402149375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7.865157788778192</v>
      </c>
      <c r="AV136" s="21">
        <f>EXP(-LN(2)/25)*AV135+(1-EXP(-LN(2)/25))/(LN(2)/25)*Calculateur!AQ136*Calculateur!AS136*VLOOKUP('Données projet'!$B$10,Paramètres!$A$1:$I$89,3,0)*0.475*44/12</f>
        <v>15.338061802948381</v>
      </c>
      <c r="AW136" s="21">
        <f>EXP(-LN(2)/2)*AW135+(1-EXP(-LN(2)/2))/(LN(2)/2)*AQ136*AT136*VLOOKUP('Données projet'!$B$10,Paramètres!$A$1:$I$89,3,0)*0.475*44/12</f>
        <v>1.0561085405948526E-5</v>
      </c>
      <c r="AX136" s="21">
        <f t="shared" si="114"/>
        <v>23.20323015281198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-2.2737367544323206E-13</v>
      </c>
      <c r="BE136" s="13">
        <f>BD136*VLOOKUP('Données projet'!$B$11,Paramètres!$A$1:$I$89,3,0)*VLOOKUP('Données projet'!$B$11,Paramètres!$A$1:$I$89,5,0)</f>
        <v>-1.2710188457276673E-13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430.60186171079067</v>
      </c>
      <c r="BJ136" s="59">
        <f t="shared" si="146"/>
        <v>533.76627289533985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60.964084296757555</v>
      </c>
      <c r="BQ136" s="21">
        <f>EXP(-LN(2)/25)*BQ135+(1-EXP(-LN(2)/25))/(LN(2)/25)*Calculateur!BL136*Calculateur!BN136*VLOOKUP('Données projet'!$B$11,Paramètres!$A$1:$I$89,3,0)*0.475*44/12</f>
        <v>8.5122173052846879</v>
      </c>
      <c r="BR136" s="21">
        <f>EXP(-LN(2)/2)*BR135+(1-EXP(-LN(2)/2))/(LN(2)/2)*BL136*BO136*VLOOKUP('Données projet'!$B$11,Paramètres!$A$1:$I$89,3,0)*0.475*44/12</f>
        <v>5.7952791738667651E-10</v>
      </c>
      <c r="BS136" s="22">
        <f t="shared" si="117"/>
        <v>69.476301602621774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-1.69961822393816E-13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215.89467197072673</v>
      </c>
      <c r="CE136" s="59">
        <f t="shared" si="148"/>
        <v>188.21397398859534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39.976303592309606</v>
      </c>
      <c r="CL136" s="21">
        <f>EXP(-LN(2)/25)*CL135+(1-EXP(-LN(2)/25))/(LN(2)/25)*Calculateur!CG136*Calculateur!CI136*VLOOKUP('Données projet'!$B$12,Paramètres!$A$1:$I$89,3,0)*0.475*44/12</f>
        <v>6.437841118187877</v>
      </c>
      <c r="CM136" s="21">
        <f>EXP(-LN(2)/2)*CM135+(1-EXP(-LN(2)/2))/(LN(2)/2)*CG136*CJ136*VLOOKUP('Données projet'!$B$12,Paramètres!$A$1:$I$89,3,0)*0.475*44/12</f>
        <v>2.9373168409152476E-7</v>
      </c>
      <c r="CN136" s="22">
        <f t="shared" si="120"/>
        <v>46.414145004229162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4.9871794871794863</v>
      </c>
      <c r="CT136" s="12">
        <f>IF('Données projet'!$A$140&gt;35,CT135+CS136-DB135,IF(A136&lt;'Données projet'!$A$140,$CQ$205^A136,IF(A136='Données projet'!$A$140,'Données projet'!$B$140,CT135+CS136-DB135)))</f>
        <v>208.99358974358978</v>
      </c>
      <c r="CU136" s="17">
        <f>CT136*VLOOKUP('Données projet'!$B$13,Paramètres!$A$1:$I$89,3,0)*VLOOKUP('Données projet'!$B$13,Paramètres!$A$1:$I$89,5,0)</f>
        <v>211.91950000000006</v>
      </c>
      <c r="CV136" s="13">
        <f t="shared" si="149"/>
        <v>52.354822355555051</v>
      </c>
      <c r="CW136" s="20">
        <f t="shared" si="121"/>
        <v>460.27777810259181</v>
      </c>
      <c r="CX136" s="59">
        <f t="shared" si="122"/>
        <v>753.61111143592507</v>
      </c>
      <c r="CY136" s="59">
        <f ca="1">AVERAGE(OFFSET($CX$3,0,0,'Données projet'!$E$13+1,1))-AVERAGE(OFFSET($H$3,0,0,'Données projet'!$E$13+1,1))</f>
        <v>342.82846711287749</v>
      </c>
      <c r="CZ136" s="59">
        <f t="shared" si="150"/>
        <v>152.87724741106297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32.156625432447967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32.156625432447967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208.48147873805715</v>
      </c>
      <c r="DU136" s="59">
        <f t="shared" si="152"/>
        <v>209.50570914630686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20.364368804684251</v>
      </c>
      <c r="EB136" s="21">
        <f>EXP(-LN(2)/25)*EB135+(1-EXP(-LN(2)/25))/(LN(2)/25)*Calculateur!DW136*Calculateur!DY136*VLOOKUP('Données projet'!$B$14,Paramètres!$A$1:$I$89,3,0)*0.475*44/12</f>
        <v>4.3947438426167791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24.759112647301031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-1.7053025658242404E-13</v>
      </c>
      <c r="EK136" s="17">
        <f>EJ136*VLOOKUP('Données projet'!$B$15,Paramètres!$A$1:$I$89,3,0)*VLOOKUP('Données projet'!$B$15,Paramètres!$A$1:$I$89,5,0)</f>
        <v>-1.0197709343628959E-13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247.31680974612766</v>
      </c>
      <c r="EP136" s="59">
        <f t="shared" si="154"/>
        <v>257.13949761071882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30.559846017708491</v>
      </c>
      <c r="EW136" s="21">
        <f>EXP(-LN(2)/25)*EW135+(1-EXP(-LN(2)/25))/(LN(2)/25)*Calculateur!ER136*Calculateur!ET136*VLOOKUP('Données projet'!$B$15,Paramètres!$A$1:$I$89,3,0)*0.475*44/12</f>
        <v>4.7748389249005712</v>
      </c>
      <c r="EX136" s="21">
        <f>EXP(-LN(2)/2)*EX135+(1-EXP(-LN(2)/2))/(LN(2)/2)*ER136*EU136*VLOOKUP('Données projet'!$B$15,Paramètres!$A$1:$I$89,3,0)*0.475*44/12</f>
        <v>3.2888997394623433E-10</v>
      </c>
      <c r="EY136" s="22">
        <f t="shared" si="129"/>
        <v>35.334684942937947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23.830559999999974</v>
      </c>
      <c r="D137" s="11">
        <f t="shared" si="140"/>
        <v>7.5925539483832818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48.512877674696959</v>
      </c>
      <c r="H137" s="67">
        <f t="shared" si="110"/>
        <v>311.39525679343416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5.1159076974727213E-13</v>
      </c>
      <c r="O137" s="13">
        <f>N137*VLOOKUP('Données projet'!$B$9,Paramètres!$A$1:$I$89,3,0)*VLOOKUP('Données projet'!$B$9,Paramètres!$A$1:$I$89,5,0)</f>
        <v>2.3942448024172334E-13</v>
      </c>
      <c r="P137" s="13">
        <f t="shared" si="141"/>
        <v>3.2492669905861755E-12</v>
      </c>
      <c r="Q137" s="20">
        <f t="shared" si="108"/>
        <v>6.0761376450252565E-12</v>
      </c>
      <c r="R137" s="59">
        <f t="shared" si="109"/>
        <v>293.3333333333394</v>
      </c>
      <c r="S137" s="59">
        <f ca="1">AVERAGE(OFFSET($R$3,0,0,'Données projet'!$E$9+1,1))-AVERAGE(OFFSET($H$3,0,0,'Données projet'!$E$9+1,1))</f>
        <v>223.99456146593315</v>
      </c>
      <c r="T137" s="59">
        <f t="shared" si="142"/>
        <v>132.73290587325937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81.49996733652803</v>
      </c>
      <c r="AA137" s="21">
        <f>EXP(-LN(2)/25)*AA136+(1-EXP(-LN(2)/25))/(LN(2)/25)*Calculateur!V137*Calculateur!X137*VLOOKUP('Données projet'!$B$9,Paramètres!$A$1:$I$89,3,0)*0.475*44/12</f>
        <v>16.623630993731211</v>
      </c>
      <c r="AB137" s="21">
        <f>EXP(-LN(2)/2)*AB136+(1-EXP(-LN(2)/2))/(LN(2)/2)*V137*Y137*VLOOKUP('Données projet'!$B$9,Paramètres!$A$1:$I$89,3,0)*0.475*44/12</f>
        <v>3.1675983025854565E-3</v>
      </c>
      <c r="AC137" s="22">
        <f t="shared" si="111"/>
        <v>98.126765928561824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8.5265128291212022E-14</v>
      </c>
      <c r="AJ137" s="13">
        <f>AI137*VLOOKUP('Données projet'!$B$10,Paramètres!$A$1:$I$89,3,0)*VLOOKUP('Données projet'!$B$10,Paramètres!$A$1:$I$89,5,0)</f>
        <v>5.5865712056402117E-14</v>
      </c>
      <c r="AK137" s="13">
        <f t="shared" si="143"/>
        <v>8.9811031843713517E-13</v>
      </c>
      <c r="AL137" s="20">
        <f t="shared" si="112"/>
        <v>1.6615082531095774E-12</v>
      </c>
      <c r="AM137" s="59">
        <f t="shared" si="113"/>
        <v>293.33333333333496</v>
      </c>
      <c r="AN137" s="59">
        <f ca="1">AVERAGE(OFFSET($AM$3,0,0,'Données projet'!$E$10+1,1))-AVERAGE(OFFSET($H$3,0,0,'Données projet'!$E$10+1,1))</f>
        <v>244.43587473734613</v>
      </c>
      <c r="AO137" s="59">
        <f t="shared" si="144"/>
        <v>256.80261402149375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7.7109268418128112</v>
      </c>
      <c r="AV137" s="21">
        <f>EXP(-LN(2)/25)*AV136+(1-EXP(-LN(2)/25))/(LN(2)/25)*Calculateur!AQ137*Calculateur!AS137*VLOOKUP('Données projet'!$B$10,Paramètres!$A$1:$I$89,3,0)*0.475*44/12</f>
        <v>14.918641696353143</v>
      </c>
      <c r="AW137" s="21">
        <f>EXP(-LN(2)/2)*AW136+(1-EXP(-LN(2)/2))/(LN(2)/2)*AQ137*AT137*VLOOKUP('Données projet'!$B$10,Paramètres!$A$1:$I$89,3,0)*0.475*44/12</f>
        <v>7.4678151072364854E-6</v>
      </c>
      <c r="AX137" s="21">
        <f t="shared" si="114"/>
        <v>22.629576005981061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-2.2737367544323206E-13</v>
      </c>
      <c r="BE137" s="13">
        <f>BD137*VLOOKUP('Données projet'!$B$11,Paramètres!$A$1:$I$89,3,0)*VLOOKUP('Données projet'!$B$11,Paramètres!$A$1:$I$89,5,0)</f>
        <v>-1.2710188457276673E-13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430.60186171079067</v>
      </c>
      <c r="BJ137" s="59">
        <f t="shared" si="146"/>
        <v>533.76627289533985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59.768615788117906</v>
      </c>
      <c r="BQ137" s="21">
        <f>EXP(-LN(2)/25)*BQ136+(1-EXP(-LN(2)/25))/(LN(2)/25)*Calculateur!BL137*Calculateur!BN137*VLOOKUP('Données projet'!$B$11,Paramètres!$A$1:$I$89,3,0)*0.475*44/12</f>
        <v>8.279450275433625</v>
      </c>
      <c r="BR137" s="21">
        <f>EXP(-LN(2)/2)*BR136+(1-EXP(-LN(2)/2))/(LN(2)/2)*BL137*BO137*VLOOKUP('Données projet'!$B$11,Paramètres!$A$1:$I$89,3,0)*0.475*44/12</f>
        <v>4.0978812027103626E-10</v>
      </c>
      <c r="BS137" s="22">
        <f t="shared" si="117"/>
        <v>68.048066063961315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-1.69961822393816E-13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215.89467197072673</v>
      </c>
      <c r="CE137" s="59">
        <f t="shared" si="148"/>
        <v>188.21397398859534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39.192392662001971</v>
      </c>
      <c r="CL137" s="21">
        <f>EXP(-LN(2)/25)*CL136+(1-EXP(-LN(2)/25))/(LN(2)/25)*Calculateur!CG137*Calculateur!CI137*VLOOKUP('Données projet'!$B$12,Paramètres!$A$1:$I$89,3,0)*0.475*44/12</f>
        <v>6.2617980142596785</v>
      </c>
      <c r="CM137" s="21">
        <f>EXP(-LN(2)/2)*CM136+(1-EXP(-LN(2)/2))/(LN(2)/2)*CG137*CJ137*VLOOKUP('Données projet'!$B$12,Paramètres!$A$1:$I$89,3,0)*0.475*44/12</f>
        <v>2.076996656704619E-7</v>
      </c>
      <c r="CN137" s="22">
        <f t="shared" si="120"/>
        <v>45.45419088396131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4.9871794871794863</v>
      </c>
      <c r="CT137" s="12">
        <f>IF('Données projet'!$A$140&gt;35,CT136+CS137-DB136,IF(A137&lt;'Données projet'!$A$140,$CQ$205^A137,IF(A137='Données projet'!$A$140,'Données projet'!$B$140,CT136+CS137-DB136)))</f>
        <v>213.98076923076925</v>
      </c>
      <c r="CU137" s="17">
        <f>CT137*VLOOKUP('Données projet'!$B$13,Paramètres!$A$1:$I$89,3,0)*VLOOKUP('Données projet'!$B$13,Paramètres!$A$1:$I$89,5,0)</f>
        <v>216.97650000000007</v>
      </c>
      <c r="CV137" s="13">
        <f t="shared" si="149"/>
        <v>53.457214608492905</v>
      </c>
      <c r="CW137" s="20">
        <f t="shared" si="121"/>
        <v>471.00538627645864</v>
      </c>
      <c r="CX137" s="59">
        <f t="shared" si="122"/>
        <v>764.33871960979195</v>
      </c>
      <c r="CY137" s="59">
        <f ca="1">AVERAGE(OFFSET($CX$3,0,0,'Données projet'!$E$13+1,1))-AVERAGE(OFFSET($H$3,0,0,'Données projet'!$E$13+1,1))</f>
        <v>342.82846711287749</v>
      </c>
      <c r="CZ137" s="59">
        <f t="shared" si="150"/>
        <v>152.87724741106297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31.526053621322493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31.526053621322493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208.48147873805715</v>
      </c>
      <c r="DU137" s="59">
        <f t="shared" si="152"/>
        <v>209.50570914630686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19.965035953462888</v>
      </c>
      <c r="EB137" s="21">
        <f>EXP(-LN(2)/25)*EB136+(1-EXP(-LN(2)/25))/(LN(2)/25)*Calculateur!DW137*Calculateur!DY137*VLOOKUP('Données projet'!$B$14,Paramètres!$A$1:$I$89,3,0)*0.475*44/12</f>
        <v>4.2745693411308885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24.239605294593776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-1.7053025658242404E-13</v>
      </c>
      <c r="EK137" s="17">
        <f>EJ137*VLOOKUP('Données projet'!$B$15,Paramètres!$A$1:$I$89,3,0)*VLOOKUP('Données projet'!$B$15,Paramètres!$A$1:$I$89,5,0)</f>
        <v>-1.0197709343628959E-13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247.31680974612766</v>
      </c>
      <c r="EP137" s="59">
        <f t="shared" si="154"/>
        <v>257.13949761071882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29.960586076966784</v>
      </c>
      <c r="EW137" s="21">
        <f>EXP(-LN(2)/25)*EW136+(1-EXP(-LN(2)/25))/(LN(2)/25)*Calculateur!ER137*Calculateur!ET137*VLOOKUP('Données projet'!$B$15,Paramètres!$A$1:$I$89,3,0)*0.475*44/12</f>
        <v>4.6442707034012987</v>
      </c>
      <c r="EX137" s="21">
        <f>EXP(-LN(2)/2)*EX136+(1-EXP(-LN(2)/2))/(LN(2)/2)*ER137*EU137*VLOOKUP('Données projet'!$B$15,Paramètres!$A$1:$I$89,3,0)*0.475*44/12</f>
        <v>2.3256033084164926E-10</v>
      </c>
      <c r="EY137" s="22">
        <f t="shared" si="129"/>
        <v>34.604856780600642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24.008399999999973</v>
      </c>
      <c r="D138" s="11">
        <f t="shared" si="140"/>
        <v>7.6425977910346896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48.864698344053515</v>
      </c>
      <c r="H138" s="67">
        <f t="shared" si="110"/>
        <v>311.79215448605203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5.1159076974727213E-13</v>
      </c>
      <c r="O138" s="13">
        <f>N138*VLOOKUP('Données projet'!$B$9,Paramètres!$A$1:$I$89,3,0)*VLOOKUP('Données projet'!$B$9,Paramètres!$A$1:$I$89,5,0)</f>
        <v>2.3942448024172334E-13</v>
      </c>
      <c r="P138" s="13">
        <f t="shared" si="141"/>
        <v>3.2492669905861755E-12</v>
      </c>
      <c r="Q138" s="20">
        <f t="shared" si="108"/>
        <v>6.0761376450252565E-12</v>
      </c>
      <c r="R138" s="59">
        <f t="shared" si="109"/>
        <v>293.3333333333394</v>
      </c>
      <c r="S138" s="59">
        <f ca="1">AVERAGE(OFFSET($R$3,0,0,'Données projet'!$E$9+1,1))-AVERAGE(OFFSET($H$3,0,0,'Données projet'!$E$9+1,1))</f>
        <v>223.99456146593315</v>
      </c>
      <c r="T138" s="59">
        <f t="shared" si="142"/>
        <v>132.73290587325937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79.901802687130328</v>
      </c>
      <c r="AA138" s="21">
        <f>EXP(-LN(2)/25)*AA137+(1-EXP(-LN(2)/25))/(LN(2)/25)*Calculateur!V138*Calculateur!X138*VLOOKUP('Données projet'!$B$9,Paramètres!$A$1:$I$89,3,0)*0.475*44/12</f>
        <v>16.169056930008871</v>
      </c>
      <c r="AB138" s="21">
        <f>EXP(-LN(2)/2)*AB137+(1-EXP(-LN(2)/2))/(LN(2)/2)*V138*Y138*VLOOKUP('Données projet'!$B$9,Paramètres!$A$1:$I$89,3,0)*0.475*44/12</f>
        <v>2.2398302398331737E-3</v>
      </c>
      <c r="AC138" s="22">
        <f t="shared" si="111"/>
        <v>96.073099447379036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8.5265128291212022E-14</v>
      </c>
      <c r="AJ138" s="13">
        <f>AI138*VLOOKUP('Données projet'!$B$10,Paramètres!$A$1:$I$89,3,0)*VLOOKUP('Données projet'!$B$10,Paramètres!$A$1:$I$89,5,0)</f>
        <v>5.5865712056402117E-14</v>
      </c>
      <c r="AK138" s="13">
        <f t="shared" si="143"/>
        <v>8.9811031843713517E-13</v>
      </c>
      <c r="AL138" s="20">
        <f t="shared" si="112"/>
        <v>1.6615082531095774E-12</v>
      </c>
      <c r="AM138" s="59">
        <f t="shared" si="113"/>
        <v>293.33333333333496</v>
      </c>
      <c r="AN138" s="59">
        <f ca="1">AVERAGE(OFFSET($AM$3,0,0,'Données projet'!$E$10+1,1))-AVERAGE(OFFSET($H$3,0,0,'Données projet'!$E$10+1,1))</f>
        <v>244.43587473734613</v>
      </c>
      <c r="AO138" s="59">
        <f t="shared" si="144"/>
        <v>256.80261402149375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7.5597202696458332</v>
      </c>
      <c r="AV138" s="21">
        <f>EXP(-LN(2)/25)*AV137+(1-EXP(-LN(2)/25))/(LN(2)/25)*Calculateur!AQ138*Calculateur!AS138*VLOOKUP('Données projet'!$B$10,Paramètres!$A$1:$I$89,3,0)*0.475*44/12</f>
        <v>14.510690654629096</v>
      </c>
      <c r="AW138" s="21">
        <f>EXP(-LN(2)/2)*AW137+(1-EXP(-LN(2)/2))/(LN(2)/2)*AQ138*AT138*VLOOKUP('Données projet'!$B$10,Paramètres!$A$1:$I$89,3,0)*0.475*44/12</f>
        <v>5.2805427029742638E-6</v>
      </c>
      <c r="AX138" s="21">
        <f t="shared" si="114"/>
        <v>22.070416204817633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-2.2737367544323206E-13</v>
      </c>
      <c r="BE138" s="13">
        <f>BD138*VLOOKUP('Données projet'!$B$11,Paramètres!$A$1:$I$89,3,0)*VLOOKUP('Données projet'!$B$11,Paramètres!$A$1:$I$89,5,0)</f>
        <v>-1.2710188457276673E-13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430.60186171079067</v>
      </c>
      <c r="BJ138" s="59">
        <f t="shared" si="146"/>
        <v>533.76627289533985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58.596589687768883</v>
      </c>
      <c r="BQ138" s="21">
        <f>EXP(-LN(2)/25)*BQ137+(1-EXP(-LN(2)/25))/(LN(2)/25)*Calculateur!BL138*Calculateur!BN138*VLOOKUP('Données projet'!$B$11,Paramètres!$A$1:$I$89,3,0)*0.475*44/12</f>
        <v>8.0530482722545251</v>
      </c>
      <c r="BR138" s="21">
        <f>EXP(-LN(2)/2)*BR137+(1-EXP(-LN(2)/2))/(LN(2)/2)*BL138*BO138*VLOOKUP('Données projet'!$B$11,Paramètres!$A$1:$I$89,3,0)*0.475*44/12</f>
        <v>2.8976395869333825E-10</v>
      </c>
      <c r="BS138" s="22">
        <f t="shared" si="117"/>
        <v>66.649637960313171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-1.69961822393816E-13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215.89467197072673</v>
      </c>
      <c r="CE138" s="59">
        <f t="shared" si="148"/>
        <v>188.21397398859534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38.423853746899212</v>
      </c>
      <c r="CL138" s="21">
        <f>EXP(-LN(2)/25)*CL137+(1-EXP(-LN(2)/25))/(LN(2)/25)*Calculateur!CG138*Calculateur!CI138*VLOOKUP('Données projet'!$B$12,Paramètres!$A$1:$I$89,3,0)*0.475*44/12</f>
        <v>6.0905688182661013</v>
      </c>
      <c r="CM138" s="21">
        <f>EXP(-LN(2)/2)*CM137+(1-EXP(-LN(2)/2))/(LN(2)/2)*CG138*CJ138*VLOOKUP('Données projet'!$B$12,Paramètres!$A$1:$I$89,3,0)*0.475*44/12</f>
        <v>1.4686584204576238E-7</v>
      </c>
      <c r="CN138" s="22">
        <f t="shared" si="120"/>
        <v>44.514422712031156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4.9871794871794863</v>
      </c>
      <c r="CT138" s="12">
        <f>IF('Données projet'!$A$140&gt;35,CT137+CS138-DB137,IF(A138&lt;'Données projet'!$A$140,$CQ$205^A138,IF(A138='Données projet'!$A$140,'Données projet'!$B$140,CT137+CS138-DB137)))</f>
        <v>218.96794871794873</v>
      </c>
      <c r="CU138" s="17">
        <f>CT138*VLOOKUP('Données projet'!$B$13,Paramètres!$A$1:$I$89,3,0)*VLOOKUP('Données projet'!$B$13,Paramètres!$A$1:$I$89,5,0)</f>
        <v>222.03350000000003</v>
      </c>
      <c r="CV138" s="13">
        <f t="shared" si="149"/>
        <v>54.556619952510694</v>
      </c>
      <c r="CW138" s="20">
        <f t="shared" si="121"/>
        <v>481.72779225062283</v>
      </c>
      <c r="CX138" s="59">
        <f t="shared" si="122"/>
        <v>775.06112558395614</v>
      </c>
      <c r="CY138" s="59">
        <f ca="1">AVERAGE(OFFSET($CX$3,0,0,'Données projet'!$E$13+1,1))-AVERAGE(OFFSET($H$3,0,0,'Données projet'!$E$13+1,1))</f>
        <v>342.82846711287749</v>
      </c>
      <c r="CZ138" s="59">
        <f t="shared" si="150"/>
        <v>152.87724741106297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30.907846938802361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30.907846938802361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208.48147873805715</v>
      </c>
      <c r="DU138" s="59">
        <f t="shared" si="152"/>
        <v>209.50570914630686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19.573533775884986</v>
      </c>
      <c r="EB138" s="21">
        <f>EXP(-LN(2)/25)*EB137+(1-EXP(-LN(2)/25))/(LN(2)/25)*Calculateur!DW138*Calculateur!DY138*VLOOKUP('Données projet'!$B$14,Paramètres!$A$1:$I$89,3,0)*0.475*44/12</f>
        <v>4.1576810177078327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23.731214793592819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-1.7053025658242404E-13</v>
      </c>
      <c r="EK138" s="17">
        <f>EJ138*VLOOKUP('Données projet'!$B$15,Paramètres!$A$1:$I$89,3,0)*VLOOKUP('Données projet'!$B$15,Paramètres!$A$1:$I$89,5,0)</f>
        <v>-1.0197709343628959E-13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247.31680974612766</v>
      </c>
      <c r="EP138" s="59">
        <f t="shared" si="154"/>
        <v>257.13949761071882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29.373077258150548</v>
      </c>
      <c r="EW138" s="21">
        <f>EXP(-LN(2)/25)*EW137+(1-EXP(-LN(2)/25))/(LN(2)/25)*Calculateur!ER138*Calculateur!ET138*VLOOKUP('Données projet'!$B$15,Paramètres!$A$1:$I$89,3,0)*0.475*44/12</f>
        <v>4.5172728767852082</v>
      </c>
      <c r="EX138" s="21">
        <f>EXP(-LN(2)/2)*EX137+(1-EXP(-LN(2)/2))/(LN(2)/2)*ER138*EU138*VLOOKUP('Données projet'!$B$15,Paramètres!$A$1:$I$89,3,0)*0.475*44/12</f>
        <v>1.6444498697311719E-10</v>
      </c>
      <c r="EY138" s="22">
        <f t="shared" si="129"/>
        <v>33.890350135100206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24.186239999999973</v>
      </c>
      <c r="D139" s="11">
        <f t="shared" si="140"/>
        <v>7.6925985029522987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49.216452425610527</v>
      </c>
      <c r="H139" s="67">
        <f t="shared" si="110"/>
        <v>312.18897705930857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5.1159076974727213E-13</v>
      </c>
      <c r="O139" s="13">
        <f>N139*VLOOKUP('Données projet'!$B$9,Paramètres!$A$1:$I$89,3,0)*VLOOKUP('Données projet'!$B$9,Paramètres!$A$1:$I$89,5,0)</f>
        <v>2.3942448024172334E-13</v>
      </c>
      <c r="P139" s="13">
        <f t="shared" si="141"/>
        <v>3.2492669905861755E-12</v>
      </c>
      <c r="Q139" s="20">
        <f t="shared" si="108"/>
        <v>6.0761376450252565E-12</v>
      </c>
      <c r="R139" s="59">
        <f t="shared" si="109"/>
        <v>293.3333333333394</v>
      </c>
      <c r="S139" s="59">
        <f ca="1">AVERAGE(OFFSET($R$3,0,0,'Données projet'!$E$9+1,1))-AVERAGE(OFFSET($H$3,0,0,'Données projet'!$E$9+1,1))</f>
        <v>223.99456146593315</v>
      </c>
      <c r="T139" s="59">
        <f t="shared" si="142"/>
        <v>132.73290587325937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78.334977071723131</v>
      </c>
      <c r="AA139" s="21">
        <f>EXP(-LN(2)/25)*AA138+(1-EXP(-LN(2)/25))/(LN(2)/25)*Calculateur!V139*Calculateur!X139*VLOOKUP('Données projet'!$B$9,Paramètres!$A$1:$I$89,3,0)*0.475*44/12</f>
        <v>15.726913217964029</v>
      </c>
      <c r="AB139" s="21">
        <f>EXP(-LN(2)/2)*AB138+(1-EXP(-LN(2)/2))/(LN(2)/2)*V139*Y139*VLOOKUP('Données projet'!$B$9,Paramètres!$A$1:$I$89,3,0)*0.475*44/12</f>
        <v>1.5837991512927282E-3</v>
      </c>
      <c r="AC139" s="22">
        <f t="shared" si="111"/>
        <v>94.063474088838447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8.5265128291212022E-14</v>
      </c>
      <c r="AJ139" s="13">
        <f>AI139*VLOOKUP('Données projet'!$B$10,Paramètres!$A$1:$I$89,3,0)*VLOOKUP('Données projet'!$B$10,Paramètres!$A$1:$I$89,5,0)</f>
        <v>5.5865712056402117E-14</v>
      </c>
      <c r="AK139" s="13">
        <f t="shared" si="143"/>
        <v>8.9811031843713517E-13</v>
      </c>
      <c r="AL139" s="20">
        <f t="shared" si="112"/>
        <v>1.6615082531095774E-12</v>
      </c>
      <c r="AM139" s="59">
        <f t="shared" si="113"/>
        <v>293.33333333333496</v>
      </c>
      <c r="AN139" s="59">
        <f ca="1">AVERAGE(OFFSET($AM$3,0,0,'Données projet'!$E$10+1,1))-AVERAGE(OFFSET($H$3,0,0,'Données projet'!$E$10+1,1))</f>
        <v>244.43587473734613</v>
      </c>
      <c r="AO139" s="59">
        <f t="shared" si="144"/>
        <v>256.80261402149375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7.4114787661321468</v>
      </c>
      <c r="AV139" s="21">
        <f>EXP(-LN(2)/25)*AV138+(1-EXP(-LN(2)/25))/(LN(2)/25)*Calculateur!AQ139*Calculateur!AS139*VLOOKUP('Données projet'!$B$10,Paramètres!$A$1:$I$89,3,0)*0.475*44/12</f>
        <v>14.113895055594206</v>
      </c>
      <c r="AW139" s="21">
        <f>EXP(-LN(2)/2)*AW138+(1-EXP(-LN(2)/2))/(LN(2)/2)*AQ139*AT139*VLOOKUP('Données projet'!$B$10,Paramètres!$A$1:$I$89,3,0)*0.475*44/12</f>
        <v>3.7339075536182431E-6</v>
      </c>
      <c r="AX139" s="21">
        <f t="shared" si="114"/>
        <v>21.525377555633909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-2.2737367544323206E-13</v>
      </c>
      <c r="BE139" s="13">
        <f>BD139*VLOOKUP('Données projet'!$B$11,Paramètres!$A$1:$I$89,3,0)*VLOOKUP('Données projet'!$B$11,Paramètres!$A$1:$I$89,5,0)</f>
        <v>-1.2710188457276673E-13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430.60186171079067</v>
      </c>
      <c r="BJ139" s="59">
        <f t="shared" si="146"/>
        <v>533.76627289533985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57.447546304382378</v>
      </c>
      <c r="BQ139" s="21">
        <f>EXP(-LN(2)/25)*BQ138+(1-EXP(-LN(2)/25))/(LN(2)/25)*Calculateur!BL139*Calculateur!BN139*VLOOKUP('Données projet'!$B$11,Paramètres!$A$1:$I$89,3,0)*0.475*44/12</f>
        <v>7.8328372437583216</v>
      </c>
      <c r="BR139" s="21">
        <f>EXP(-LN(2)/2)*BR138+(1-EXP(-LN(2)/2))/(LN(2)/2)*BL139*BO139*VLOOKUP('Données projet'!$B$11,Paramètres!$A$1:$I$89,3,0)*0.475*44/12</f>
        <v>2.0489406013551813E-10</v>
      </c>
      <c r="BS139" s="22">
        <f t="shared" si="117"/>
        <v>65.280383548345597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-1.69961822393816E-13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215.89467197072673</v>
      </c>
      <c r="CE139" s="59">
        <f t="shared" si="148"/>
        <v>188.21397398859534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37.670385411159167</v>
      </c>
      <c r="CL139" s="21">
        <f>EXP(-LN(2)/25)*CL138+(1-EXP(-LN(2)/25))/(LN(2)/25)*Calculateur!CG139*Calculateur!CI139*VLOOKUP('Données projet'!$B$12,Paramètres!$A$1:$I$89,3,0)*0.475*44/12</f>
        <v>5.9240218936415205</v>
      </c>
      <c r="CM139" s="21">
        <f>EXP(-LN(2)/2)*CM138+(1-EXP(-LN(2)/2))/(LN(2)/2)*CG139*CJ139*VLOOKUP('Données projet'!$B$12,Paramètres!$A$1:$I$89,3,0)*0.475*44/12</f>
        <v>1.0384983283523095E-7</v>
      </c>
      <c r="CN139" s="22">
        <f t="shared" si="120"/>
        <v>43.594407408650525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4.9871794871794863</v>
      </c>
      <c r="CT139" s="12">
        <f>IF('Données projet'!$A$140&gt;35,CT138+CS139-DB138,IF(A139&lt;'Données projet'!$A$140,$CQ$205^A139,IF(A139='Données projet'!$A$140,'Données projet'!$B$140,CT138+CS139-DB138)))</f>
        <v>223.9551282051282</v>
      </c>
      <c r="CU139" s="17">
        <f>CT139*VLOOKUP('Données projet'!$B$13,Paramètres!$A$1:$I$89,3,0)*VLOOKUP('Données projet'!$B$13,Paramètres!$A$1:$I$89,5,0)</f>
        <v>227.09049999999999</v>
      </c>
      <c r="CV139" s="13">
        <f t="shared" si="149"/>
        <v>55.653114248263527</v>
      </c>
      <c r="CW139" s="20">
        <f t="shared" si="121"/>
        <v>492.44512814905892</v>
      </c>
      <c r="CX139" s="59">
        <f t="shared" si="122"/>
        <v>785.77846148239223</v>
      </c>
      <c r="CY139" s="59">
        <f ca="1">AVERAGE(OFFSET($CX$3,0,0,'Données projet'!$E$13+1,1))-AVERAGE(OFFSET($H$3,0,0,'Données projet'!$E$13+1,1))</f>
        <v>342.82846711287749</v>
      </c>
      <c r="CZ139" s="59">
        <f t="shared" si="150"/>
        <v>152.87724741106297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30.301762912257608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30.301762912257608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208.48147873805715</v>
      </c>
      <c r="DU139" s="59">
        <f t="shared" si="152"/>
        <v>209.50570914630686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19.189708717216639</v>
      </c>
      <c r="EB139" s="21">
        <f>EXP(-LN(2)/25)*EB138+(1-EXP(-LN(2)/25))/(LN(2)/25)*Calculateur!DW139*Calculateur!DY139*VLOOKUP('Données projet'!$B$14,Paramètres!$A$1:$I$89,3,0)*0.475*44/12</f>
        <v>4.04398901163567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23.233697728852309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-1.7053025658242404E-13</v>
      </c>
      <c r="EK139" s="17">
        <f>EJ139*VLOOKUP('Données projet'!$B$15,Paramètres!$A$1:$I$89,3,0)*VLOOKUP('Données projet'!$B$15,Paramètres!$A$1:$I$89,5,0)</f>
        <v>-1.0197709343628959E-13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247.31680974612766</v>
      </c>
      <c r="EP139" s="59">
        <f t="shared" si="154"/>
        <v>257.13949761071882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28.797089128926306</v>
      </c>
      <c r="EW139" s="21">
        <f>EXP(-LN(2)/25)*EW138+(1-EXP(-LN(2)/25))/(LN(2)/25)*Calculateur!ER139*Calculateur!ET139*VLOOKUP('Données projet'!$B$15,Paramètres!$A$1:$I$89,3,0)*0.475*44/12</f>
        <v>4.3937478124164606</v>
      </c>
      <c r="EX139" s="21">
        <f>EXP(-LN(2)/2)*EX138+(1-EXP(-LN(2)/2))/(LN(2)/2)*ER139*EU139*VLOOKUP('Données projet'!$B$15,Paramètres!$A$1:$I$89,3,0)*0.475*44/12</f>
        <v>1.1628016542082464E-10</v>
      </c>
      <c r="EY139" s="22">
        <f t="shared" si="129"/>
        <v>33.190836941459047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24.364079999999973</v>
      </c>
      <c r="D140" s="11">
        <f t="shared" si="140"/>
        <v>7.7425564380436187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49.568140465751519</v>
      </c>
      <c r="H140" s="67">
        <f t="shared" si="110"/>
        <v>312.58572512959262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5.1159076974727213E-13</v>
      </c>
      <c r="O140" s="13">
        <f>N140*VLOOKUP('Données projet'!$B$9,Paramètres!$A$1:$I$89,3,0)*VLOOKUP('Données projet'!$B$9,Paramètres!$A$1:$I$89,5,0)</f>
        <v>2.3942448024172334E-13</v>
      </c>
      <c r="P140" s="13">
        <f t="shared" si="141"/>
        <v>3.2492669905861755E-12</v>
      </c>
      <c r="Q140" s="20">
        <f t="shared" si="108"/>
        <v>6.0761376450252565E-12</v>
      </c>
      <c r="R140" s="59">
        <f t="shared" si="109"/>
        <v>293.3333333333394</v>
      </c>
      <c r="S140" s="59">
        <f ca="1">AVERAGE(OFFSET($R$3,0,0,'Données projet'!$E$9+1,1))-AVERAGE(OFFSET($H$3,0,0,'Données projet'!$E$9+1,1))</f>
        <v>223.99456146593315</v>
      </c>
      <c r="T140" s="59">
        <f t="shared" si="142"/>
        <v>132.73290587325937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76.798875950964813</v>
      </c>
      <c r="AA140" s="21">
        <f>EXP(-LN(2)/25)*AA139+(1-EXP(-LN(2)/25))/(LN(2)/25)*Calculateur!V140*Calculateur!X140*VLOOKUP('Données projet'!$B$9,Paramètres!$A$1:$I$89,3,0)*0.475*44/12</f>
        <v>15.296859948976381</v>
      </c>
      <c r="AB140" s="21">
        <f>EXP(-LN(2)/2)*AB139+(1-EXP(-LN(2)/2))/(LN(2)/2)*V140*Y140*VLOOKUP('Données projet'!$B$9,Paramètres!$A$1:$I$89,3,0)*0.475*44/12</f>
        <v>1.1199151199165868E-3</v>
      </c>
      <c r="AC140" s="22">
        <f t="shared" si="111"/>
        <v>92.096855815061105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8.5265128291212022E-14</v>
      </c>
      <c r="AJ140" s="13">
        <f>AI140*VLOOKUP('Données projet'!$B$10,Paramètres!$A$1:$I$89,3,0)*VLOOKUP('Données projet'!$B$10,Paramètres!$A$1:$I$89,5,0)</f>
        <v>5.5865712056402117E-14</v>
      </c>
      <c r="AK140" s="13">
        <f t="shared" si="143"/>
        <v>8.9811031843713517E-13</v>
      </c>
      <c r="AL140" s="20">
        <f t="shared" si="112"/>
        <v>1.6615082531095774E-12</v>
      </c>
      <c r="AM140" s="59">
        <f t="shared" si="113"/>
        <v>293.33333333333496</v>
      </c>
      <c r="AN140" s="59">
        <f ca="1">AVERAGE(OFFSET($AM$3,0,0,'Données projet'!$E$10+1,1))-AVERAGE(OFFSET($H$3,0,0,'Données projet'!$E$10+1,1))</f>
        <v>244.43587473734613</v>
      </c>
      <c r="AO140" s="59">
        <f t="shared" si="144"/>
        <v>256.80261402149375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7.2661441880839748</v>
      </c>
      <c r="AV140" s="21">
        <f>EXP(-LN(2)/25)*AV139+(1-EXP(-LN(2)/25))/(LN(2)/25)*Calculateur!AQ140*Calculateur!AS140*VLOOKUP('Données projet'!$B$10,Paramètres!$A$1:$I$89,3,0)*0.475*44/12</f>
        <v>13.727949853081499</v>
      </c>
      <c r="AW140" s="21">
        <f>EXP(-LN(2)/2)*AW139+(1-EXP(-LN(2)/2))/(LN(2)/2)*AQ140*AT140*VLOOKUP('Données projet'!$B$10,Paramètres!$A$1:$I$89,3,0)*0.475*44/12</f>
        <v>2.6402713514871323E-6</v>
      </c>
      <c r="AX140" s="21">
        <f t="shared" si="114"/>
        <v>20.994096681436826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-2.2737367544323206E-13</v>
      </c>
      <c r="BE140" s="13">
        <f>BD140*VLOOKUP('Données projet'!$B$11,Paramètres!$A$1:$I$89,3,0)*VLOOKUP('Données projet'!$B$11,Paramètres!$A$1:$I$89,5,0)</f>
        <v>-1.2710188457276673E-13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430.60186171079067</v>
      </c>
      <c r="BJ140" s="59">
        <f t="shared" si="146"/>
        <v>533.76627289533985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56.321034960896817</v>
      </c>
      <c r="BQ140" s="21">
        <f>EXP(-LN(2)/25)*BQ139+(1-EXP(-LN(2)/25))/(LN(2)/25)*Calculateur!BL140*Calculateur!BN140*VLOOKUP('Données projet'!$B$11,Paramètres!$A$1:$I$89,3,0)*0.475*44/12</f>
        <v>7.618647897416742</v>
      </c>
      <c r="BR140" s="21">
        <f>EXP(-LN(2)/2)*BR139+(1-EXP(-LN(2)/2))/(LN(2)/2)*BL140*BO140*VLOOKUP('Données projet'!$B$11,Paramètres!$A$1:$I$89,3,0)*0.475*44/12</f>
        <v>1.4488197934666913E-10</v>
      </c>
      <c r="BS140" s="22">
        <f t="shared" si="117"/>
        <v>63.93968285845844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-1.69961822393816E-13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215.89467197072673</v>
      </c>
      <c r="CE140" s="59">
        <f t="shared" si="148"/>
        <v>188.21397398859534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36.931692129912676</v>
      </c>
      <c r="CL140" s="21">
        <f>EXP(-LN(2)/25)*CL139+(1-EXP(-LN(2)/25))/(LN(2)/25)*Calculateur!CG140*Calculateur!CI140*VLOOKUP('Données projet'!$B$12,Paramètres!$A$1:$I$89,3,0)*0.475*44/12</f>
        <v>5.7620292034291216</v>
      </c>
      <c r="CM140" s="21">
        <f>EXP(-LN(2)/2)*CM139+(1-EXP(-LN(2)/2))/(LN(2)/2)*CG140*CJ140*VLOOKUP('Données projet'!$B$12,Paramètres!$A$1:$I$89,3,0)*0.475*44/12</f>
        <v>7.343292102288119E-8</v>
      </c>
      <c r="CN140" s="22">
        <f t="shared" si="120"/>
        <v>42.693721406774721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4.9871794871794863</v>
      </c>
      <c r="CT140" s="12">
        <f>IF('Données projet'!$A$140&gt;35,CT139+CS140-DB139,IF(A140&lt;'Données projet'!$A$140,$CQ$205^A140,IF(A140='Données projet'!$A$140,'Données projet'!$B$140,CT139+CS140-DB139)))</f>
        <v>228.94230769230768</v>
      </c>
      <c r="CU140" s="17">
        <f>CT140*VLOOKUP('Données projet'!$B$13,Paramètres!$A$1:$I$89,3,0)*VLOOKUP('Données projet'!$B$13,Paramètres!$A$1:$I$89,5,0)</f>
        <v>232.14750000000001</v>
      </c>
      <c r="CV140" s="13">
        <f t="shared" si="149"/>
        <v>56.746769784883</v>
      </c>
      <c r="CW140" s="20">
        <f t="shared" si="121"/>
        <v>503.15751987533787</v>
      </c>
      <c r="CX140" s="59">
        <f t="shared" si="122"/>
        <v>796.49085320867118</v>
      </c>
      <c r="CY140" s="59">
        <f ca="1">AVERAGE(OFFSET($CX$3,0,0,'Données projet'!$E$13+1,1))-AVERAGE(OFFSET($H$3,0,0,'Données projet'!$E$13+1,1))</f>
        <v>342.82846711287749</v>
      </c>
      <c r="CZ140" s="59">
        <f t="shared" si="150"/>
        <v>152.87724741106297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29.707563823798644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29.707563823798644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208.48147873805715</v>
      </c>
      <c r="DU140" s="59">
        <f t="shared" si="152"/>
        <v>209.50570914630686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18.81341023383861</v>
      </c>
      <c r="EB140" s="21">
        <f>EXP(-LN(2)/25)*EB139+(1-EXP(-LN(2)/25))/(LN(2)/25)*Calculateur!DW140*Calculateur!DY140*VLOOKUP('Données projet'!$B$14,Paramètres!$A$1:$I$89,3,0)*0.475*44/12</f>
        <v>3.933405919448353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22.746816153286964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-1.7053025658242404E-13</v>
      </c>
      <c r="EK140" s="17">
        <f>EJ140*VLOOKUP('Données projet'!$B$15,Paramètres!$A$1:$I$89,3,0)*VLOOKUP('Données projet'!$B$15,Paramètres!$A$1:$I$89,5,0)</f>
        <v>-1.0197709343628959E-13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247.31680974612766</v>
      </c>
      <c r="EP140" s="59">
        <f t="shared" si="154"/>
        <v>257.13949761071882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28.232395775598079</v>
      </c>
      <c r="EW140" s="21">
        <f>EXP(-LN(2)/25)*EW139+(1-EXP(-LN(2)/25))/(LN(2)/25)*Calculateur!ER140*Calculateur!ET140*VLOOKUP('Données projet'!$B$15,Paramètres!$A$1:$I$89,3,0)*0.475*44/12</f>
        <v>4.273600547428777</v>
      </c>
      <c r="EX140" s="21">
        <f>EXP(-LN(2)/2)*EX139+(1-EXP(-LN(2)/2))/(LN(2)/2)*ER140*EU140*VLOOKUP('Données projet'!$B$15,Paramètres!$A$1:$I$89,3,0)*0.475*44/12</f>
        <v>8.2222493486558609E-11</v>
      </c>
      <c r="EY140" s="22">
        <f t="shared" si="129"/>
        <v>32.50599632310908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24.541919999999973</v>
      </c>
      <c r="D141" s="11">
        <f t="shared" si="140"/>
        <v>7.792471944751119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49.919763002422741</v>
      </c>
      <c r="H141" s="67">
        <f t="shared" si="110"/>
        <v>312.98239930377486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5.1159076974727213E-13</v>
      </c>
      <c r="O141" s="13">
        <f>N141*VLOOKUP('Données projet'!$B$9,Paramètres!$A$1:$I$89,3,0)*VLOOKUP('Données projet'!$B$9,Paramètres!$A$1:$I$89,5,0)</f>
        <v>2.3942448024172334E-13</v>
      </c>
      <c r="P141" s="13">
        <f t="shared" si="141"/>
        <v>3.2492669905861755E-12</v>
      </c>
      <c r="Q141" s="20">
        <f t="shared" si="108"/>
        <v>6.0761376450252565E-12</v>
      </c>
      <c r="R141" s="59">
        <f t="shared" si="109"/>
        <v>293.3333333333394</v>
      </c>
      <c r="S141" s="59">
        <f ca="1">AVERAGE(OFFSET($R$3,0,0,'Données projet'!$E$9+1,1))-AVERAGE(OFFSET($H$3,0,0,'Données projet'!$E$9+1,1))</f>
        <v>223.99456146593315</v>
      </c>
      <c r="T141" s="59">
        <f t="shared" si="142"/>
        <v>132.73290587325937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75.292896836255395</v>
      </c>
      <c r="AA141" s="21">
        <f>EXP(-LN(2)/25)*AA140+(1-EXP(-LN(2)/25))/(LN(2)/25)*Calculateur!V141*Calculateur!X141*VLOOKUP('Données projet'!$B$9,Paramètres!$A$1:$I$89,3,0)*0.475*44/12</f>
        <v>14.878566509244719</v>
      </c>
      <c r="AB141" s="21">
        <f>EXP(-LN(2)/2)*AB140+(1-EXP(-LN(2)/2))/(LN(2)/2)*V141*Y141*VLOOKUP('Données projet'!$B$9,Paramètres!$A$1:$I$89,3,0)*0.475*44/12</f>
        <v>7.9189957564636411E-4</v>
      </c>
      <c r="AC141" s="22">
        <f t="shared" si="111"/>
        <v>90.17225524507576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8.5265128291212022E-14</v>
      </c>
      <c r="AJ141" s="13">
        <f>AI141*VLOOKUP('Données projet'!$B$10,Paramètres!$A$1:$I$89,3,0)*VLOOKUP('Données projet'!$B$10,Paramètres!$A$1:$I$89,5,0)</f>
        <v>5.5865712056402117E-14</v>
      </c>
      <c r="AK141" s="13">
        <f t="shared" si="143"/>
        <v>8.9811031843713517E-13</v>
      </c>
      <c r="AL141" s="20">
        <f t="shared" si="112"/>
        <v>1.6615082531095774E-12</v>
      </c>
      <c r="AM141" s="59">
        <f t="shared" si="113"/>
        <v>293.33333333333496</v>
      </c>
      <c r="AN141" s="59">
        <f ca="1">AVERAGE(OFFSET($AM$3,0,0,'Données projet'!$E$10+1,1))-AVERAGE(OFFSET($H$3,0,0,'Données projet'!$E$10+1,1))</f>
        <v>244.43587473734613</v>
      </c>
      <c r="AO141" s="59">
        <f t="shared" si="144"/>
        <v>256.80261402149375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7.1236595324659877</v>
      </c>
      <c r="AV141" s="21">
        <f>EXP(-LN(2)/25)*AV140+(1-EXP(-LN(2)/25))/(LN(2)/25)*Calculateur!AQ141*Calculateur!AS141*VLOOKUP('Données projet'!$B$10,Paramètres!$A$1:$I$89,3,0)*0.475*44/12</f>
        <v>13.352558342427479</v>
      </c>
      <c r="AW141" s="21">
        <f>EXP(-LN(2)/2)*AW140+(1-EXP(-LN(2)/2))/(LN(2)/2)*AQ141*AT141*VLOOKUP('Données projet'!$B$10,Paramètres!$A$1:$I$89,3,0)*0.475*44/12</f>
        <v>1.866953776809122E-6</v>
      </c>
      <c r="AX141" s="21">
        <f t="shared" si="114"/>
        <v>20.476219741847242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-2.2737367544323206E-13</v>
      </c>
      <c r="BE141" s="13">
        <f>BD141*VLOOKUP('Données projet'!$B$11,Paramètres!$A$1:$I$89,3,0)*VLOOKUP('Données projet'!$B$11,Paramètres!$A$1:$I$89,5,0)</f>
        <v>-1.2710188457276673E-13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430.60186171079067</v>
      </c>
      <c r="BJ141" s="59">
        <f t="shared" si="146"/>
        <v>533.76627289533985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55.216613817752936</v>
      </c>
      <c r="BQ141" s="21">
        <f>EXP(-LN(2)/25)*BQ140+(1-EXP(-LN(2)/25))/(LN(2)/25)*Calculateur!BL141*Calculateur!BN141*VLOOKUP('Données projet'!$B$11,Paramètres!$A$1:$I$89,3,0)*0.475*44/12</f>
        <v>7.4103155700146006</v>
      </c>
      <c r="BR141" s="21">
        <f>EXP(-LN(2)/2)*BR140+(1-EXP(-LN(2)/2))/(LN(2)/2)*BL141*BO141*VLOOKUP('Données projet'!$B$11,Paramètres!$A$1:$I$89,3,0)*0.475*44/12</f>
        <v>1.0244703006775907E-10</v>
      </c>
      <c r="BS141" s="22">
        <f t="shared" si="117"/>
        <v>62.626929387869986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-1.69961822393816E-13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215.89467197072673</v>
      </c>
      <c r="CE141" s="59">
        <f t="shared" si="148"/>
        <v>188.21397398859534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36.207484173353016</v>
      </c>
      <c r="CL141" s="21">
        <f>EXP(-LN(2)/25)*CL140+(1-EXP(-LN(2)/25))/(LN(2)/25)*Calculateur!CG141*Calculateur!CI141*VLOOKUP('Données projet'!$B$12,Paramètres!$A$1:$I$89,3,0)*0.475*44/12</f>
        <v>5.604466211849406</v>
      </c>
      <c r="CM141" s="21">
        <f>EXP(-LN(2)/2)*CM140+(1-EXP(-LN(2)/2))/(LN(2)/2)*CG141*CJ141*VLOOKUP('Données projet'!$B$12,Paramètres!$A$1:$I$89,3,0)*0.475*44/12</f>
        <v>5.1924916417615476E-8</v>
      </c>
      <c r="CN141" s="22">
        <f t="shared" si="120"/>
        <v>41.811950437127336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4.9871794871794863</v>
      </c>
      <c r="CT141" s="12">
        <f>IF('Données projet'!$A$140&gt;35,CT140+CS141-DB140,IF(A141&lt;'Données projet'!$A$140,$CQ$205^A141,IF(A141='Données projet'!$A$140,'Données projet'!$B$140,CT140+CS141-DB140)))</f>
        <v>233.92948717948715</v>
      </c>
      <c r="CU141" s="17">
        <f>CT141*VLOOKUP('Données projet'!$B$13,Paramètres!$A$1:$I$89,3,0)*VLOOKUP('Données projet'!$B$13,Paramètres!$A$1:$I$89,5,0)</f>
        <v>237.20449999999997</v>
      </c>
      <c r="CV141" s="13">
        <f t="shared" si="149"/>
        <v>57.837655522204443</v>
      </c>
      <c r="CW141" s="20">
        <f t="shared" si="121"/>
        <v>513.86508753450607</v>
      </c>
      <c r="CX141" s="59">
        <f t="shared" si="122"/>
        <v>807.19842086783933</v>
      </c>
      <c r="CY141" s="59">
        <f ca="1">AVERAGE(OFFSET($CX$3,0,0,'Données projet'!$E$13+1,1))-AVERAGE(OFFSET($H$3,0,0,'Données projet'!$E$13+1,1))</f>
        <v>342.82846711287749</v>
      </c>
      <c r="CZ141" s="59">
        <f t="shared" si="150"/>
        <v>152.87724741106297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29.1250166170387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29.1250166170387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208.48147873805715</v>
      </c>
      <c r="DU141" s="59">
        <f t="shared" si="152"/>
        <v>209.50570914630686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18.444490734200212</v>
      </c>
      <c r="EB141" s="21">
        <f>EXP(-LN(2)/25)*EB140+(1-EXP(-LN(2)/25))/(LN(2)/25)*Calculateur!DW141*Calculateur!DY141*VLOOKUP('Données projet'!$B$14,Paramètres!$A$1:$I$89,3,0)*0.475*44/12</f>
        <v>3.8258467277322104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22.270337461932421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-1.7053025658242404E-13</v>
      </c>
      <c r="EK141" s="17">
        <f>EJ141*VLOOKUP('Données projet'!$B$15,Paramètres!$A$1:$I$89,3,0)*VLOOKUP('Données projet'!$B$15,Paramètres!$A$1:$I$89,5,0)</f>
        <v>-1.0197709343628959E-13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247.31680974612766</v>
      </c>
      <c r="EP141" s="59">
        <f t="shared" si="154"/>
        <v>257.13949761071882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27.678775714499682</v>
      </c>
      <c r="EW141" s="21">
        <f>EXP(-LN(2)/25)*EW140+(1-EXP(-LN(2)/25))/(LN(2)/25)*Calculateur!ER141*Calculateur!ET141*VLOOKUP('Données projet'!$B$15,Paramètres!$A$1:$I$89,3,0)*0.475*44/12</f>
        <v>4.1567387157204516</v>
      </c>
      <c r="EX141" s="21">
        <f>EXP(-LN(2)/2)*EX140+(1-EXP(-LN(2)/2))/(LN(2)/2)*ER141*EU141*VLOOKUP('Données projet'!$B$15,Paramètres!$A$1:$I$89,3,0)*0.475*44/12</f>
        <v>5.8140082710412328E-11</v>
      </c>
      <c r="EY141" s="22">
        <f t="shared" si="129"/>
        <v>31.835514430278273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24.719759999999972</v>
      </c>
      <c r="D142" s="11">
        <f t="shared" si="140"/>
        <v>7.842345366175576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50.271320565323656</v>
      </c>
      <c r="H142" s="67">
        <f t="shared" si="110"/>
        <v>313.37900017942241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5.1159076974727213E-13</v>
      </c>
      <c r="O142" s="13">
        <f>N142*VLOOKUP('Données projet'!$B$9,Paramètres!$A$1:$I$89,3,0)*VLOOKUP('Données projet'!$B$9,Paramètres!$A$1:$I$89,5,0)</f>
        <v>2.3942448024172334E-13</v>
      </c>
      <c r="P142" s="13">
        <f t="shared" si="141"/>
        <v>3.2492669905861755E-12</v>
      </c>
      <c r="Q142" s="20">
        <f t="shared" si="108"/>
        <v>6.0761376450252565E-12</v>
      </c>
      <c r="R142" s="59">
        <f t="shared" si="109"/>
        <v>293.3333333333394</v>
      </c>
      <c r="S142" s="59">
        <f ca="1">AVERAGE(OFFSET($R$3,0,0,'Données projet'!$E$9+1,1))-AVERAGE(OFFSET($H$3,0,0,'Données projet'!$E$9+1,1))</f>
        <v>223.99456146593315</v>
      </c>
      <c r="T142" s="59">
        <f t="shared" si="142"/>
        <v>132.73290587325937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73.816449053428869</v>
      </c>
      <c r="AA142" s="21">
        <f>EXP(-LN(2)/25)*AA141+(1-EXP(-LN(2)/25))/(LN(2)/25)*Calculateur!V142*Calculateur!X142*VLOOKUP('Données projet'!$B$9,Paramètres!$A$1:$I$89,3,0)*0.475*44/12</f>
        <v>14.471711325619614</v>
      </c>
      <c r="AB142" s="21">
        <f>EXP(-LN(2)/2)*AB141+(1-EXP(-LN(2)/2))/(LN(2)/2)*V142*Y142*VLOOKUP('Données projet'!$B$9,Paramètres!$A$1:$I$89,3,0)*0.475*44/12</f>
        <v>5.5995755995829342E-4</v>
      </c>
      <c r="AC142" s="22">
        <f t="shared" si="111"/>
        <v>88.288720336608435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8.5265128291212022E-14</v>
      </c>
      <c r="AJ142" s="13">
        <f>AI142*VLOOKUP('Données projet'!$B$10,Paramètres!$A$1:$I$89,3,0)*VLOOKUP('Données projet'!$B$10,Paramètres!$A$1:$I$89,5,0)</f>
        <v>5.5865712056402117E-14</v>
      </c>
      <c r="AK142" s="13">
        <f t="shared" si="143"/>
        <v>8.9811031843713517E-13</v>
      </c>
      <c r="AL142" s="20">
        <f t="shared" si="112"/>
        <v>1.6615082531095774E-12</v>
      </c>
      <c r="AM142" s="59">
        <f t="shared" si="113"/>
        <v>293.33333333333496</v>
      </c>
      <c r="AN142" s="59">
        <f ca="1">AVERAGE(OFFSET($AM$3,0,0,'Données projet'!$E$10+1,1))-AVERAGE(OFFSET($H$3,0,0,'Données projet'!$E$10+1,1))</f>
        <v>244.43587473734613</v>
      </c>
      <c r="AO142" s="59">
        <f t="shared" si="144"/>
        <v>256.80261402149375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6.9839689140376109</v>
      </c>
      <c r="AV142" s="21">
        <f>EXP(-LN(2)/25)*AV141+(1-EXP(-LN(2)/25))/(LN(2)/25)*Calculateur!AQ142*Calculateur!AS142*VLOOKUP('Données projet'!$B$10,Paramètres!$A$1:$I$89,3,0)*0.475*44/12</f>
        <v>12.987431932373273</v>
      </c>
      <c r="AW142" s="21">
        <f>EXP(-LN(2)/2)*AW141+(1-EXP(-LN(2)/2))/(LN(2)/2)*AQ142*AT142*VLOOKUP('Données projet'!$B$10,Paramètres!$A$1:$I$89,3,0)*0.475*44/12</f>
        <v>1.3201356757435664E-6</v>
      </c>
      <c r="AX142" s="21">
        <f t="shared" si="114"/>
        <v>19.971402166546561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-2.2737367544323206E-13</v>
      </c>
      <c r="BE142" s="13">
        <f>BD142*VLOOKUP('Données projet'!$B$11,Paramètres!$A$1:$I$89,3,0)*VLOOKUP('Données projet'!$B$11,Paramètres!$A$1:$I$89,5,0)</f>
        <v>-1.2710188457276673E-13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430.60186171079067</v>
      </c>
      <c r="BJ142" s="59">
        <f t="shared" si="146"/>
        <v>533.76627289533985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54.133849699595721</v>
      </c>
      <c r="BQ142" s="21">
        <f>EXP(-LN(2)/25)*BQ141+(1-EXP(-LN(2)/25))/(LN(2)/25)*Calculateur!BL142*Calculateur!BN142*VLOOKUP('Données projet'!$B$11,Paramètres!$A$1:$I$89,3,0)*0.475*44/12</f>
        <v>7.2076801010609923</v>
      </c>
      <c r="BR142" s="21">
        <f>EXP(-LN(2)/2)*BR141+(1-EXP(-LN(2)/2))/(LN(2)/2)*BL142*BO142*VLOOKUP('Données projet'!$B$11,Paramètres!$A$1:$I$89,3,0)*0.475*44/12</f>
        <v>7.2440989673334563E-11</v>
      </c>
      <c r="BS142" s="22">
        <f t="shared" si="117"/>
        <v>61.341529800729155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-1.69961822393816E-13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215.89467197072673</v>
      </c>
      <c r="CE142" s="59">
        <f t="shared" si="148"/>
        <v>188.21397398859534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35.497477493098259</v>
      </c>
      <c r="CL142" s="21">
        <f>EXP(-LN(2)/25)*CL141+(1-EXP(-LN(2)/25))/(LN(2)/25)*Calculateur!CG142*Calculateur!CI142*VLOOKUP('Données projet'!$B$12,Paramètres!$A$1:$I$89,3,0)*0.475*44/12</f>
        <v>5.4512117885603146</v>
      </c>
      <c r="CM142" s="21">
        <f>EXP(-LN(2)/2)*CM141+(1-EXP(-LN(2)/2))/(LN(2)/2)*CG142*CJ142*VLOOKUP('Données projet'!$B$12,Paramètres!$A$1:$I$89,3,0)*0.475*44/12</f>
        <v>3.6716460511440595E-8</v>
      </c>
      <c r="CN142" s="22">
        <f t="shared" si="120"/>
        <v>40.948689318375031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4.9871794871794863</v>
      </c>
      <c r="CT142" s="12">
        <f>IF('Données projet'!$A$140&gt;35,CT141+CS142-DB141,IF(A142&lt;'Données projet'!$A$140,$CQ$205^A142,IF(A142='Données projet'!$A$140,'Données projet'!$B$140,CT141+CS142-DB141)))</f>
        <v>238.91666666666663</v>
      </c>
      <c r="CU142" s="17">
        <f>CT142*VLOOKUP('Données projet'!$B$13,Paramètres!$A$1:$I$89,3,0)*VLOOKUP('Données projet'!$B$13,Paramètres!$A$1:$I$89,5,0)</f>
        <v>242.26149999999998</v>
      </c>
      <c r="CV142" s="13">
        <f t="shared" si="149"/>
        <v>58.925837311755139</v>
      </c>
      <c r="CW142" s="20">
        <f t="shared" si="121"/>
        <v>524.56794581797351</v>
      </c>
      <c r="CX142" s="59">
        <f t="shared" si="122"/>
        <v>817.90127915130688</v>
      </c>
      <c r="CY142" s="59">
        <f ca="1">AVERAGE(OFFSET($CX$3,0,0,'Données projet'!$E$13+1,1))-AVERAGE(OFFSET($H$3,0,0,'Données projet'!$E$13+1,1))</f>
        <v>342.82846711287749</v>
      </c>
      <c r="CZ142" s="59">
        <f t="shared" si="150"/>
        <v>152.87724741106297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28.553892805684608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28.553892805684608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208.48147873805715</v>
      </c>
      <c r="DU142" s="59">
        <f t="shared" si="152"/>
        <v>209.50570914630686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18.082805520931046</v>
      </c>
      <c r="EB142" s="21">
        <f>EXP(-LN(2)/25)*EB141+(1-EXP(-LN(2)/25))/(LN(2)/25)*Calculateur!DW142*Calculateur!DY142*VLOOKUP('Données projet'!$B$14,Paramètres!$A$1:$I$89,3,0)*0.475*44/12</f>
        <v>3.7212287477698376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21.804034268700885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-1.7053025658242404E-13</v>
      </c>
      <c r="EK142" s="17">
        <f>EJ142*VLOOKUP('Données projet'!$B$15,Paramètres!$A$1:$I$89,3,0)*VLOOKUP('Données projet'!$B$15,Paramètres!$A$1:$I$89,5,0)</f>
        <v>-1.0197709343628959E-13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247.31680974612766</v>
      </c>
      <c r="EP142" s="59">
        <f t="shared" si="154"/>
        <v>257.13949761071882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27.136011805124532</v>
      </c>
      <c r="EW142" s="21">
        <f>EXP(-LN(2)/25)*EW141+(1-EXP(-LN(2)/25))/(LN(2)/25)*Calculateur!ER142*Calculateur!ET142*VLOOKUP('Données projet'!$B$15,Paramètres!$A$1:$I$89,3,0)*0.475*44/12</f>
        <v>4.0430724769456869</v>
      </c>
      <c r="EX142" s="21">
        <f>EXP(-LN(2)/2)*EX141+(1-EXP(-LN(2)/2))/(LN(2)/2)*ER142*EU142*VLOOKUP('Données projet'!$B$15,Paramètres!$A$1:$I$89,3,0)*0.475*44/12</f>
        <v>4.1111246743279311E-11</v>
      </c>
      <c r="EY142" s="22">
        <f t="shared" si="129"/>
        <v>31.179084282111333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24.897599999999972</v>
      </c>
      <c r="D143" s="11">
        <f t="shared" si="140"/>
        <v>7.8921770401958167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50.622813676091745</v>
      </c>
      <c r="H143" s="67">
        <f t="shared" si="110"/>
        <v>313.77552834500767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5.1159076974727213E-13</v>
      </c>
      <c r="O143" s="13">
        <f>N143*VLOOKUP('Données projet'!$B$9,Paramètres!$A$1:$I$89,3,0)*VLOOKUP('Données projet'!$B$9,Paramètres!$A$1:$I$89,5,0)</f>
        <v>2.3942448024172334E-13</v>
      </c>
      <c r="P143" s="13">
        <f t="shared" si="141"/>
        <v>3.2492669905861755E-12</v>
      </c>
      <c r="Q143" s="20">
        <f t="shared" si="108"/>
        <v>6.0761376450252565E-12</v>
      </c>
      <c r="R143" s="59">
        <f t="shared" si="109"/>
        <v>293.3333333333394</v>
      </c>
      <c r="S143" s="59">
        <f ca="1">AVERAGE(OFFSET($R$3,0,0,'Données projet'!$E$9+1,1))-AVERAGE(OFFSET($H$3,0,0,'Données projet'!$E$9+1,1))</f>
        <v>223.99456146593315</v>
      </c>
      <c r="T143" s="59">
        <f t="shared" si="142"/>
        <v>132.73290587325937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72.36895351107934</v>
      </c>
      <c r="AA143" s="21">
        <f>EXP(-LN(2)/25)*AA142+(1-EXP(-LN(2)/25))/(LN(2)/25)*Calculateur!V143*Calculateur!X143*VLOOKUP('Données projet'!$B$9,Paramètres!$A$1:$I$89,3,0)*0.475*44/12</f>
        <v>14.075981618386322</v>
      </c>
      <c r="AB143" s="21">
        <f>EXP(-LN(2)/2)*AB142+(1-EXP(-LN(2)/2))/(LN(2)/2)*V143*Y143*VLOOKUP('Données projet'!$B$9,Paramètres!$A$1:$I$89,3,0)*0.475*44/12</f>
        <v>3.9594978782318206E-4</v>
      </c>
      <c r="AC143" s="22">
        <f t="shared" si="111"/>
        <v>86.445331079253492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8.5265128291212022E-14</v>
      </c>
      <c r="AJ143" s="13">
        <f>AI143*VLOOKUP('Données projet'!$B$10,Paramètres!$A$1:$I$89,3,0)*VLOOKUP('Données projet'!$B$10,Paramètres!$A$1:$I$89,5,0)</f>
        <v>5.5865712056402117E-14</v>
      </c>
      <c r="AK143" s="13">
        <f t="shared" si="143"/>
        <v>8.9811031843713517E-13</v>
      </c>
      <c r="AL143" s="20">
        <f t="shared" si="112"/>
        <v>1.6615082531095774E-12</v>
      </c>
      <c r="AM143" s="59">
        <f t="shared" si="113"/>
        <v>293.33333333333496</v>
      </c>
      <c r="AN143" s="59">
        <f ca="1">AVERAGE(OFFSET($AM$3,0,0,'Données projet'!$E$10+1,1))-AVERAGE(OFFSET($H$3,0,0,'Données projet'!$E$10+1,1))</f>
        <v>244.43587473734613</v>
      </c>
      <c r="AO143" s="59">
        <f t="shared" si="144"/>
        <v>256.80261402149375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6.8470175434337506</v>
      </c>
      <c r="AV143" s="21">
        <f>EXP(-LN(2)/25)*AV142+(1-EXP(-LN(2)/25))/(LN(2)/25)*Calculateur!AQ143*Calculateur!AS143*VLOOKUP('Données projet'!$B$10,Paramètres!$A$1:$I$89,3,0)*0.475*44/12</f>
        <v>12.632289923203164</v>
      </c>
      <c r="AW143" s="21">
        <f>EXP(-LN(2)/2)*AW142+(1-EXP(-LN(2)/2))/(LN(2)/2)*AQ143*AT143*VLOOKUP('Données projet'!$B$10,Paramètres!$A$1:$I$89,3,0)*0.475*44/12</f>
        <v>9.334768884045611E-7</v>
      </c>
      <c r="AX143" s="21">
        <f t="shared" si="114"/>
        <v>19.479308400113801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-2.2737367544323206E-13</v>
      </c>
      <c r="BE143" s="13">
        <f>BD143*VLOOKUP('Données projet'!$B$11,Paramètres!$A$1:$I$89,3,0)*VLOOKUP('Données projet'!$B$11,Paramètres!$A$1:$I$89,5,0)</f>
        <v>-1.2710188457276673E-13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430.60186171079067</v>
      </c>
      <c r="BJ143" s="59">
        <f t="shared" si="146"/>
        <v>533.76627289533985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53.072317925374669</v>
      </c>
      <c r="BQ143" s="21">
        <f>EXP(-LN(2)/25)*BQ142+(1-EXP(-LN(2)/25))/(LN(2)/25)*Calculateur!BL143*Calculateur!BN143*VLOOKUP('Données projet'!$B$11,Paramètres!$A$1:$I$89,3,0)*0.475*44/12</f>
        <v>7.0105857096620561</v>
      </c>
      <c r="BR143" s="21">
        <f>EXP(-LN(2)/2)*BR142+(1-EXP(-LN(2)/2))/(LN(2)/2)*BL143*BO143*VLOOKUP('Données projet'!$B$11,Paramètres!$A$1:$I$89,3,0)*0.475*44/12</f>
        <v>5.1223515033879533E-11</v>
      </c>
      <c r="BS143" s="22">
        <f t="shared" si="117"/>
        <v>60.082903635087952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-1.69961822393816E-13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215.89467197072673</v>
      </c>
      <c r="CE143" s="59">
        <f t="shared" si="148"/>
        <v>188.21397398859534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34.801393610781986</v>
      </c>
      <c r="CL143" s="21">
        <f>EXP(-LN(2)/25)*CL142+(1-EXP(-LN(2)/25))/(LN(2)/25)*Calculateur!CG143*Calculateur!CI143*VLOOKUP('Données projet'!$B$12,Paramètres!$A$1:$I$89,3,0)*0.475*44/12</f>
        <v>5.3021481155353634</v>
      </c>
      <c r="CM143" s="21">
        <f>EXP(-LN(2)/2)*CM142+(1-EXP(-LN(2)/2))/(LN(2)/2)*CG143*CJ143*VLOOKUP('Données projet'!$B$12,Paramètres!$A$1:$I$89,3,0)*0.475*44/12</f>
        <v>2.5962458208807738E-8</v>
      </c>
      <c r="CN143" s="22">
        <f t="shared" si="120"/>
        <v>40.103541752279803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4.9871794871794863</v>
      </c>
      <c r="CT143" s="12">
        <f>IF('Données projet'!$A$140&gt;35,CT142+CS143-DB142,IF(A143&lt;'Données projet'!$A$140,$CQ$205^A143,IF(A143='Données projet'!$A$140,'Données projet'!$B$140,CT142+CS143-DB142)))</f>
        <v>243.9038461538461</v>
      </c>
      <c r="CU143" s="17">
        <f>CT143*VLOOKUP('Données projet'!$B$13,Paramètres!$A$1:$I$89,3,0)*VLOOKUP('Données projet'!$B$13,Paramètres!$A$1:$I$89,5,0)</f>
        <v>247.31849999999994</v>
      </c>
      <c r="CV143" s="13">
        <f t="shared" si="149"/>
        <v>60.011378098769484</v>
      </c>
      <c r="CW143" s="20">
        <f t="shared" si="121"/>
        <v>535.26620435535676</v>
      </c>
      <c r="CX143" s="59">
        <f t="shared" si="122"/>
        <v>828.59953768869013</v>
      </c>
      <c r="CY143" s="59">
        <f ca="1">AVERAGE(OFFSET($CX$3,0,0,'Données projet'!$E$13+1,1))-AVERAGE(OFFSET($H$3,0,0,'Données projet'!$E$13+1,1))</f>
        <v>342.82846711287749</v>
      </c>
      <c r="CZ143" s="59">
        <f t="shared" si="150"/>
        <v>152.87724741106297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27.993968383920041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27.993968383920041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208.48147873805715</v>
      </c>
      <c r="DU143" s="59">
        <f t="shared" si="152"/>
        <v>209.50570914630686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17.72821273408789</v>
      </c>
      <c r="EB143" s="21">
        <f>EXP(-LN(2)/25)*EB142+(1-EXP(-LN(2)/25))/(LN(2)/25)*Calculateur!DW143*Calculateur!DY143*VLOOKUP('Données projet'!$B$14,Paramètres!$A$1:$I$89,3,0)*0.475*44/12</f>
        <v>3.6194715519711567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21.347684286059046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-1.7053025658242404E-13</v>
      </c>
      <c r="EK143" s="17">
        <f>EJ143*VLOOKUP('Données projet'!$B$15,Paramètres!$A$1:$I$89,3,0)*VLOOKUP('Données projet'!$B$15,Paramètres!$A$1:$I$89,5,0)</f>
        <v>-1.0197709343628959E-13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247.31680974612766</v>
      </c>
      <c r="EP143" s="59">
        <f t="shared" si="154"/>
        <v>257.13949761071882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26.603891164958934</v>
      </c>
      <c r="EW143" s="21">
        <f>EXP(-LN(2)/25)*EW142+(1-EXP(-LN(2)/25))/(LN(2)/25)*Calculateur!ER143*Calculateur!ET143*VLOOKUP('Données projet'!$B$15,Paramètres!$A$1:$I$89,3,0)*0.475*44/12</f>
        <v>3.9325144474476663</v>
      </c>
      <c r="EX143" s="21">
        <f>EXP(-LN(2)/2)*EX142+(1-EXP(-LN(2)/2))/(LN(2)/2)*ER143*EU143*VLOOKUP('Données projet'!$B$15,Paramètres!$A$1:$I$89,3,0)*0.475*44/12</f>
        <v>2.9070041355206171E-11</v>
      </c>
      <c r="EY143" s="22">
        <f t="shared" si="129"/>
        <v>30.536405612435669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25.075439999999972</v>
      </c>
      <c r="D144" s="11">
        <f t="shared" si="140"/>
        <v>7.9419672995848867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50.974242848481886</v>
      </c>
      <c r="H144" s="67">
        <f t="shared" si="110"/>
        <v>314.1719843801103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5.1159076974727213E-13</v>
      </c>
      <c r="O144" s="13">
        <f>N144*VLOOKUP('Données projet'!$B$9,Paramètres!$A$1:$I$89,3,0)*VLOOKUP('Données projet'!$B$9,Paramètres!$A$1:$I$89,5,0)</f>
        <v>2.3942448024172334E-13</v>
      </c>
      <c r="P144" s="13">
        <f t="shared" si="141"/>
        <v>3.2492669905861755E-12</v>
      </c>
      <c r="Q144" s="20">
        <f t="shared" si="108"/>
        <v>6.0761376450252565E-12</v>
      </c>
      <c r="R144" s="59">
        <f t="shared" si="109"/>
        <v>293.3333333333394</v>
      </c>
      <c r="S144" s="59">
        <f ca="1">AVERAGE(OFFSET($R$3,0,0,'Données projet'!$E$9+1,1))-AVERAGE(OFFSET($H$3,0,0,'Données projet'!$E$9+1,1))</f>
        <v>223.99456146593315</v>
      </c>
      <c r="T144" s="59">
        <f t="shared" si="142"/>
        <v>132.73290587325937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70.949842473430181</v>
      </c>
      <c r="AA144" s="21">
        <f>EXP(-LN(2)/25)*AA143+(1-EXP(-LN(2)/25))/(LN(2)/25)*Calculateur!V144*Calculateur!X144*VLOOKUP('Données projet'!$B$9,Paramètres!$A$1:$I$89,3,0)*0.475*44/12</f>
        <v>13.691073160807846</v>
      </c>
      <c r="AB144" s="21">
        <f>EXP(-LN(2)/2)*AB143+(1-EXP(-LN(2)/2))/(LN(2)/2)*V144*Y144*VLOOKUP('Données projet'!$B$9,Paramètres!$A$1:$I$89,3,0)*0.475*44/12</f>
        <v>2.7997877997914671E-4</v>
      </c>
      <c r="AC144" s="22">
        <f t="shared" si="111"/>
        <v>84.641195613018013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8.5265128291212022E-14</v>
      </c>
      <c r="AJ144" s="13">
        <f>AI144*VLOOKUP('Données projet'!$B$10,Paramètres!$A$1:$I$89,3,0)*VLOOKUP('Données projet'!$B$10,Paramètres!$A$1:$I$89,5,0)</f>
        <v>5.5865712056402117E-14</v>
      </c>
      <c r="AK144" s="13">
        <f t="shared" si="143"/>
        <v>8.9811031843713517E-13</v>
      </c>
      <c r="AL144" s="20">
        <f t="shared" si="112"/>
        <v>1.6615082531095774E-12</v>
      </c>
      <c r="AM144" s="59">
        <f t="shared" si="113"/>
        <v>293.33333333333496</v>
      </c>
      <c r="AN144" s="59">
        <f ca="1">AVERAGE(OFFSET($AM$3,0,0,'Données projet'!$E$10+1,1))-AVERAGE(OFFSET($H$3,0,0,'Données projet'!$E$10+1,1))</f>
        <v>244.43587473734613</v>
      </c>
      <c r="AO144" s="59">
        <f t="shared" si="144"/>
        <v>256.80261402149375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6.7127517056753438</v>
      </c>
      <c r="AV144" s="21">
        <f>EXP(-LN(2)/25)*AV143+(1-EXP(-LN(2)/25))/(LN(2)/25)*Calculateur!AQ144*Calculateur!AS144*VLOOKUP('Données projet'!$B$10,Paramètres!$A$1:$I$89,3,0)*0.475*44/12</f>
        <v>12.286859290949918</v>
      </c>
      <c r="AW144" s="21">
        <f>EXP(-LN(2)/2)*AW143+(1-EXP(-LN(2)/2))/(LN(2)/2)*AQ144*AT144*VLOOKUP('Données projet'!$B$10,Paramètres!$A$1:$I$89,3,0)*0.475*44/12</f>
        <v>6.600678378717833E-7</v>
      </c>
      <c r="AX144" s="21">
        <f t="shared" si="114"/>
        <v>18.999611656693098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-2.2737367544323206E-13</v>
      </c>
      <c r="BE144" s="13">
        <f>BD144*VLOOKUP('Données projet'!$B$11,Paramètres!$A$1:$I$89,3,0)*VLOOKUP('Données projet'!$B$11,Paramètres!$A$1:$I$89,5,0)</f>
        <v>-1.2710188457276673E-13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430.60186171079067</v>
      </c>
      <c r="BJ144" s="59">
        <f t="shared" si="146"/>
        <v>533.76627289533985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52.031602141775643</v>
      </c>
      <c r="BQ144" s="21">
        <f>EXP(-LN(2)/25)*BQ143+(1-EXP(-LN(2)/25))/(LN(2)/25)*Calculateur!BL144*Calculateur!BN144*VLOOKUP('Données projet'!$B$11,Paramètres!$A$1:$I$89,3,0)*0.475*44/12</f>
        <v>6.8188808747606675</v>
      </c>
      <c r="BR144" s="21">
        <f>EXP(-LN(2)/2)*BR143+(1-EXP(-LN(2)/2))/(LN(2)/2)*BL144*BO144*VLOOKUP('Données projet'!$B$11,Paramètres!$A$1:$I$89,3,0)*0.475*44/12</f>
        <v>3.6220494836667282E-11</v>
      </c>
      <c r="BS144" s="22">
        <f t="shared" si="117"/>
        <v>58.850483016572532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-1.69961822393816E-13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215.89467197072673</v>
      </c>
      <c r="CE144" s="59">
        <f t="shared" si="148"/>
        <v>188.21397398859534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34.118959508828688</v>
      </c>
      <c r="CL144" s="21">
        <f>EXP(-LN(2)/25)*CL143+(1-EXP(-LN(2)/25))/(LN(2)/25)*Calculateur!CG144*Calculateur!CI144*VLOOKUP('Données projet'!$B$12,Paramètres!$A$1:$I$89,3,0)*0.475*44/12</f>
        <v>5.1571605964881977</v>
      </c>
      <c r="CM144" s="21">
        <f>EXP(-LN(2)/2)*CM143+(1-EXP(-LN(2)/2))/(LN(2)/2)*CG144*CJ144*VLOOKUP('Données projet'!$B$12,Paramètres!$A$1:$I$89,3,0)*0.475*44/12</f>
        <v>1.8358230255720297E-8</v>
      </c>
      <c r="CN144" s="22">
        <f t="shared" si="120"/>
        <v>39.276120123675113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4.9871794871794863</v>
      </c>
      <c r="CT144" s="12">
        <f>IF('Données projet'!$A$140&gt;35,CT143+CS144-DB143,IF(A144&lt;'Données projet'!$A$140,$CQ$205^A144,IF(A144='Données projet'!$A$140,'Données projet'!$B$140,CT143+CS144-DB143)))</f>
        <v>248.89102564102558</v>
      </c>
      <c r="CU144" s="17">
        <f>CT144*VLOOKUP('Données projet'!$B$13,Paramètres!$A$1:$I$89,3,0)*VLOOKUP('Données projet'!$B$13,Paramètres!$A$1:$I$89,5,0)</f>
        <v>252.37549999999996</v>
      </c>
      <c r="CV144" s="13">
        <f t="shared" si="149"/>
        <v>61.094338107215748</v>
      </c>
      <c r="CW144" s="20">
        <f t="shared" si="121"/>
        <v>545.95996803673404</v>
      </c>
      <c r="CX144" s="59">
        <f t="shared" si="122"/>
        <v>839.29330137006741</v>
      </c>
      <c r="CY144" s="59">
        <f ca="1">AVERAGE(OFFSET($CX$3,0,0,'Données projet'!$E$13+1,1))-AVERAGE(OFFSET($H$3,0,0,'Données projet'!$E$13+1,1))</f>
        <v>342.82846711287749</v>
      </c>
      <c r="CZ144" s="59">
        <f t="shared" si="150"/>
        <v>152.87724741106297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27.445023738546102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27.445023738546102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208.48147873805715</v>
      </c>
      <c r="DU144" s="59">
        <f t="shared" si="152"/>
        <v>209.50570914630686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17.380573295514484</v>
      </c>
      <c r="EB144" s="21">
        <f>EXP(-LN(2)/25)*EB143+(1-EXP(-LN(2)/25))/(LN(2)/25)*Calculateur!DW144*Calculateur!DY144*VLOOKUP('Données projet'!$B$14,Paramètres!$A$1:$I$89,3,0)*0.475*44/12</f>
        <v>3.5204969120427689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20.901070207557254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-1.7053025658242404E-13</v>
      </c>
      <c r="EK144" s="17">
        <f>EJ144*VLOOKUP('Données projet'!$B$15,Paramètres!$A$1:$I$89,3,0)*VLOOKUP('Données projet'!$B$15,Paramètres!$A$1:$I$89,5,0)</f>
        <v>-1.0197709343628959E-13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247.31680974612766</v>
      </c>
      <c r="EP144" s="59">
        <f t="shared" si="154"/>
        <v>257.13949761071882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26.082205085985439</v>
      </c>
      <c r="EW144" s="21">
        <f>EXP(-LN(2)/25)*EW143+(1-EXP(-LN(2)/25))/(LN(2)/25)*Calculateur!ER144*Calculateur!ET144*VLOOKUP('Données projet'!$B$15,Paramètres!$A$1:$I$89,3,0)*0.475*44/12</f>
        <v>3.8249796330802628</v>
      </c>
      <c r="EX144" s="21">
        <f>EXP(-LN(2)/2)*EX143+(1-EXP(-LN(2)/2))/(LN(2)/2)*ER144*EU144*VLOOKUP('Données projet'!$B$15,Paramètres!$A$1:$I$89,3,0)*0.475*44/12</f>
        <v>2.0555623371639659E-11</v>
      </c>
      <c r="EY144" s="22">
        <f t="shared" si="129"/>
        <v>29.90718471908626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25.253279999999972</v>
      </c>
      <c r="D145" s="11">
        <f t="shared" si="140"/>
        <v>7.9917164721228744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51.325608588540547</v>
      </c>
      <c r="H145" s="67">
        <f t="shared" si="110"/>
        <v>314.56836885561398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5.1159076974727213E-13</v>
      </c>
      <c r="O145" s="13">
        <f>N145*VLOOKUP('Données projet'!$B$9,Paramètres!$A$1:$I$89,3,0)*VLOOKUP('Données projet'!$B$9,Paramètres!$A$1:$I$89,5,0)</f>
        <v>2.3942448024172334E-13</v>
      </c>
      <c r="P145" s="13">
        <f t="shared" si="141"/>
        <v>3.2492669905861755E-12</v>
      </c>
      <c r="Q145" s="20">
        <f t="shared" si="108"/>
        <v>6.0761376450252565E-12</v>
      </c>
      <c r="R145" s="59">
        <f t="shared" si="109"/>
        <v>293.3333333333394</v>
      </c>
      <c r="S145" s="59">
        <f ca="1">AVERAGE(OFFSET($R$3,0,0,'Données projet'!$E$9+1,1))-AVERAGE(OFFSET($H$3,0,0,'Données projet'!$E$9+1,1))</f>
        <v>223.99456146593315</v>
      </c>
      <c r="T145" s="59">
        <f t="shared" si="142"/>
        <v>132.73290587325937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69.558559337657059</v>
      </c>
      <c r="AA145" s="21">
        <f>EXP(-LN(2)/25)*AA144+(1-EXP(-LN(2)/25))/(LN(2)/25)*Calculateur!V145*Calculateur!X145*VLOOKUP('Données projet'!$B$9,Paramètres!$A$1:$I$89,3,0)*0.475*44/12</f>
        <v>13.316690045243309</v>
      </c>
      <c r="AB145" s="21">
        <f>EXP(-LN(2)/2)*AB144+(1-EXP(-LN(2)/2))/(LN(2)/2)*V145*Y145*VLOOKUP('Données projet'!$B$9,Paramètres!$A$1:$I$89,3,0)*0.475*44/12</f>
        <v>1.9797489391159103E-4</v>
      </c>
      <c r="AC145" s="22">
        <f t="shared" si="111"/>
        <v>82.875447357794272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8.5265128291212022E-14</v>
      </c>
      <c r="AJ145" s="13">
        <f>AI145*VLOOKUP('Données projet'!$B$10,Paramètres!$A$1:$I$89,3,0)*VLOOKUP('Données projet'!$B$10,Paramètres!$A$1:$I$89,5,0)</f>
        <v>5.5865712056402117E-14</v>
      </c>
      <c r="AK145" s="13">
        <f t="shared" si="143"/>
        <v>8.9811031843713517E-13</v>
      </c>
      <c r="AL145" s="20">
        <f t="shared" si="112"/>
        <v>1.6615082531095774E-12</v>
      </c>
      <c r="AM145" s="59">
        <f t="shared" si="113"/>
        <v>293.33333333333496</v>
      </c>
      <c r="AN145" s="59">
        <f ca="1">AVERAGE(OFFSET($AM$3,0,0,'Données projet'!$E$10+1,1))-AVERAGE(OFFSET($H$3,0,0,'Données projet'!$E$10+1,1))</f>
        <v>244.43587473734613</v>
      </c>
      <c r="AO145" s="59">
        <f t="shared" si="144"/>
        <v>256.80261402149375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6.5811187391013046</v>
      </c>
      <c r="AV145" s="21">
        <f>EXP(-LN(2)/25)*AV144+(1-EXP(-LN(2)/25))/(LN(2)/25)*Calculateur!AQ145*Calculateur!AS145*VLOOKUP('Données projet'!$B$10,Paramètres!$A$1:$I$89,3,0)*0.475*44/12</f>
        <v>11.950874477501044</v>
      </c>
      <c r="AW145" s="21">
        <f>EXP(-LN(2)/2)*AW144+(1-EXP(-LN(2)/2))/(LN(2)/2)*AQ145*AT145*VLOOKUP('Données projet'!$B$10,Paramètres!$A$1:$I$89,3,0)*0.475*44/12</f>
        <v>4.6673844420228066E-7</v>
      </c>
      <c r="AX145" s="21">
        <f t="shared" si="114"/>
        <v>18.531993683340794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-2.2737367544323206E-13</v>
      </c>
      <c r="BE145" s="13">
        <f>BD145*VLOOKUP('Données projet'!$B$11,Paramètres!$A$1:$I$89,3,0)*VLOOKUP('Données projet'!$B$11,Paramètres!$A$1:$I$89,5,0)</f>
        <v>-1.2710188457276673E-13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430.60186171079067</v>
      </c>
      <c r="BJ145" s="59">
        <f t="shared" si="146"/>
        <v>533.76627289533985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51.011294159919046</v>
      </c>
      <c r="BQ145" s="21">
        <f>EXP(-LN(2)/25)*BQ144+(1-EXP(-LN(2)/25))/(LN(2)/25)*Calculateur!BL145*Calculateur!BN145*VLOOKUP('Données projet'!$B$11,Paramètres!$A$1:$I$89,3,0)*0.475*44/12</f>
        <v>6.6324182186509768</v>
      </c>
      <c r="BR145" s="21">
        <f>EXP(-LN(2)/2)*BR144+(1-EXP(-LN(2)/2))/(LN(2)/2)*BL145*BO145*VLOOKUP('Données projet'!$B$11,Paramètres!$A$1:$I$89,3,0)*0.475*44/12</f>
        <v>2.5611757516939766E-11</v>
      </c>
      <c r="BS145" s="22">
        <f t="shared" si="117"/>
        <v>57.643712378595637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-1.69961822393816E-13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215.89467197072673</v>
      </c>
      <c r="CE145" s="59">
        <f t="shared" si="148"/>
        <v>188.21397398859534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33.449907523370989</v>
      </c>
      <c r="CL145" s="21">
        <f>EXP(-LN(2)/25)*CL144+(1-EXP(-LN(2)/25))/(LN(2)/25)*Calculateur!CG145*Calculateur!CI145*VLOOKUP('Données projet'!$B$12,Paramètres!$A$1:$I$89,3,0)*0.475*44/12</f>
        <v>5.0161377687739392</v>
      </c>
      <c r="CM145" s="21">
        <f>EXP(-LN(2)/2)*CM144+(1-EXP(-LN(2)/2))/(LN(2)/2)*CG145*CJ145*VLOOKUP('Données projet'!$B$12,Paramètres!$A$1:$I$89,3,0)*0.475*44/12</f>
        <v>1.2981229104403869E-8</v>
      </c>
      <c r="CN145" s="22">
        <f t="shared" si="120"/>
        <v>38.466045305126158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4.9871794871794863</v>
      </c>
      <c r="CT145" s="12">
        <f>IF('Données projet'!$A$140&gt;35,CT144+CS145-DB144,IF(A145&lt;'Données projet'!$A$140,$CQ$205^A145,IF(A145='Données projet'!$A$140,'Données projet'!$B$140,CT144+CS145-DB144)))</f>
        <v>253.87820512820505</v>
      </c>
      <c r="CU145" s="17">
        <f>CT145*VLOOKUP('Données projet'!$B$13,Paramètres!$A$1:$I$89,3,0)*VLOOKUP('Données projet'!$B$13,Paramètres!$A$1:$I$89,5,0)</f>
        <v>257.43249999999995</v>
      </c>
      <c r="CV145" s="13">
        <f t="shared" si="149"/>
        <v>62.174775009573104</v>
      </c>
      <c r="CW145" s="20">
        <f t="shared" si="121"/>
        <v>556.6493373083398</v>
      </c>
      <c r="CX145" s="59">
        <f t="shared" si="122"/>
        <v>849.98267064167317</v>
      </c>
      <c r="CY145" s="59">
        <f ca="1">AVERAGE(OFFSET($CX$3,0,0,'Données projet'!$E$13+1,1))-AVERAGE(OFFSET($H$3,0,0,'Données projet'!$E$13+1,1))</f>
        <v>342.82846711287749</v>
      </c>
      <c r="CZ145" s="59">
        <f t="shared" si="150"/>
        <v>152.87724741106297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26.906843562844774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26.906843562844774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208.48147873805715</v>
      </c>
      <c r="DU145" s="59">
        <f t="shared" si="152"/>
        <v>209.50570914630686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17.039750854292382</v>
      </c>
      <c r="EB145" s="21">
        <f>EXP(-LN(2)/25)*EB144+(1-EXP(-LN(2)/25))/(LN(2)/25)*Calculateur!DW145*Calculateur!DY145*VLOOKUP('Données projet'!$B$14,Paramètres!$A$1:$I$89,3,0)*0.475*44/12</f>
        <v>3.4242287388480732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20.463979593140454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-1.7053025658242404E-13</v>
      </c>
      <c r="EK145" s="17">
        <f>EJ145*VLOOKUP('Données projet'!$B$15,Paramètres!$A$1:$I$89,3,0)*VLOOKUP('Données projet'!$B$15,Paramètres!$A$1:$I$89,5,0)</f>
        <v>-1.0197709343628959E-13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247.31680974612766</v>
      </c>
      <c r="EP145" s="59">
        <f t="shared" si="154"/>
        <v>257.13949761071882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25.570748952823525</v>
      </c>
      <c r="EW145" s="21">
        <f>EXP(-LN(2)/25)*EW144+(1-EXP(-LN(2)/25))/(LN(2)/25)*Calculateur!ER145*Calculateur!ET145*VLOOKUP('Données projet'!$B$15,Paramètres!$A$1:$I$89,3,0)*0.475*44/12</f>
        <v>3.7203853638667463</v>
      </c>
      <c r="EX145" s="21">
        <f>EXP(-LN(2)/2)*EX144+(1-EXP(-LN(2)/2))/(LN(2)/2)*ER145*EU145*VLOOKUP('Données projet'!$B$15,Paramètres!$A$1:$I$89,3,0)*0.475*44/12</f>
        <v>1.4535020677603087E-11</v>
      </c>
      <c r="EY145" s="22">
        <f t="shared" si="129"/>
        <v>29.291134316704806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25.431119999999972</v>
      </c>
      <c r="D146" s="11">
        <f t="shared" si="140"/>
        <v>8.0414248807064492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51.676911394774834</v>
      </c>
      <c r="H146" s="67">
        <f t="shared" si="110"/>
        <v>314.96468233389703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5.1159076974727213E-13</v>
      </c>
      <c r="O146" s="13">
        <f>N146*VLOOKUP('Données projet'!$B$9,Paramètres!$A$1:$I$89,3,0)*VLOOKUP('Données projet'!$B$9,Paramètres!$A$1:$I$89,5,0)</f>
        <v>2.3942448024172334E-13</v>
      </c>
      <c r="P146" s="13">
        <f t="shared" si="141"/>
        <v>3.2492669905861755E-12</v>
      </c>
      <c r="Q146" s="20">
        <f t="shared" si="108"/>
        <v>6.0761376450252565E-12</v>
      </c>
      <c r="R146" s="59">
        <f t="shared" si="109"/>
        <v>293.3333333333394</v>
      </c>
      <c r="S146" s="59">
        <f ca="1">AVERAGE(OFFSET($R$3,0,0,'Données projet'!$E$9+1,1))-AVERAGE(OFFSET($H$3,0,0,'Données projet'!$E$9+1,1))</f>
        <v>223.99456146593315</v>
      </c>
      <c r="T146" s="59">
        <f t="shared" si="142"/>
        <v>132.73290587325937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68.194558415577532</v>
      </c>
      <c r="AA146" s="21">
        <f>EXP(-LN(2)/25)*AA145+(1-EXP(-LN(2)/25))/(LN(2)/25)*Calculateur!V146*Calculateur!X146*VLOOKUP('Données projet'!$B$9,Paramètres!$A$1:$I$89,3,0)*0.475*44/12</f>
        <v>12.952544455661837</v>
      </c>
      <c r="AB146" s="21">
        <f>EXP(-LN(2)/2)*AB145+(1-EXP(-LN(2)/2))/(LN(2)/2)*V146*Y146*VLOOKUP('Données projet'!$B$9,Paramètres!$A$1:$I$89,3,0)*0.475*44/12</f>
        <v>1.3998938998957335E-4</v>
      </c>
      <c r="AC146" s="22">
        <f t="shared" si="111"/>
        <v>81.147242860629362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8.5265128291212022E-14</v>
      </c>
      <c r="AJ146" s="13">
        <f>AI146*VLOOKUP('Données projet'!$B$10,Paramètres!$A$1:$I$89,3,0)*VLOOKUP('Données projet'!$B$10,Paramètres!$A$1:$I$89,5,0)</f>
        <v>5.5865712056402117E-14</v>
      </c>
      <c r="AK146" s="13">
        <f t="shared" si="143"/>
        <v>8.9811031843713517E-13</v>
      </c>
      <c r="AL146" s="20">
        <f t="shared" si="112"/>
        <v>1.6615082531095774E-12</v>
      </c>
      <c r="AM146" s="59">
        <f t="shared" si="113"/>
        <v>293.33333333333496</v>
      </c>
      <c r="AN146" s="59">
        <f ca="1">AVERAGE(OFFSET($AM$3,0,0,'Données projet'!$E$10+1,1))-AVERAGE(OFFSET($H$3,0,0,'Données projet'!$E$10+1,1))</f>
        <v>244.43587473734613</v>
      </c>
      <c r="AO146" s="59">
        <f t="shared" si="144"/>
        <v>256.80261402149375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6.4520670147136006</v>
      </c>
      <c r="AV146" s="21">
        <f>EXP(-LN(2)/25)*AV145+(1-EXP(-LN(2)/25))/(LN(2)/25)*Calculateur!AQ146*Calculateur!AS146*VLOOKUP('Données projet'!$B$10,Paramètres!$A$1:$I$89,3,0)*0.475*44/12</f>
        <v>11.624077186444604</v>
      </c>
      <c r="AW146" s="21">
        <f>EXP(-LN(2)/2)*AW145+(1-EXP(-LN(2)/2))/(LN(2)/2)*AQ146*AT146*VLOOKUP('Données projet'!$B$10,Paramètres!$A$1:$I$89,3,0)*0.475*44/12</f>
        <v>3.300339189358917E-7</v>
      </c>
      <c r="AX146" s="21">
        <f t="shared" si="114"/>
        <v>18.076144531192124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-2.2737367544323206E-13</v>
      </c>
      <c r="BE146" s="13">
        <f>BD146*VLOOKUP('Données projet'!$B$11,Paramètres!$A$1:$I$89,3,0)*VLOOKUP('Données projet'!$B$11,Paramètres!$A$1:$I$89,5,0)</f>
        <v>-1.2710188457276673E-13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430.60186171079067</v>
      </c>
      <c r="BJ146" s="59">
        <f t="shared" si="146"/>
        <v>533.76627289533985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50.010993795260234</v>
      </c>
      <c r="BQ146" s="21">
        <f>EXP(-LN(2)/25)*BQ145+(1-EXP(-LN(2)/25))/(LN(2)/25)*Calculateur!BL146*Calculateur!BN146*VLOOKUP('Données projet'!$B$11,Paramètres!$A$1:$I$89,3,0)*0.475*44/12</f>
        <v>6.4510543936782501</v>
      </c>
      <c r="BR146" s="21">
        <f>EXP(-LN(2)/2)*BR145+(1-EXP(-LN(2)/2))/(LN(2)/2)*BL146*BO146*VLOOKUP('Données projet'!$B$11,Paramètres!$A$1:$I$89,3,0)*0.475*44/12</f>
        <v>1.8110247418333641E-11</v>
      </c>
      <c r="BS146" s="22">
        <f t="shared" si="117"/>
        <v>56.462048188956594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-1.69961822393816E-13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215.89467197072673</v>
      </c>
      <c r="CE146" s="59">
        <f t="shared" si="148"/>
        <v>188.21397398859534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32.7939752392667</v>
      </c>
      <c r="CL146" s="21">
        <f>EXP(-LN(2)/25)*CL145+(1-EXP(-LN(2)/25))/(LN(2)/25)*Calculateur!CG146*Calculateur!CI146*VLOOKUP('Données projet'!$B$12,Paramètres!$A$1:$I$89,3,0)*0.475*44/12</f>
        <v>4.8789712176995952</v>
      </c>
      <c r="CM146" s="21">
        <f>EXP(-LN(2)/2)*CM145+(1-EXP(-LN(2)/2))/(LN(2)/2)*CG146*CJ146*VLOOKUP('Données projet'!$B$12,Paramètres!$A$1:$I$89,3,0)*0.475*44/12</f>
        <v>9.1791151278601487E-9</v>
      </c>
      <c r="CN146" s="22">
        <f t="shared" si="120"/>
        <v>37.672946466145412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4.9871794871794863</v>
      </c>
      <c r="CT146" s="12">
        <f>IF('Données projet'!$A$140&gt;35,CT145+CS146-DB145,IF(A146&lt;'Données projet'!$A$140,$CQ$205^A146,IF(A146='Données projet'!$A$140,'Données projet'!$B$140,CT145+CS146-DB145)))</f>
        <v>258.86538461538453</v>
      </c>
      <c r="CU146" s="17">
        <f>CT146*VLOOKUP('Données projet'!$B$13,Paramètres!$A$1:$I$89,3,0)*VLOOKUP('Données projet'!$B$13,Paramètres!$A$1:$I$89,5,0)</f>
        <v>262.48949999999996</v>
      </c>
      <c r="CV146" s="13">
        <f t="shared" si="149"/>
        <v>63.252744082891766</v>
      </c>
      <c r="CW146" s="20">
        <f t="shared" si="121"/>
        <v>567.33440844436973</v>
      </c>
      <c r="CX146" s="59">
        <f t="shared" si="122"/>
        <v>860.66774177770299</v>
      </c>
      <c r="CY146" s="59">
        <f ca="1">AVERAGE(OFFSET($CX$3,0,0,'Données projet'!$E$13+1,1))-AVERAGE(OFFSET($H$3,0,0,'Données projet'!$E$13+1,1))</f>
        <v>342.82846711287749</v>
      </c>
      <c r="CZ146" s="59">
        <f t="shared" si="150"/>
        <v>152.87724741106297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26.379216772131453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26.379216772131453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208.48147873805715</v>
      </c>
      <c r="DU146" s="59">
        <f t="shared" si="152"/>
        <v>209.50570914630686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16.705611733261485</v>
      </c>
      <c r="EB146" s="21">
        <f>EXP(-LN(2)/25)*EB145+(1-EXP(-LN(2)/25))/(LN(2)/25)*Calculateur!DW146*Calculateur!DY146*VLOOKUP('Données projet'!$B$14,Paramètres!$A$1:$I$89,3,0)*0.475*44/12</f>
        <v>3.3305930239119093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20.036204757173394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-1.7053025658242404E-13</v>
      </c>
      <c r="EK146" s="17">
        <f>EJ146*VLOOKUP('Données projet'!$B$15,Paramètres!$A$1:$I$89,3,0)*VLOOKUP('Données projet'!$B$15,Paramètres!$A$1:$I$89,5,0)</f>
        <v>-1.0197709343628959E-13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247.31680974612766</v>
      </c>
      <c r="EP146" s="59">
        <f t="shared" si="154"/>
        <v>257.13949761071882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25.06932216247548</v>
      </c>
      <c r="EW146" s="21">
        <f>EXP(-LN(2)/25)*EW145+(1-EXP(-LN(2)/25))/(LN(2)/25)*Calculateur!ER146*Calculateur!ET146*VLOOKUP('Données projet'!$B$15,Paramètres!$A$1:$I$89,3,0)*0.475*44/12</f>
        <v>3.6186512304452467</v>
      </c>
      <c r="EX146" s="21">
        <f>EXP(-LN(2)/2)*EX145+(1-EXP(-LN(2)/2))/(LN(2)/2)*ER146*EU146*VLOOKUP('Données projet'!$B$15,Paramètres!$A$1:$I$89,3,0)*0.475*44/12</f>
        <v>1.0277811685819831E-11</v>
      </c>
      <c r="EY146" s="22">
        <f t="shared" si="129"/>
        <v>28.687973392931003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25.608959999999971</v>
      </c>
      <c r="D147" s="11">
        <f t="shared" si="140"/>
        <v>8.0910928434552236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52.028151758316802</v>
      </c>
      <c r="H147" s="67">
        <f t="shared" si="110"/>
        <v>315.36092536901782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5.1159076974727213E-13</v>
      </c>
      <c r="O147" s="13">
        <f>N147*VLOOKUP('Données projet'!$B$9,Paramètres!$A$1:$I$89,3,0)*VLOOKUP('Données projet'!$B$9,Paramètres!$A$1:$I$89,5,0)</f>
        <v>2.3942448024172334E-13</v>
      </c>
      <c r="P147" s="13">
        <f t="shared" si="141"/>
        <v>3.2492669905861755E-12</v>
      </c>
      <c r="Q147" s="20">
        <f t="shared" si="108"/>
        <v>6.0761376450252565E-12</v>
      </c>
      <c r="R147" s="59">
        <f t="shared" si="109"/>
        <v>293.3333333333394</v>
      </c>
      <c r="S147" s="59">
        <f ca="1">AVERAGE(OFFSET($R$3,0,0,'Données projet'!$E$9+1,1))-AVERAGE(OFFSET($H$3,0,0,'Données projet'!$E$9+1,1))</f>
        <v>223.99456146593315</v>
      </c>
      <c r="T147" s="59">
        <f t="shared" si="142"/>
        <v>132.73290587325937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66.857304719621567</v>
      </c>
      <c r="AA147" s="21">
        <f>EXP(-LN(2)/25)*AA146+(1-EXP(-LN(2)/25))/(LN(2)/25)*Calculateur!V147*Calculateur!X147*VLOOKUP('Données projet'!$B$9,Paramètres!$A$1:$I$89,3,0)*0.475*44/12</f>
        <v>12.598356446377055</v>
      </c>
      <c r="AB147" s="21">
        <f>EXP(-LN(2)/2)*AB146+(1-EXP(-LN(2)/2))/(LN(2)/2)*V147*Y147*VLOOKUP('Données projet'!$B$9,Paramètres!$A$1:$I$89,3,0)*0.475*44/12</f>
        <v>9.8987446955795514E-5</v>
      </c>
      <c r="AC147" s="22">
        <f t="shared" si="111"/>
        <v>79.455760153445581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8.5265128291212022E-14</v>
      </c>
      <c r="AJ147" s="13">
        <f>AI147*VLOOKUP('Données projet'!$B$10,Paramètres!$A$1:$I$89,3,0)*VLOOKUP('Données projet'!$B$10,Paramètres!$A$1:$I$89,5,0)</f>
        <v>5.5865712056402117E-14</v>
      </c>
      <c r="AK147" s="13">
        <f t="shared" si="143"/>
        <v>8.9811031843713517E-13</v>
      </c>
      <c r="AL147" s="20">
        <f t="shared" si="112"/>
        <v>1.6615082531095774E-12</v>
      </c>
      <c r="AM147" s="59">
        <f t="shared" si="113"/>
        <v>293.33333333333496</v>
      </c>
      <c r="AN147" s="59">
        <f ca="1">AVERAGE(OFFSET($AM$3,0,0,'Données projet'!$E$10+1,1))-AVERAGE(OFFSET($H$3,0,0,'Données projet'!$E$10+1,1))</f>
        <v>244.43587473734613</v>
      </c>
      <c r="AO147" s="59">
        <f t="shared" si="144"/>
        <v>256.80261402149375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6.3255459159273597</v>
      </c>
      <c r="AV147" s="21">
        <f>EXP(-LN(2)/25)*AV146+(1-EXP(-LN(2)/25))/(LN(2)/25)*Calculateur!AQ147*Calculateur!AS147*VLOOKUP('Données projet'!$B$10,Paramètres!$A$1:$I$89,3,0)*0.475*44/12</f>
        <v>11.306216184497623</v>
      </c>
      <c r="AW147" s="21">
        <f>EXP(-LN(2)/2)*AW146+(1-EXP(-LN(2)/2))/(LN(2)/2)*AQ147*AT147*VLOOKUP('Données projet'!$B$10,Paramètres!$A$1:$I$89,3,0)*0.475*44/12</f>
        <v>2.3336922210114035E-7</v>
      </c>
      <c r="AX147" s="21">
        <f t="shared" si="114"/>
        <v>17.631762333794203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-2.2737367544323206E-13</v>
      </c>
      <c r="BE147" s="13">
        <f>BD147*VLOOKUP('Données projet'!$B$11,Paramètres!$A$1:$I$89,3,0)*VLOOKUP('Données projet'!$B$11,Paramètres!$A$1:$I$89,5,0)</f>
        <v>-1.2710188457276673E-13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430.60186171079067</v>
      </c>
      <c r="BJ147" s="59">
        <f t="shared" si="146"/>
        <v>533.76627289533985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49.030308710629406</v>
      </c>
      <c r="BQ147" s="21">
        <f>EXP(-LN(2)/25)*BQ146+(1-EXP(-LN(2)/25))/(LN(2)/25)*Calculateur!BL147*Calculateur!BN147*VLOOKUP('Données projet'!$B$11,Paramètres!$A$1:$I$89,3,0)*0.475*44/12</f>
        <v>6.2746499720369115</v>
      </c>
      <c r="BR147" s="21">
        <f>EXP(-LN(2)/2)*BR146+(1-EXP(-LN(2)/2))/(LN(2)/2)*BL147*BO147*VLOOKUP('Données projet'!$B$11,Paramètres!$A$1:$I$89,3,0)*0.475*44/12</f>
        <v>1.2805878758469883E-11</v>
      </c>
      <c r="BS147" s="22">
        <f t="shared" si="117"/>
        <v>55.304958682679121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-1.69961822393816E-13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215.89467197072673</v>
      </c>
      <c r="CE147" s="59">
        <f t="shared" si="148"/>
        <v>188.21397398859534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32.150905387174511</v>
      </c>
      <c r="CL147" s="21">
        <f>EXP(-LN(2)/25)*CL146+(1-EXP(-LN(2)/25))/(LN(2)/25)*Calculateur!CG147*Calculateur!CI147*VLOOKUP('Données projet'!$B$12,Paramètres!$A$1:$I$89,3,0)*0.475*44/12</f>
        <v>4.7455554931776547</v>
      </c>
      <c r="CM147" s="21">
        <f>EXP(-LN(2)/2)*CM146+(1-EXP(-LN(2)/2))/(LN(2)/2)*CG147*CJ147*VLOOKUP('Données projet'!$B$12,Paramètres!$A$1:$I$89,3,0)*0.475*44/12</f>
        <v>6.4906145522019345E-9</v>
      </c>
      <c r="CN147" s="22">
        <f t="shared" si="120"/>
        <v>36.896460886842782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263.85256410256409</v>
      </c>
      <c r="CR147" s="12">
        <f>VLOOKUP(A147,'Données projet'!$A$139:$I$159,9,0)</f>
        <v>4.9871794871794863</v>
      </c>
      <c r="CS147" s="12">
        <f t="array" ref="CS147">INDEX(CR:CR,MIN(IF(ISNUMBER(CR147:CR343),ROW(CR147:CR343),"")))</f>
        <v>4.9871794871794863</v>
      </c>
      <c r="CT147" s="12">
        <f>IF('Données projet'!$A$140&gt;35,CT146+CS147-DB146,IF(A147&lt;'Données projet'!$A$140,$CQ$205^A147,IF(A147='Données projet'!$A$140,'Données projet'!$B$140,CT146+CS147-DB146)))</f>
        <v>263.85256410256403</v>
      </c>
      <c r="CU147" s="17">
        <f>CT147*VLOOKUP('Données projet'!$B$13,Paramètres!$A$1:$I$89,3,0)*VLOOKUP('Données projet'!$B$13,Paramètres!$A$1:$I$89,5,0)</f>
        <v>267.54649999999998</v>
      </c>
      <c r="CV147" s="13">
        <f t="shared" si="149"/>
        <v>64.328298352487067</v>
      </c>
      <c r="CW147" s="20">
        <f t="shared" si="121"/>
        <v>578.01527379724826</v>
      </c>
      <c r="CX147" s="59">
        <f t="shared" si="122"/>
        <v>871.34860713058151</v>
      </c>
      <c r="CY147" s="59">
        <f ca="1">AVERAGE(OFFSET($CX$3,0,0,'Données projet'!$E$13+1,1))-AVERAGE(OFFSET($H$3,0,0,'Données projet'!$E$13+1,1))</f>
        <v>342.82846711287749</v>
      </c>
      <c r="CZ147" s="59">
        <f t="shared" si="150"/>
        <v>152.87724741106297</v>
      </c>
      <c r="DA147" s="15">
        <f>IF(ISNA(VLOOKUP(A147,'Données projet'!$A$139:$I$159,3,0)),0,VLOOKUP(A147,'Données projet'!$A$139:$I$159,3,0))</f>
        <v>10</v>
      </c>
      <c r="DB147" s="15">
        <f>IF(ISNA(VLOOKUP(A147,'Données projet'!$A$139:$I$159,4,0)),0,VLOOKUP(A147,'Données projet'!$A$139:$I$159,4,0))</f>
        <v>42.397435897435898</v>
      </c>
      <c r="DC147" s="16">
        <f>IF(ISNA(VLOOKUP(A147,'Données projet'!$A$139:$I$159,5,0)),0%,VLOOKUP(A147,'Données projet'!$A$139:$I$159,5,0)*VLOOKUP('Données projet'!$B$13,Paramètres!$A$1:$I$89,7,0))</f>
        <v>0.30099999999999999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40.167044824000271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40.167044824000271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208.48147873805715</v>
      </c>
      <c r="DU147" s="59">
        <f t="shared" si="152"/>
        <v>209.50570914630686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16.378024876589262</v>
      </c>
      <c r="EB147" s="21">
        <f>EXP(-LN(2)/25)*EB146+(1-EXP(-LN(2)/25))/(LN(2)/25)*Calculateur!DW147*Calculateur!DY147*VLOOKUP('Données projet'!$B$14,Paramètres!$A$1:$I$89,3,0)*0.475*44/12</f>
        <v>3.239517782524763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19.617542659114026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-1.7053025658242404E-13</v>
      </c>
      <c r="EK147" s="17">
        <f>EJ147*VLOOKUP('Données projet'!$B$15,Paramètres!$A$1:$I$89,3,0)*VLOOKUP('Données projet'!$B$15,Paramètres!$A$1:$I$89,5,0)</f>
        <v>-1.0197709343628959E-13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247.31680974612766</v>
      </c>
      <c r="EP147" s="59">
        <f t="shared" si="154"/>
        <v>257.13949761071882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24.577728045646015</v>
      </c>
      <c r="EW147" s="21">
        <f>EXP(-LN(2)/25)*EW146+(1-EXP(-LN(2)/25))/(LN(2)/25)*Calculateur!ER147*Calculateur!ET147*VLOOKUP('Données projet'!$B$15,Paramètres!$A$1:$I$89,3,0)*0.475*44/12</f>
        <v>3.5196990222521238</v>
      </c>
      <c r="EX147" s="21">
        <f>EXP(-LN(2)/2)*EX146+(1-EXP(-LN(2)/2))/(LN(2)/2)*ER147*EU147*VLOOKUP('Données projet'!$B$15,Paramètres!$A$1:$I$89,3,0)*0.475*44/12</f>
        <v>7.2675103388015451E-12</v>
      </c>
      <c r="EY147" s="22">
        <f t="shared" si="129"/>
        <v>28.097427067905407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25.786799999999971</v>
      </c>
      <c r="D148" s="11">
        <f t="shared" si="140"/>
        <v>8.1407206738151263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52.379330163082962</v>
      </c>
      <c r="H148" s="67">
        <f t="shared" si="110"/>
        <v>315.75709850689464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5.1159076974727213E-13</v>
      </c>
      <c r="O148" s="13">
        <f>N148*VLOOKUP('Données projet'!$B$9,Paramètres!$A$1:$I$89,3,0)*VLOOKUP('Données projet'!$B$9,Paramètres!$A$1:$I$89,5,0)</f>
        <v>2.3942448024172334E-13</v>
      </c>
      <c r="P148" s="13">
        <f t="shared" si="141"/>
        <v>3.2492669905861755E-12</v>
      </c>
      <c r="Q148" s="20">
        <f t="shared" si="108"/>
        <v>6.0761376450252565E-12</v>
      </c>
      <c r="R148" s="59">
        <f t="shared" si="109"/>
        <v>293.3333333333394</v>
      </c>
      <c r="S148" s="59">
        <f ca="1">AVERAGE(OFFSET($R$3,0,0,'Données projet'!$E$9+1,1))-AVERAGE(OFFSET($H$3,0,0,'Données projet'!$E$9+1,1))</f>
        <v>223.99456146593315</v>
      </c>
      <c r="T148" s="59">
        <f t="shared" si="142"/>
        <v>132.73290587325937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65.546273752999085</v>
      </c>
      <c r="AA148" s="21">
        <f>EXP(-LN(2)/25)*AA147+(1-EXP(-LN(2)/25))/(LN(2)/25)*Calculateur!V148*Calculateur!X148*VLOOKUP('Données projet'!$B$9,Paramètres!$A$1:$I$89,3,0)*0.475*44/12</f>
        <v>12.253853726832103</v>
      </c>
      <c r="AB148" s="21">
        <f>EXP(-LN(2)/2)*AB147+(1-EXP(-LN(2)/2))/(LN(2)/2)*V148*Y148*VLOOKUP('Données projet'!$B$9,Paramètres!$A$1:$I$89,3,0)*0.475*44/12</f>
        <v>6.9994694994786677E-5</v>
      </c>
      <c r="AC148" s="22">
        <f t="shared" si="111"/>
        <v>77.800197474526186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8.5265128291212022E-14</v>
      </c>
      <c r="AJ148" s="13">
        <f>AI148*VLOOKUP('Données projet'!$B$10,Paramètres!$A$1:$I$89,3,0)*VLOOKUP('Données projet'!$B$10,Paramètres!$A$1:$I$89,5,0)</f>
        <v>5.5865712056402117E-14</v>
      </c>
      <c r="AK148" s="13">
        <f t="shared" si="143"/>
        <v>8.9811031843713517E-13</v>
      </c>
      <c r="AL148" s="20">
        <f t="shared" si="112"/>
        <v>1.6615082531095774E-12</v>
      </c>
      <c r="AM148" s="59">
        <f t="shared" si="113"/>
        <v>293.33333333333496</v>
      </c>
      <c r="AN148" s="59">
        <f ca="1">AVERAGE(OFFSET($AM$3,0,0,'Données projet'!$E$10+1,1))-AVERAGE(OFFSET($H$3,0,0,'Données projet'!$E$10+1,1))</f>
        <v>244.43587473734613</v>
      </c>
      <c r="AO148" s="59">
        <f t="shared" si="144"/>
        <v>256.80261402149375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6.2015058187180667</v>
      </c>
      <c r="AV148" s="21">
        <f>EXP(-LN(2)/25)*AV147+(1-EXP(-LN(2)/25))/(LN(2)/25)*Calculateur!AQ148*Calculateur!AS148*VLOOKUP('Données projet'!$B$10,Paramètres!$A$1:$I$89,3,0)*0.475*44/12</f>
        <v>10.997047108364468</v>
      </c>
      <c r="AW148" s="21">
        <f>EXP(-LN(2)/2)*AW147+(1-EXP(-LN(2)/2))/(LN(2)/2)*AQ148*AT148*VLOOKUP('Données projet'!$B$10,Paramètres!$A$1:$I$89,3,0)*0.475*44/12</f>
        <v>1.6501695946794588E-7</v>
      </c>
      <c r="AX148" s="21">
        <f t="shared" si="114"/>
        <v>17.198553092099495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-2.2737367544323206E-13</v>
      </c>
      <c r="BE148" s="13">
        <f>BD148*VLOOKUP('Données projet'!$B$11,Paramètres!$A$1:$I$89,3,0)*VLOOKUP('Données projet'!$B$11,Paramètres!$A$1:$I$89,5,0)</f>
        <v>-1.2710188457276673E-13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430.60186171079067</v>
      </c>
      <c r="BJ148" s="59">
        <f t="shared" si="146"/>
        <v>533.76627289533985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48.068854262349348</v>
      </c>
      <c r="BQ148" s="21">
        <f>EXP(-LN(2)/25)*BQ147+(1-EXP(-LN(2)/25))/(LN(2)/25)*Calculateur!BL148*Calculateur!BN148*VLOOKUP('Données projet'!$B$11,Paramètres!$A$1:$I$89,3,0)*0.475*44/12</f>
        <v>6.1030693385820607</v>
      </c>
      <c r="BR148" s="21">
        <f>EXP(-LN(2)/2)*BR147+(1-EXP(-LN(2)/2))/(LN(2)/2)*BL148*BO148*VLOOKUP('Données projet'!$B$11,Paramètres!$A$1:$I$89,3,0)*0.475*44/12</f>
        <v>9.0551237091668204E-12</v>
      </c>
      <c r="BS148" s="22">
        <f t="shared" si="117"/>
        <v>54.17192360094046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-1.69961822393816E-13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215.89467197072673</v>
      </c>
      <c r="CE148" s="59">
        <f t="shared" si="148"/>
        <v>188.21397398859534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31.520445742647969</v>
      </c>
      <c r="CL148" s="21">
        <f>EXP(-LN(2)/25)*CL147+(1-EXP(-LN(2)/25))/(LN(2)/25)*Calculateur!CG148*Calculateur!CI148*VLOOKUP('Données projet'!$B$12,Paramètres!$A$1:$I$89,3,0)*0.475*44/12</f>
        <v>4.6157880286587947</v>
      </c>
      <c r="CM148" s="21">
        <f>EXP(-LN(2)/2)*CM147+(1-EXP(-LN(2)/2))/(LN(2)/2)*CG148*CJ148*VLOOKUP('Données projet'!$B$12,Paramètres!$A$1:$I$89,3,0)*0.475*44/12</f>
        <v>4.5895575639300744E-9</v>
      </c>
      <c r="CN148" s="22">
        <f t="shared" si="120"/>
        <v>36.136233775896322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5.0924145299145307</v>
      </c>
      <c r="CT148" s="12">
        <f>IF('Données projet'!$A$140&gt;35,CT147+CS148-DB147,IF(A148&lt;'Données projet'!$A$140,$CQ$205^A148,IF(A148='Données projet'!$A$140,'Données projet'!$B$140,CT147+CS148-DB147)))</f>
        <v>226.54754273504267</v>
      </c>
      <c r="CU148" s="17">
        <f>CT148*VLOOKUP('Données projet'!$B$13,Paramètres!$A$1:$I$89,3,0)*VLOOKUP('Données projet'!$B$13,Paramètres!$A$1:$I$89,5,0)</f>
        <v>229.71920833333328</v>
      </c>
      <c r="CV148" s="13">
        <f t="shared" si="149"/>
        <v>56.221963492074444</v>
      </c>
      <c r="CW148" s="20">
        <f t="shared" si="121"/>
        <v>498.01420759591838</v>
      </c>
      <c r="CX148" s="59">
        <f t="shared" si="122"/>
        <v>791.34754092925164</v>
      </c>
      <c r="CY148" s="59">
        <f ca="1">AVERAGE(OFFSET($CX$3,0,0,'Données projet'!$E$13+1,1))-AVERAGE(OFFSET($H$3,0,0,'Données projet'!$E$13+1,1))</f>
        <v>342.82846711287749</v>
      </c>
      <c r="CZ148" s="59">
        <f t="shared" si="150"/>
        <v>152.87724741106297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39.379393574479849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39.379393574479849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208.48147873805715</v>
      </c>
      <c r="DU148" s="59">
        <f t="shared" si="152"/>
        <v>209.50570914630686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16.056861798368129</v>
      </c>
      <c r="EB148" s="21">
        <f>EXP(-LN(2)/25)*EB147+(1-EXP(-LN(2)/25))/(LN(2)/25)*Calculateur!DW148*Calculateur!DY148*VLOOKUP('Données projet'!$B$14,Paramètres!$A$1:$I$89,3,0)*0.475*44/12</f>
        <v>3.1509329984027872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19.207794796770916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-1.7053025658242404E-13</v>
      </c>
      <c r="EK148" s="17">
        <f>EJ148*VLOOKUP('Données projet'!$B$15,Paramètres!$A$1:$I$89,3,0)*VLOOKUP('Données projet'!$B$15,Paramètres!$A$1:$I$89,5,0)</f>
        <v>-1.0197709343628959E-13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247.31680974612766</v>
      </c>
      <c r="EP148" s="59">
        <f t="shared" si="154"/>
        <v>257.13949761071882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24.095773789604774</v>
      </c>
      <c r="EW148" s="21">
        <f>EXP(-LN(2)/25)*EW147+(1-EXP(-LN(2)/25))/(LN(2)/25)*Calculateur!ER148*Calculateur!ET148*VLOOKUP('Données projet'!$B$15,Paramètres!$A$1:$I$89,3,0)*0.475*44/12</f>
        <v>3.4234526673957122</v>
      </c>
      <c r="EX148" s="21">
        <f>EXP(-LN(2)/2)*EX147+(1-EXP(-LN(2)/2))/(LN(2)/2)*ER148*EU148*VLOOKUP('Données projet'!$B$15,Paramètres!$A$1:$I$89,3,0)*0.475*44/12</f>
        <v>5.1389058429099163E-12</v>
      </c>
      <c r="EY148" s="22">
        <f t="shared" si="129"/>
        <v>27.519226457005622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25.964639999999971</v>
      </c>
      <c r="D149" s="11">
        <f t="shared" si="140"/>
        <v>8.190308680658795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52.73044708592932</v>
      </c>
      <c r="H149" s="67">
        <f t="shared" si="110"/>
        <v>316.15320228548069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5.1159076974727213E-13</v>
      </c>
      <c r="O149" s="13">
        <f>N149*VLOOKUP('Données projet'!$B$9,Paramètres!$A$1:$I$89,3,0)*VLOOKUP('Données projet'!$B$9,Paramètres!$A$1:$I$89,5,0)</f>
        <v>2.3942448024172334E-13</v>
      </c>
      <c r="P149" s="13">
        <f t="shared" si="141"/>
        <v>3.2492669905861755E-12</v>
      </c>
      <c r="Q149" s="20">
        <f t="shared" si="108"/>
        <v>6.0761376450252565E-12</v>
      </c>
      <c r="R149" s="59">
        <f t="shared" si="109"/>
        <v>293.3333333333394</v>
      </c>
      <c r="S149" s="59">
        <f ca="1">AVERAGE(OFFSET($R$3,0,0,'Données projet'!$E$9+1,1))-AVERAGE(OFFSET($H$3,0,0,'Données projet'!$E$9+1,1))</f>
        <v>223.99456146593315</v>
      </c>
      <c r="T149" s="59">
        <f t="shared" si="142"/>
        <v>132.73290587325937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64.260951303982139</v>
      </c>
      <c r="AA149" s="21">
        <f>EXP(-LN(2)/25)*AA148+(1-EXP(-LN(2)/25))/(LN(2)/25)*Calculateur!V149*Calculateur!X149*VLOOKUP('Données projet'!$B$9,Paramètres!$A$1:$I$89,3,0)*0.475*44/12</f>
        <v>11.918771452269718</v>
      </c>
      <c r="AB149" s="21">
        <f>EXP(-LN(2)/2)*AB148+(1-EXP(-LN(2)/2))/(LN(2)/2)*V149*Y149*VLOOKUP('Données projet'!$B$9,Paramètres!$A$1:$I$89,3,0)*0.475*44/12</f>
        <v>4.9493723477897757E-5</v>
      </c>
      <c r="AC149" s="22">
        <f t="shared" si="111"/>
        <v>76.179772249975343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8.5265128291212022E-14</v>
      </c>
      <c r="AJ149" s="13">
        <f>AI149*VLOOKUP('Données projet'!$B$10,Paramètres!$A$1:$I$89,3,0)*VLOOKUP('Données projet'!$B$10,Paramètres!$A$1:$I$89,5,0)</f>
        <v>5.5865712056402117E-14</v>
      </c>
      <c r="AK149" s="13">
        <f t="shared" si="143"/>
        <v>8.9811031843713517E-13</v>
      </c>
      <c r="AL149" s="20">
        <f t="shared" si="112"/>
        <v>1.6615082531095774E-12</v>
      </c>
      <c r="AM149" s="59">
        <f t="shared" si="113"/>
        <v>293.33333333333496</v>
      </c>
      <c r="AN149" s="59">
        <f ca="1">AVERAGE(OFFSET($AM$3,0,0,'Données projet'!$E$10+1,1))-AVERAGE(OFFSET($H$3,0,0,'Données projet'!$E$10+1,1))</f>
        <v>244.43587473734613</v>
      </c>
      <c r="AO149" s="59">
        <f t="shared" si="144"/>
        <v>256.80261402149375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6.0798980721580591</v>
      </c>
      <c r="AV149" s="21">
        <f>EXP(-LN(2)/25)*AV148+(1-EXP(-LN(2)/25))/(LN(2)/25)*Calculateur!AQ149*Calculateur!AS149*VLOOKUP('Données projet'!$B$10,Paramètres!$A$1:$I$89,3,0)*0.475*44/12</f>
        <v>10.696332276876667</v>
      </c>
      <c r="AW149" s="21">
        <f>EXP(-LN(2)/2)*AW148+(1-EXP(-LN(2)/2))/(LN(2)/2)*AQ149*AT149*VLOOKUP('Données projet'!$B$10,Paramètres!$A$1:$I$89,3,0)*0.475*44/12</f>
        <v>1.1668461105057019E-7</v>
      </c>
      <c r="AX149" s="21">
        <f t="shared" si="114"/>
        <v>16.776230465719337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-2.2737367544323206E-13</v>
      </c>
      <c r="BE149" s="13">
        <f>BD149*VLOOKUP('Données projet'!$B$11,Paramètres!$A$1:$I$89,3,0)*VLOOKUP('Données projet'!$B$11,Paramètres!$A$1:$I$89,5,0)</f>
        <v>-1.2710188457276673E-13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430.60186171079067</v>
      </c>
      <c r="BJ149" s="59">
        <f t="shared" si="146"/>
        <v>533.76627289533985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47.126253349370756</v>
      </c>
      <c r="BQ149" s="21">
        <f>EXP(-LN(2)/25)*BQ148+(1-EXP(-LN(2)/25))/(LN(2)/25)*Calculateur!BL149*Calculateur!BN149*VLOOKUP('Données projet'!$B$11,Paramètres!$A$1:$I$89,3,0)*0.475*44/12</f>
        <v>5.9361805865720667</v>
      </c>
      <c r="BR149" s="21">
        <f>EXP(-LN(2)/2)*BR148+(1-EXP(-LN(2)/2))/(LN(2)/2)*BL149*BO149*VLOOKUP('Données projet'!$B$11,Paramètres!$A$1:$I$89,3,0)*0.475*44/12</f>
        <v>6.4029393792349416E-12</v>
      </c>
      <c r="BS149" s="22">
        <f t="shared" si="117"/>
        <v>53.062433935949223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-1.69961822393816E-13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215.89467197072673</v>
      </c>
      <c r="CE149" s="59">
        <f t="shared" si="148"/>
        <v>188.21397398859534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30.902349027208178</v>
      </c>
      <c r="CL149" s="21">
        <f>EXP(-LN(2)/25)*CL148+(1-EXP(-LN(2)/25))/(LN(2)/25)*Calculateur!CG149*Calculateur!CI149*VLOOKUP('Données projet'!$B$12,Paramètres!$A$1:$I$89,3,0)*0.475*44/12</f>
        <v>4.4895690622813769</v>
      </c>
      <c r="CM149" s="21">
        <f>EXP(-LN(2)/2)*CM148+(1-EXP(-LN(2)/2))/(LN(2)/2)*CG149*CJ149*VLOOKUP('Données projet'!$B$12,Paramètres!$A$1:$I$89,3,0)*0.475*44/12</f>
        <v>3.2453072761009673E-9</v>
      </c>
      <c r="CN149" s="22">
        <f t="shared" si="120"/>
        <v>35.391918092734862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5.0924145299145307</v>
      </c>
      <c r="CT149" s="12">
        <f>IF('Données projet'!$A$140&gt;35,CT148+CS149-DB148,IF(A149&lt;'Données projet'!$A$140,$CQ$205^A149,IF(A149='Données projet'!$A$140,'Données projet'!$B$140,CT148+CS149-DB148)))</f>
        <v>231.63995726495719</v>
      </c>
      <c r="CU149" s="17">
        <f>CT149*VLOOKUP('Données projet'!$B$13,Paramètres!$A$1:$I$89,3,0)*VLOOKUP('Données projet'!$B$13,Paramètres!$A$1:$I$89,5,0)</f>
        <v>234.8829166666666</v>
      </c>
      <c r="CV149" s="13">
        <f t="shared" si="149"/>
        <v>57.33718793213999</v>
      </c>
      <c r="CW149" s="20">
        <f t="shared" si="121"/>
        <v>508.95001550958813</v>
      </c>
      <c r="CX149" s="59">
        <f t="shared" si="122"/>
        <v>802.28334884292144</v>
      </c>
      <c r="CY149" s="59">
        <f ca="1">AVERAGE(OFFSET($CX$3,0,0,'Données projet'!$E$13+1,1))-AVERAGE(OFFSET($H$3,0,0,'Données projet'!$E$13+1,1))</f>
        <v>342.82846711287749</v>
      </c>
      <c r="CZ149" s="59">
        <f t="shared" si="150"/>
        <v>152.87724741106297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38.607187685542698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38.607187685542698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208.48147873805715</v>
      </c>
      <c r="DU149" s="59">
        <f t="shared" si="152"/>
        <v>209.50570914630686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15.741996532220778</v>
      </c>
      <c r="EB149" s="21">
        <f>EXP(-LN(2)/25)*EB148+(1-EXP(-LN(2)/25))/(LN(2)/25)*Calculateur!DW149*Calculateur!DY149*VLOOKUP('Données projet'!$B$14,Paramètres!$A$1:$I$89,3,0)*0.475*44/12</f>
        <v>3.0647705698610981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18.806767102081878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-1.7053025658242404E-13</v>
      </c>
      <c r="EK149" s="17">
        <f>EJ149*VLOOKUP('Données projet'!$B$15,Paramètres!$A$1:$I$89,3,0)*VLOOKUP('Données projet'!$B$15,Paramètres!$A$1:$I$89,5,0)</f>
        <v>-1.0197709343628959E-13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247.31680974612766</v>
      </c>
      <c r="EP149" s="59">
        <f t="shared" si="154"/>
        <v>257.13949761071882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23.623270362561431</v>
      </c>
      <c r="EW149" s="21">
        <f>EXP(-LN(2)/25)*EW148+(1-EXP(-LN(2)/25))/(LN(2)/25)*Calculateur!ER149*Calculateur!ET149*VLOOKUP('Données projet'!$B$15,Paramètres!$A$1:$I$89,3,0)*0.475*44/12</f>
        <v>3.3298381741742249</v>
      </c>
      <c r="EX149" s="21">
        <f>EXP(-LN(2)/2)*EX148+(1-EXP(-LN(2)/2))/(LN(2)/2)*ER149*EU149*VLOOKUP('Données projet'!$B$15,Paramètres!$A$1:$I$89,3,0)*0.475*44/12</f>
        <v>3.6337551694007729E-12</v>
      </c>
      <c r="EY149" s="22">
        <f t="shared" si="129"/>
        <v>26.95310853673929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26.142479999999971</v>
      </c>
      <c r="D150" s="11">
        <f t="shared" si="140"/>
        <v>8.2398571683831641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53.081502996802037</v>
      </c>
      <c r="H150" s="67">
        <f t="shared" si="110"/>
        <v>316.54923723493397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5.1159076974727213E-13</v>
      </c>
      <c r="O150" s="13">
        <f>N150*VLOOKUP('Données projet'!$B$9,Paramètres!$A$1:$I$89,3,0)*VLOOKUP('Données projet'!$B$9,Paramètres!$A$1:$I$89,5,0)</f>
        <v>2.3942448024172334E-13</v>
      </c>
      <c r="P150" s="13">
        <f t="shared" si="141"/>
        <v>3.2492669905861755E-12</v>
      </c>
      <c r="Q150" s="20">
        <f t="shared" si="108"/>
        <v>6.0761376450252565E-12</v>
      </c>
      <c r="R150" s="59">
        <f t="shared" si="109"/>
        <v>293.3333333333394</v>
      </c>
      <c r="S150" s="59">
        <f ca="1">AVERAGE(OFFSET($R$3,0,0,'Données projet'!$E$9+1,1))-AVERAGE(OFFSET($H$3,0,0,'Données projet'!$E$9+1,1))</f>
        <v>223.99456146593315</v>
      </c>
      <c r="T150" s="59">
        <f t="shared" si="142"/>
        <v>132.73290587325937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63.000833244221127</v>
      </c>
      <c r="AA150" s="21">
        <f>EXP(-LN(2)/25)*AA149+(1-EXP(-LN(2)/25))/(LN(2)/25)*Calculateur!V150*Calculateur!X150*VLOOKUP('Données projet'!$B$9,Paramètres!$A$1:$I$89,3,0)*0.475*44/12</f>
        <v>11.592852020126452</v>
      </c>
      <c r="AB150" s="21">
        <f>EXP(-LN(2)/2)*AB149+(1-EXP(-LN(2)/2))/(LN(2)/2)*V150*Y150*VLOOKUP('Données projet'!$B$9,Paramètres!$A$1:$I$89,3,0)*0.475*44/12</f>
        <v>3.4997347497393339E-5</v>
      </c>
      <c r="AC150" s="22">
        <f t="shared" si="111"/>
        <v>74.593720261695083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8.5265128291212022E-14</v>
      </c>
      <c r="AJ150" s="13">
        <f>AI150*VLOOKUP('Données projet'!$B$10,Paramètres!$A$1:$I$89,3,0)*VLOOKUP('Données projet'!$B$10,Paramètres!$A$1:$I$89,5,0)</f>
        <v>5.5865712056402117E-14</v>
      </c>
      <c r="AK150" s="13">
        <f t="shared" si="143"/>
        <v>8.9811031843713517E-13</v>
      </c>
      <c r="AL150" s="20">
        <f t="shared" si="112"/>
        <v>1.6615082531095774E-12</v>
      </c>
      <c r="AM150" s="59">
        <f t="shared" si="113"/>
        <v>293.33333333333496</v>
      </c>
      <c r="AN150" s="59">
        <f ca="1">AVERAGE(OFFSET($AM$3,0,0,'Données projet'!$E$10+1,1))-AVERAGE(OFFSET($H$3,0,0,'Données projet'!$E$10+1,1))</f>
        <v>244.43587473734613</v>
      </c>
      <c r="AO150" s="59">
        <f t="shared" si="144"/>
        <v>256.80261402149375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5.9606749793346925</v>
      </c>
      <c r="AV150" s="21">
        <f>EXP(-LN(2)/25)*AV149+(1-EXP(-LN(2)/25))/(LN(2)/25)*Calculateur!AQ150*Calculateur!AS150*VLOOKUP('Données projet'!$B$10,Paramètres!$A$1:$I$89,3,0)*0.475*44/12</f>
        <v>10.403840508269807</v>
      </c>
      <c r="AW150" s="21">
        <f>EXP(-LN(2)/2)*AW149+(1-EXP(-LN(2)/2))/(LN(2)/2)*AQ150*AT150*VLOOKUP('Données projet'!$B$10,Paramètres!$A$1:$I$89,3,0)*0.475*44/12</f>
        <v>8.2508479733972952E-8</v>
      </c>
      <c r="AX150" s="21">
        <f t="shared" si="114"/>
        <v>16.364515570112978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-2.2737367544323206E-13</v>
      </c>
      <c r="BE150" s="13">
        <f>BD150*VLOOKUP('Données projet'!$B$11,Paramètres!$A$1:$I$89,3,0)*VLOOKUP('Données projet'!$B$11,Paramètres!$A$1:$I$89,5,0)</f>
        <v>-1.2710188457276673E-13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430.60186171079067</v>
      </c>
      <c r="BJ150" s="59">
        <f t="shared" si="146"/>
        <v>533.76627289533985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46.202136265365887</v>
      </c>
      <c r="BQ150" s="21">
        <f>EXP(-LN(2)/25)*BQ149+(1-EXP(-LN(2)/25))/(LN(2)/25)*Calculateur!BL150*Calculateur!BN150*VLOOKUP('Données projet'!$B$11,Paramètres!$A$1:$I$89,3,0)*0.475*44/12</f>
        <v>5.7738554162620837</v>
      </c>
      <c r="BR150" s="21">
        <f>EXP(-LN(2)/2)*BR149+(1-EXP(-LN(2)/2))/(LN(2)/2)*BL150*BO150*VLOOKUP('Données projet'!$B$11,Paramètres!$A$1:$I$89,3,0)*0.475*44/12</f>
        <v>4.5275618545834102E-12</v>
      </c>
      <c r="BS150" s="22">
        <f t="shared" si="117"/>
        <v>51.9759916816325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-1.69961822393816E-13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215.89467197072673</v>
      </c>
      <c r="CE150" s="59">
        <f t="shared" si="148"/>
        <v>188.21397398859534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30.296372811356392</v>
      </c>
      <c r="CL150" s="21">
        <f>EXP(-LN(2)/25)*CL149+(1-EXP(-LN(2)/25))/(LN(2)/25)*Calculateur!CG150*Calculateur!CI150*VLOOKUP('Données projet'!$B$12,Paramètres!$A$1:$I$89,3,0)*0.475*44/12</f>
        <v>4.3668015601771168</v>
      </c>
      <c r="CM150" s="21">
        <f>EXP(-LN(2)/2)*CM149+(1-EXP(-LN(2)/2))/(LN(2)/2)*CG150*CJ150*VLOOKUP('Données projet'!$B$12,Paramètres!$A$1:$I$89,3,0)*0.475*44/12</f>
        <v>2.2947787819650372E-9</v>
      </c>
      <c r="CN150" s="22">
        <f t="shared" si="120"/>
        <v>34.663174373828284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5.0924145299145307</v>
      </c>
      <c r="CT150" s="12">
        <f>IF('Données projet'!$A$140&gt;35,CT149+CS150-DB149,IF(A150&lt;'Données projet'!$A$140,$CQ$205^A150,IF(A150='Données projet'!$A$140,'Données projet'!$B$140,CT149+CS150-DB149)))</f>
        <v>236.73237179487171</v>
      </c>
      <c r="CU150" s="17">
        <f>CT150*VLOOKUP('Données projet'!$B$13,Paramètres!$A$1:$I$89,3,0)*VLOOKUP('Données projet'!$B$13,Paramètres!$A$1:$I$89,5,0)</f>
        <v>240.04662499999995</v>
      </c>
      <c r="CV150" s="13">
        <f t="shared" si="149"/>
        <v>58.449561964678502</v>
      </c>
      <c r="CW150" s="20">
        <f t="shared" si="121"/>
        <v>519.88085896348161</v>
      </c>
      <c r="CX150" s="59">
        <f t="shared" si="122"/>
        <v>813.21419229681487</v>
      </c>
      <c r="CY150" s="59">
        <f ca="1">AVERAGE(OFFSET($CX$3,0,0,'Données projet'!$E$13+1,1))-AVERAGE(OFFSET($H$3,0,0,'Données projet'!$E$13+1,1))</f>
        <v>342.82846711287749</v>
      </c>
      <c r="CZ150" s="59">
        <f t="shared" si="150"/>
        <v>152.87724741106297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37.850124283088519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37.850124283088519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208.48147873805715</v>
      </c>
      <c r="DU150" s="59">
        <f t="shared" si="152"/>
        <v>209.50570914630686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15.433305581893727</v>
      </c>
      <c r="EB150" s="21">
        <f>EXP(-LN(2)/25)*EB149+(1-EXP(-LN(2)/25))/(LN(2)/25)*Calculateur!DW150*Calculateur!DY150*VLOOKUP('Données projet'!$B$14,Paramètres!$A$1:$I$89,3,0)*0.475*44/12</f>
        <v>2.9809642574589668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18.414269839352695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-1.7053025658242404E-13</v>
      </c>
      <c r="EK150" s="17">
        <f>EJ150*VLOOKUP('Données projet'!$B$15,Paramètres!$A$1:$I$89,3,0)*VLOOKUP('Données projet'!$B$15,Paramètres!$A$1:$I$89,5,0)</f>
        <v>-1.0197709343628959E-13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247.31680974612766</v>
      </c>
      <c r="EP150" s="59">
        <f t="shared" si="154"/>
        <v>257.13949761071882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23.160032439523775</v>
      </c>
      <c r="EW150" s="21">
        <f>EXP(-LN(2)/25)*EW149+(1-EXP(-LN(2)/25))/(LN(2)/25)*Calculateur!ER150*Calculateur!ET150*VLOOKUP('Données projet'!$B$15,Paramètres!$A$1:$I$89,3,0)*0.475*44/12</f>
        <v>3.2387835741928517</v>
      </c>
      <c r="EX150" s="21">
        <f>EXP(-LN(2)/2)*EX149+(1-EXP(-LN(2)/2))/(LN(2)/2)*ER150*EU150*VLOOKUP('Données projet'!$B$15,Paramètres!$A$1:$I$89,3,0)*0.475*44/12</f>
        <v>2.5694529214549585E-12</v>
      </c>
      <c r="EY150" s="22">
        <f t="shared" si="129"/>
        <v>26.398816013719195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26.32031999999997</v>
      </c>
      <c r="D151" s="11">
        <f t="shared" si="140"/>
        <v>8.2893664370043165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53.432498358883812</v>
      </c>
      <c r="H151" s="67">
        <f t="shared" si="110"/>
        <v>316.94520387778249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5.1159076974727213E-13</v>
      </c>
      <c r="O151" s="13">
        <f>N151*VLOOKUP('Données projet'!$B$9,Paramètres!$A$1:$I$89,3,0)*VLOOKUP('Données projet'!$B$9,Paramètres!$A$1:$I$89,5,0)</f>
        <v>2.3942448024172334E-13</v>
      </c>
      <c r="P151" s="13">
        <f t="shared" si="141"/>
        <v>3.2492669905861755E-12</v>
      </c>
      <c r="Q151" s="20">
        <f t="shared" si="108"/>
        <v>6.0761376450252565E-12</v>
      </c>
      <c r="R151" s="59">
        <f t="shared" si="109"/>
        <v>293.3333333333394</v>
      </c>
      <c r="S151" s="59">
        <f ca="1">AVERAGE(OFFSET($R$3,0,0,'Données projet'!$E$9+1,1))-AVERAGE(OFFSET($H$3,0,0,'Données projet'!$E$9+1,1))</f>
        <v>223.99456146593315</v>
      </c>
      <c r="T151" s="59">
        <f t="shared" si="142"/>
        <v>132.73290587325937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61.765425331015905</v>
      </c>
      <c r="AA151" s="21">
        <f>EXP(-LN(2)/25)*AA150+(1-EXP(-LN(2)/25))/(LN(2)/25)*Calculateur!V151*Calculateur!X151*VLOOKUP('Données projet'!$B$9,Paramètres!$A$1:$I$89,3,0)*0.475*44/12</f>
        <v>11.275844871994503</v>
      </c>
      <c r="AB151" s="21">
        <f>EXP(-LN(2)/2)*AB150+(1-EXP(-LN(2)/2))/(LN(2)/2)*V151*Y151*VLOOKUP('Données projet'!$B$9,Paramètres!$A$1:$I$89,3,0)*0.475*44/12</f>
        <v>2.4746861738948879E-5</v>
      </c>
      <c r="AC151" s="22">
        <f t="shared" si="111"/>
        <v>73.041294949872153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8.5265128291212022E-14</v>
      </c>
      <c r="AJ151" s="13">
        <f>AI151*VLOOKUP('Données projet'!$B$10,Paramètres!$A$1:$I$89,3,0)*VLOOKUP('Données projet'!$B$10,Paramètres!$A$1:$I$89,5,0)</f>
        <v>5.5865712056402117E-14</v>
      </c>
      <c r="AK151" s="13">
        <f t="shared" si="143"/>
        <v>8.9811031843713517E-13</v>
      </c>
      <c r="AL151" s="20">
        <f t="shared" si="112"/>
        <v>1.6615082531095774E-12</v>
      </c>
      <c r="AM151" s="59">
        <f t="shared" si="113"/>
        <v>293.33333333333496</v>
      </c>
      <c r="AN151" s="59">
        <f ca="1">AVERAGE(OFFSET($AM$3,0,0,'Données projet'!$E$10+1,1))-AVERAGE(OFFSET($H$3,0,0,'Données projet'!$E$10+1,1))</f>
        <v>244.43587473734613</v>
      </c>
      <c r="AO151" s="59">
        <f t="shared" si="144"/>
        <v>256.80261402149375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5.8437897786426856</v>
      </c>
      <c r="AV151" s="21">
        <f>EXP(-LN(2)/25)*AV150+(1-EXP(-LN(2)/25))/(LN(2)/25)*Calculateur!AQ151*Calculateur!AS151*VLOOKUP('Données projet'!$B$10,Paramètres!$A$1:$I$89,3,0)*0.475*44/12</f>
        <v>10.119346942456975</v>
      </c>
      <c r="AW151" s="21">
        <f>EXP(-LN(2)/2)*AW150+(1-EXP(-LN(2)/2))/(LN(2)/2)*AQ151*AT151*VLOOKUP('Données projet'!$B$10,Paramètres!$A$1:$I$89,3,0)*0.475*44/12</f>
        <v>5.8342305525285108E-8</v>
      </c>
      <c r="AX151" s="21">
        <f t="shared" si="114"/>
        <v>15.963136779441966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-2.2737367544323206E-13</v>
      </c>
      <c r="BE151" s="13">
        <f>BD151*VLOOKUP('Données projet'!$B$11,Paramètres!$A$1:$I$89,3,0)*VLOOKUP('Données projet'!$B$11,Paramètres!$A$1:$I$89,5,0)</f>
        <v>-1.2710188457276673E-13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430.60186171079067</v>
      </c>
      <c r="BJ151" s="59">
        <f t="shared" si="146"/>
        <v>533.76627289533985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45.296140553722587</v>
      </c>
      <c r="BQ151" s="21">
        <f>EXP(-LN(2)/25)*BQ150+(1-EXP(-LN(2)/25))/(LN(2)/25)*Calculateur!BL151*Calculateur!BN151*VLOOKUP('Données projet'!$B$11,Paramètres!$A$1:$I$89,3,0)*0.475*44/12</f>
        <v>5.6159690362705366</v>
      </c>
      <c r="BR151" s="21">
        <f>EXP(-LN(2)/2)*BR150+(1-EXP(-LN(2)/2))/(LN(2)/2)*BL151*BO151*VLOOKUP('Données projet'!$B$11,Paramètres!$A$1:$I$89,3,0)*0.475*44/12</f>
        <v>3.2014696896174708E-12</v>
      </c>
      <c r="BS151" s="22">
        <f t="shared" si="117"/>
        <v>50.912109589996327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-1.69961822393816E-13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215.89467197072673</v>
      </c>
      <c r="CE151" s="59">
        <f t="shared" si="148"/>
        <v>188.21397398859534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29.702279419488463</v>
      </c>
      <c r="CL151" s="21">
        <f>EXP(-LN(2)/25)*CL150+(1-EXP(-LN(2)/25))/(LN(2)/25)*Calculateur!CG151*Calculateur!CI151*VLOOKUP('Données projet'!$B$12,Paramètres!$A$1:$I$89,3,0)*0.475*44/12</f>
        <v>4.2473911418739601</v>
      </c>
      <c r="CM151" s="21">
        <f>EXP(-LN(2)/2)*CM150+(1-EXP(-LN(2)/2))/(LN(2)/2)*CG151*CJ151*VLOOKUP('Données projet'!$B$12,Paramètres!$A$1:$I$89,3,0)*0.475*44/12</f>
        <v>1.6226536380504836E-9</v>
      </c>
      <c r="CN151" s="22">
        <f t="shared" si="120"/>
        <v>33.949670562985077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5.0924145299145307</v>
      </c>
      <c r="CT151" s="12">
        <f>IF('Données projet'!$A$140&gt;35,CT150+CS151-DB150,IF(A151&lt;'Données projet'!$A$140,$CQ$205^A151,IF(A151='Données projet'!$A$140,'Données projet'!$B$140,CT150+CS151-DB150)))</f>
        <v>241.82478632478623</v>
      </c>
      <c r="CU151" s="17">
        <f>CT151*VLOOKUP('Données projet'!$B$13,Paramètres!$A$1:$I$89,3,0)*VLOOKUP('Données projet'!$B$13,Paramètres!$A$1:$I$89,5,0)</f>
        <v>245.21033333333324</v>
      </c>
      <c r="CV151" s="13">
        <f t="shared" si="149"/>
        <v>59.559153967774691</v>
      </c>
      <c r="CW151" s="20">
        <f t="shared" si="121"/>
        <v>530.8068570494296</v>
      </c>
      <c r="CX151" s="59">
        <f t="shared" si="122"/>
        <v>824.14019038276297</v>
      </c>
      <c r="CY151" s="59">
        <f ca="1">AVERAGE(OFFSET($CX$3,0,0,'Données projet'!$E$13+1,1))-AVERAGE(OFFSET($H$3,0,0,'Données projet'!$E$13+1,1))</f>
        <v>342.82846711287749</v>
      </c>
      <c r="CZ151" s="59">
        <f t="shared" si="150"/>
        <v>152.87724741106297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37.107906432193381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37.107906432193381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208.48147873805715</v>
      </c>
      <c r="DU151" s="59">
        <f t="shared" si="152"/>
        <v>209.50570914630686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15.130667872819702</v>
      </c>
      <c r="EB151" s="21">
        <f>EXP(-LN(2)/25)*EB150+(1-EXP(-LN(2)/25))/(LN(2)/25)*Calculateur!DW151*Calculateur!DY151*VLOOKUP('Données projet'!$B$14,Paramètres!$A$1:$I$89,3,0)*0.475*44/12</f>
        <v>2.8994496330766539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18.030117505896357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-1.7053025658242404E-13</v>
      </c>
      <c r="EK151" s="17">
        <f>EJ151*VLOOKUP('Données projet'!$B$15,Paramètres!$A$1:$I$89,3,0)*VLOOKUP('Données projet'!$B$15,Paramètres!$A$1:$I$89,5,0)</f>
        <v>-1.0197709343628959E-13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247.31680974612766</v>
      </c>
      <c r="EP151" s="59">
        <f t="shared" si="154"/>
        <v>257.13949761071882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22.705878329609654</v>
      </c>
      <c r="EW151" s="21">
        <f>EXP(-LN(2)/25)*EW150+(1-EXP(-LN(2)/25))/(LN(2)/25)*Calculateur!ER151*Calculateur!ET151*VLOOKUP('Données projet'!$B$15,Paramètres!$A$1:$I$89,3,0)*0.475*44/12</f>
        <v>3.1502188670363225</v>
      </c>
      <c r="EX151" s="21">
        <f>EXP(-LN(2)/2)*EX150+(1-EXP(-LN(2)/2))/(LN(2)/2)*ER151*EU151*VLOOKUP('Données projet'!$B$15,Paramètres!$A$1:$I$89,3,0)*0.475*44/12</f>
        <v>1.8168775847003869E-12</v>
      </c>
      <c r="EY151" s="22">
        <f t="shared" si="129"/>
        <v>25.856097196647791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26.49815999999997</v>
      </c>
      <c r="D152" s="11">
        <f t="shared" si="140"/>
        <v>8.3388367822497003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53.78343362873634</v>
      </c>
      <c r="H152" s="67">
        <f t="shared" si="110"/>
        <v>317.34110272908487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5.1159076974727213E-13</v>
      </c>
      <c r="O152" s="13">
        <f>N152*VLOOKUP('Données projet'!$B$9,Paramètres!$A$1:$I$89,3,0)*VLOOKUP('Données projet'!$B$9,Paramètres!$A$1:$I$89,5,0)</f>
        <v>2.3942448024172334E-13</v>
      </c>
      <c r="P152" s="13">
        <f t="shared" si="141"/>
        <v>3.2492669905861755E-12</v>
      </c>
      <c r="Q152" s="20">
        <f t="shared" si="108"/>
        <v>6.0761376450252565E-12</v>
      </c>
      <c r="R152" s="59">
        <f t="shared" si="109"/>
        <v>293.3333333333394</v>
      </c>
      <c r="S152" s="59">
        <f ca="1">AVERAGE(OFFSET($R$3,0,0,'Données projet'!$E$9+1,1))-AVERAGE(OFFSET($H$3,0,0,'Données projet'!$E$9+1,1))</f>
        <v>223.99456146593315</v>
      </c>
      <c r="T152" s="59">
        <f t="shared" si="142"/>
        <v>132.73290587325937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60.554243013464216</v>
      </c>
      <c r="AA152" s="21">
        <f>EXP(-LN(2)/25)*AA151+(1-EXP(-LN(2)/25))/(LN(2)/25)*Calculateur!V152*Calculateur!X152*VLOOKUP('Données projet'!$B$9,Paramètres!$A$1:$I$89,3,0)*0.475*44/12</f>
        <v>10.967506300998902</v>
      </c>
      <c r="AB152" s="21">
        <f>EXP(-LN(2)/2)*AB151+(1-EXP(-LN(2)/2))/(LN(2)/2)*V152*Y152*VLOOKUP('Données projet'!$B$9,Paramètres!$A$1:$I$89,3,0)*0.475*44/12</f>
        <v>1.7498673748696669E-5</v>
      </c>
      <c r="AC152" s="22">
        <f t="shared" si="111"/>
        <v>71.521766813136864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8.5265128291212022E-14</v>
      </c>
      <c r="AJ152" s="13">
        <f>AI152*VLOOKUP('Données projet'!$B$10,Paramètres!$A$1:$I$89,3,0)*VLOOKUP('Données projet'!$B$10,Paramètres!$A$1:$I$89,5,0)</f>
        <v>5.5865712056402117E-14</v>
      </c>
      <c r="AK152" s="13">
        <f t="shared" si="143"/>
        <v>8.9811031843713517E-13</v>
      </c>
      <c r="AL152" s="20">
        <f t="shared" si="112"/>
        <v>1.6615082531095774E-12</v>
      </c>
      <c r="AM152" s="59">
        <f t="shared" si="113"/>
        <v>293.33333333333496</v>
      </c>
      <c r="AN152" s="59">
        <f ca="1">AVERAGE(OFFSET($AM$3,0,0,'Données projet'!$E$10+1,1))-AVERAGE(OFFSET($H$3,0,0,'Données projet'!$E$10+1,1))</f>
        <v>244.43587473734613</v>
      </c>
      <c r="AO152" s="59">
        <f t="shared" si="144"/>
        <v>256.80261402149375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5.7291966254433158</v>
      </c>
      <c r="AV152" s="21">
        <f>EXP(-LN(2)/25)*AV151+(1-EXP(-LN(2)/25))/(LN(2)/25)*Calculateur!AQ152*Calculateur!AS152*VLOOKUP('Données projet'!$B$10,Paramètres!$A$1:$I$89,3,0)*0.475*44/12</f>
        <v>9.8426328681621609</v>
      </c>
      <c r="AW152" s="21">
        <f>EXP(-LN(2)/2)*AW151+(1-EXP(-LN(2)/2))/(LN(2)/2)*AQ152*AT152*VLOOKUP('Données projet'!$B$10,Paramètres!$A$1:$I$89,3,0)*0.475*44/12</f>
        <v>4.1254239866986483E-8</v>
      </c>
      <c r="AX152" s="21">
        <f t="shared" si="114"/>
        <v>15.571829534859717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-2.2737367544323206E-13</v>
      </c>
      <c r="BE152" s="13">
        <f>BD152*VLOOKUP('Données projet'!$B$11,Paramètres!$A$1:$I$89,3,0)*VLOOKUP('Données projet'!$B$11,Paramètres!$A$1:$I$89,5,0)</f>
        <v>-1.2710188457276673E-13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430.60186171079067</v>
      </c>
      <c r="BJ152" s="59">
        <f t="shared" si="146"/>
        <v>533.76627289533985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44.407910865381794</v>
      </c>
      <c r="BQ152" s="21">
        <f>EXP(-LN(2)/25)*BQ151+(1-EXP(-LN(2)/25))/(LN(2)/25)*Calculateur!BL152*Calculateur!BN152*VLOOKUP('Données projet'!$B$11,Paramètres!$A$1:$I$89,3,0)*0.475*44/12</f>
        <v>5.4624000676427427</v>
      </c>
      <c r="BR152" s="21">
        <f>EXP(-LN(2)/2)*BR151+(1-EXP(-LN(2)/2))/(LN(2)/2)*BL152*BO152*VLOOKUP('Données projet'!$B$11,Paramètres!$A$1:$I$89,3,0)*0.475*44/12</f>
        <v>2.2637809272917051E-12</v>
      </c>
      <c r="BS152" s="22">
        <f t="shared" si="117"/>
        <v>49.870310933026801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-1.69961822393816E-13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215.89467197072673</v>
      </c>
      <c r="CE152" s="59">
        <f t="shared" si="148"/>
        <v>188.21397398859534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29.119835836673875</v>
      </c>
      <c r="CL152" s="21">
        <f>EXP(-LN(2)/25)*CL151+(1-EXP(-LN(2)/25))/(LN(2)/25)*Calculateur!CG152*Calculateur!CI152*VLOOKUP('Données projet'!$B$12,Paramètres!$A$1:$I$89,3,0)*0.475*44/12</f>
        <v>4.1312460077388238</v>
      </c>
      <c r="CM152" s="21">
        <f>EXP(-LN(2)/2)*CM151+(1-EXP(-LN(2)/2))/(LN(2)/2)*CG152*CJ152*VLOOKUP('Données projet'!$B$12,Paramètres!$A$1:$I$89,3,0)*0.475*44/12</f>
        <v>1.1473893909825186E-9</v>
      </c>
      <c r="CN152" s="22">
        <f t="shared" si="120"/>
        <v>33.251081845560087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5.0924145299145307</v>
      </c>
      <c r="CT152" s="12">
        <f>IF('Données projet'!$A$140&gt;35,CT151+CS152-DB151,IF(A152&lt;'Données projet'!$A$140,$CQ$205^A152,IF(A152='Données projet'!$A$140,'Données projet'!$B$140,CT151+CS152-DB151)))</f>
        <v>246.91720085470075</v>
      </c>
      <c r="CU152" s="17">
        <f>CT152*VLOOKUP('Données projet'!$B$13,Paramètres!$A$1:$I$89,3,0)*VLOOKUP('Données projet'!$B$13,Paramètres!$A$1:$I$89,5,0)</f>
        <v>250.37404166666659</v>
      </c>
      <c r="CV152" s="13">
        <f t="shared" si="149"/>
        <v>60.666029275112216</v>
      </c>
      <c r="CW152" s="20">
        <f t="shared" si="121"/>
        <v>541.72812355693145</v>
      </c>
      <c r="CX152" s="59">
        <f t="shared" si="122"/>
        <v>835.06145689026471</v>
      </c>
      <c r="CY152" s="59">
        <f ca="1">AVERAGE(OFFSET($CX$3,0,0,'Données projet'!$E$13+1,1))-AVERAGE(OFFSET($H$3,0,0,'Données projet'!$E$13+1,1))</f>
        <v>342.82846711287749</v>
      </c>
      <c r="CZ152" s="59">
        <f t="shared" si="150"/>
        <v>152.87724741106297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36.380243020646112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36.380243020646112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208.48147873805715</v>
      </c>
      <c r="DU152" s="59">
        <f t="shared" si="152"/>
        <v>209.50570914630686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14.833964704629842</v>
      </c>
      <c r="EB152" s="21">
        <f>EXP(-LN(2)/25)*EB151+(1-EXP(-LN(2)/25))/(LN(2)/25)*Calculateur!DW152*Calculateur!DY152*VLOOKUP('Données projet'!$B$14,Paramètres!$A$1:$I$89,3,0)*0.475*44/12</f>
        <v>2.8201640303847433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17.654128735014584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-1.7053025658242404E-13</v>
      </c>
      <c r="EK152" s="17">
        <f>EJ152*VLOOKUP('Données projet'!$B$15,Paramètres!$A$1:$I$89,3,0)*VLOOKUP('Données projet'!$B$15,Paramètres!$A$1:$I$89,5,0)</f>
        <v>-1.0197709343628959E-13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247.31680974612766</v>
      </c>
      <c r="EP152" s="59">
        <f t="shared" si="154"/>
        <v>257.13949761071882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22.260629904784292</v>
      </c>
      <c r="EW152" s="21">
        <f>EXP(-LN(2)/25)*EW151+(1-EXP(-LN(2)/25))/(LN(2)/25)*Calculateur!ER152*Calculateur!ET152*VLOOKUP('Données projet'!$B$15,Paramètres!$A$1:$I$89,3,0)*0.475*44/12</f>
        <v>3.0640759664544039</v>
      </c>
      <c r="EX152" s="21">
        <f>EXP(-LN(2)/2)*EX151+(1-EXP(-LN(2)/2))/(LN(2)/2)*ER152*EU152*VLOOKUP('Données projet'!$B$15,Paramètres!$A$1:$I$89,3,0)*0.475*44/12</f>
        <v>1.2847264607274795E-12</v>
      </c>
      <c r="EY152" s="22">
        <f t="shared" si="129"/>
        <v>25.324705871239981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26.67599999999997</v>
      </c>
      <c r="D153" s="11">
        <f t="shared" si="140"/>
        <v>8.3882684956477789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54.134309256438634</v>
      </c>
      <c r="H153" s="67">
        <f t="shared" si="110"/>
        <v>317.73693429658653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5.1159076974727213E-13</v>
      </c>
      <c r="O153" s="13">
        <f>N153*VLOOKUP('Données projet'!$B$9,Paramètres!$A$1:$I$89,3,0)*VLOOKUP('Données projet'!$B$9,Paramètres!$A$1:$I$89,5,0)</f>
        <v>2.3942448024172334E-13</v>
      </c>
      <c r="P153" s="13">
        <f t="shared" si="141"/>
        <v>3.2492669905861755E-12</v>
      </c>
      <c r="Q153" s="20">
        <f t="shared" si="108"/>
        <v>6.0761376450252565E-12</v>
      </c>
      <c r="R153" s="59">
        <f t="shared" si="109"/>
        <v>293.3333333333394</v>
      </c>
      <c r="S153" s="59">
        <f ca="1">AVERAGE(OFFSET($R$3,0,0,'Données projet'!$E$9+1,1))-AVERAGE(OFFSET($H$3,0,0,'Données projet'!$E$9+1,1))</f>
        <v>223.99456146593315</v>
      </c>
      <c r="T153" s="59">
        <f t="shared" si="142"/>
        <v>132.73290587325937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59.366811242411451</v>
      </c>
      <c r="AA153" s="21">
        <f>EXP(-LN(2)/25)*AA152+(1-EXP(-LN(2)/25))/(LN(2)/25)*Calculateur!V153*Calculateur!X153*VLOOKUP('Données projet'!$B$9,Paramètres!$A$1:$I$89,3,0)*0.475*44/12</f>
        <v>10.667599264441998</v>
      </c>
      <c r="AB153" s="21">
        <f>EXP(-LN(2)/2)*AB152+(1-EXP(-LN(2)/2))/(LN(2)/2)*V153*Y153*VLOOKUP('Données projet'!$B$9,Paramètres!$A$1:$I$89,3,0)*0.475*44/12</f>
        <v>1.2373430869474439E-5</v>
      </c>
      <c r="AC153" s="22">
        <f t="shared" si="111"/>
        <v>70.034422880284311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8.5265128291212022E-14</v>
      </c>
      <c r="AJ153" s="13">
        <f>AI153*VLOOKUP('Données projet'!$B$10,Paramètres!$A$1:$I$89,3,0)*VLOOKUP('Données projet'!$B$10,Paramètres!$A$1:$I$89,5,0)</f>
        <v>5.5865712056402117E-14</v>
      </c>
      <c r="AK153" s="13">
        <f t="shared" si="143"/>
        <v>8.9811031843713517E-13</v>
      </c>
      <c r="AL153" s="20">
        <f t="shared" si="112"/>
        <v>1.6615082531095774E-12</v>
      </c>
      <c r="AM153" s="59">
        <f t="shared" si="113"/>
        <v>293.33333333333496</v>
      </c>
      <c r="AN153" s="59">
        <f ca="1">AVERAGE(OFFSET($AM$3,0,0,'Données projet'!$E$10+1,1))-AVERAGE(OFFSET($H$3,0,0,'Données projet'!$E$10+1,1))</f>
        <v>244.43587473734613</v>
      </c>
      <c r="AO153" s="59">
        <f t="shared" si="144"/>
        <v>256.80261402149375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5.6168505740832639</v>
      </c>
      <c r="AV153" s="21">
        <f>EXP(-LN(2)/25)*AV152+(1-EXP(-LN(2)/25))/(LN(2)/25)*Calculateur!AQ153*Calculateur!AS153*VLOOKUP('Données projet'!$B$10,Paramètres!$A$1:$I$89,3,0)*0.475*44/12</f>
        <v>9.5734855547806994</v>
      </c>
      <c r="AW153" s="21">
        <f>EXP(-LN(2)/2)*AW152+(1-EXP(-LN(2)/2))/(LN(2)/2)*AQ153*AT153*VLOOKUP('Données projet'!$B$10,Paramètres!$A$1:$I$89,3,0)*0.475*44/12</f>
        <v>2.9171152762642558E-8</v>
      </c>
      <c r="AX153" s="21">
        <f t="shared" si="114"/>
        <v>15.190336158035116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-2.2737367544323206E-13</v>
      </c>
      <c r="BE153" s="13">
        <f>BD153*VLOOKUP('Données projet'!$B$11,Paramètres!$A$1:$I$89,3,0)*VLOOKUP('Données projet'!$B$11,Paramètres!$A$1:$I$89,5,0)</f>
        <v>-1.2710188457276673E-13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430.60186171079067</v>
      </c>
      <c r="BJ153" s="59">
        <f t="shared" si="146"/>
        <v>533.76627289533985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43.537098819462749</v>
      </c>
      <c r="BQ153" s="21">
        <f>EXP(-LN(2)/25)*BQ152+(1-EXP(-LN(2)/25))/(LN(2)/25)*Calculateur!BL153*Calculateur!BN153*VLOOKUP('Données projet'!$B$11,Paramètres!$A$1:$I$89,3,0)*0.475*44/12</f>
        <v>5.3130304505379167</v>
      </c>
      <c r="BR153" s="21">
        <f>EXP(-LN(2)/2)*BR152+(1-EXP(-LN(2)/2))/(LN(2)/2)*BL153*BO153*VLOOKUP('Données projet'!$B$11,Paramètres!$A$1:$I$89,3,0)*0.475*44/12</f>
        <v>1.6007348448087354E-12</v>
      </c>
      <c r="BS153" s="22">
        <f t="shared" si="117"/>
        <v>48.850129270002263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-1.69961822393816E-13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215.89467197072673</v>
      </c>
      <c r="CE153" s="59">
        <f t="shared" si="148"/>
        <v>188.21397398859534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28.548813617262773</v>
      </c>
      <c r="CL153" s="21">
        <f>EXP(-LN(2)/25)*CL152+(1-EXP(-LN(2)/25))/(LN(2)/25)*Calculateur!CG153*Calculateur!CI153*VLOOKUP('Données projet'!$B$12,Paramètres!$A$1:$I$89,3,0)*0.475*44/12</f>
        <v>4.0182768684044206</v>
      </c>
      <c r="CM153" s="21">
        <f>EXP(-LN(2)/2)*CM152+(1-EXP(-LN(2)/2))/(LN(2)/2)*CG153*CJ153*VLOOKUP('Données projet'!$B$12,Paramètres!$A$1:$I$89,3,0)*0.475*44/12</f>
        <v>8.1132681902524181E-10</v>
      </c>
      <c r="CN153" s="22">
        <f t="shared" si="120"/>
        <v>32.56709048647852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5.0924145299145307</v>
      </c>
      <c r="CT153" s="12">
        <f>IF('Données projet'!$A$140&gt;35,CT152+CS153-DB152,IF(A153&lt;'Données projet'!$A$140,$CQ$205^A153,IF(A153='Données projet'!$A$140,'Données projet'!$B$140,CT152+CS153-DB152)))</f>
        <v>252.00961538461527</v>
      </c>
      <c r="CU153" s="17">
        <f>CT153*VLOOKUP('Données projet'!$B$13,Paramètres!$A$1:$I$89,3,0)*VLOOKUP('Données projet'!$B$13,Paramètres!$A$1:$I$89,5,0)</f>
        <v>255.53774999999987</v>
      </c>
      <c r="CV153" s="13">
        <f t="shared" si="149"/>
        <v>61.770250371465984</v>
      </c>
      <c r="CW153" s="20">
        <f t="shared" si="121"/>
        <v>552.64476731363641</v>
      </c>
      <c r="CX153" s="59">
        <f t="shared" si="122"/>
        <v>845.97810064696978</v>
      </c>
      <c r="CY153" s="59">
        <f ca="1">AVERAGE(OFFSET($CX$3,0,0,'Données projet'!$E$13+1,1))-AVERAGE(OFFSET($H$3,0,0,'Données projet'!$E$13+1,1))</f>
        <v>342.82846711287749</v>
      </c>
      <c r="CZ153" s="59">
        <f t="shared" si="150"/>
        <v>152.87724741106297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35.666848644768429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35.666848644768429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208.48147873805715</v>
      </c>
      <c r="DU153" s="59">
        <f t="shared" si="152"/>
        <v>209.50570914630686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14.543079704597123</v>
      </c>
      <c r="EB153" s="21">
        <f>EXP(-LN(2)/25)*EB152+(1-EXP(-LN(2)/25))/(LN(2)/25)*Calculateur!DW153*Calculateur!DY153*VLOOKUP('Données projet'!$B$14,Paramètres!$A$1:$I$89,3,0)*0.475*44/12</f>
        <v>2.7430464966678918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17.286126201265013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-1.7053025658242404E-13</v>
      </c>
      <c r="EK153" s="17">
        <f>EJ153*VLOOKUP('Données projet'!$B$15,Paramètres!$A$1:$I$89,3,0)*VLOOKUP('Données projet'!$B$15,Paramètres!$A$1:$I$89,5,0)</f>
        <v>-1.0197709343628959E-13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247.31680974612766</v>
      </c>
      <c r="EP153" s="59">
        <f t="shared" si="154"/>
        <v>257.13949761071882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21.824112529995034</v>
      </c>
      <c r="EW153" s="21">
        <f>EXP(-LN(2)/25)*EW152+(1-EXP(-LN(2)/25))/(LN(2)/25)*Calculateur!ER153*Calculateur!ET153*VLOOKUP('Données projet'!$B$15,Paramètres!$A$1:$I$89,3,0)*0.475*44/12</f>
        <v>2.9802886480189561</v>
      </c>
      <c r="EX153" s="21">
        <f>EXP(-LN(2)/2)*EX152+(1-EXP(-LN(2)/2))/(LN(2)/2)*ER153*EU153*VLOOKUP('Données projet'!$B$15,Paramètres!$A$1:$I$89,3,0)*0.475*44/12</f>
        <v>9.0843879235019354E-13</v>
      </c>
      <c r="EY153" s="22">
        <f t="shared" si="129"/>
        <v>24.804401178014899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26.85383999999997</v>
      </c>
      <c r="D154" s="11">
        <f t="shared" si="140"/>
        <v>8.4376618646152579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54.485125685721762</v>
      </c>
      <c r="H154" s="67">
        <f t="shared" si="110"/>
        <v>318.13269908087153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5.1159076974727213E-13</v>
      </c>
      <c r="O154" s="13">
        <f>N154*VLOOKUP('Données projet'!$B$9,Paramètres!$A$1:$I$89,3,0)*VLOOKUP('Données projet'!$B$9,Paramètres!$A$1:$I$89,5,0)</f>
        <v>2.3942448024172334E-13</v>
      </c>
      <c r="P154" s="13">
        <f t="shared" si="141"/>
        <v>3.2492669905861755E-12</v>
      </c>
      <c r="Q154" s="20">
        <f t="shared" ref="Q154:Q203" si="162">(O154+P154)*0.475*44/12</f>
        <v>6.0761376450252565E-12</v>
      </c>
      <c r="R154" s="59">
        <f t="shared" si="109"/>
        <v>293.3333333333394</v>
      </c>
      <c r="S154" s="59">
        <f ca="1">AVERAGE(OFFSET($R$3,0,0,'Données projet'!$E$9+1,1))-AVERAGE(OFFSET($H$3,0,0,'Données projet'!$E$9+1,1))</f>
        <v>223.99456146593315</v>
      </c>
      <c r="T154" s="59">
        <f t="shared" si="142"/>
        <v>132.73290587325937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58.20266428412716</v>
      </c>
      <c r="AA154" s="21">
        <f>EXP(-LN(2)/25)*AA153+(1-EXP(-LN(2)/25))/(LN(2)/25)*Calculateur!V154*Calculateur!X154*VLOOKUP('Données projet'!$B$9,Paramètres!$A$1:$I$89,3,0)*0.475*44/12</f>
        <v>10.375893201571168</v>
      </c>
      <c r="AB154" s="21">
        <f>EXP(-LN(2)/2)*AB153+(1-EXP(-LN(2)/2))/(LN(2)/2)*V154*Y154*VLOOKUP('Données projet'!$B$9,Paramètres!$A$1:$I$89,3,0)*0.475*44/12</f>
        <v>8.7493368743483346E-6</v>
      </c>
      <c r="AC154" s="22">
        <f t="shared" ref="AC154:AC203" si="163">SUM(Z154:AB154)</f>
        <v>68.578566235035197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8.5265128291212022E-14</v>
      </c>
      <c r="AJ154" s="13">
        <f>AI154*VLOOKUP('Données projet'!$B$10,Paramètres!$A$1:$I$89,3,0)*VLOOKUP('Données projet'!$B$10,Paramètres!$A$1:$I$89,5,0)</f>
        <v>5.5865712056402117E-14</v>
      </c>
      <c r="AK154" s="13">
        <f t="shared" ref="AK154:AK203" si="164">EXP(-1.0587+0.8836*LN(AJ154)+0.284)</f>
        <v>8.9811031843713517E-13</v>
      </c>
      <c r="AL154" s="20">
        <f t="shared" ref="AL154:AL203" si="165">(AJ154+AK154)*0.475*44/12</f>
        <v>1.6615082531095774E-12</v>
      </c>
      <c r="AM154" s="59">
        <f t="shared" si="113"/>
        <v>293.33333333333496</v>
      </c>
      <c r="AN154" s="59">
        <f ca="1">AVERAGE(OFFSET($AM$3,0,0,'Données projet'!$E$10+1,1))-AVERAGE(OFFSET($H$3,0,0,'Données projet'!$E$10+1,1))</f>
        <v>244.43587473734613</v>
      </c>
      <c r="AO154" s="59">
        <f t="shared" si="144"/>
        <v>256.80261402149375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5.506707560266058</v>
      </c>
      <c r="AV154" s="21">
        <f>EXP(-LN(2)/25)*AV153+(1-EXP(-LN(2)/25))/(LN(2)/25)*Calculateur!AQ154*Calculateur!AS154*VLOOKUP('Données projet'!$B$10,Paramètres!$A$1:$I$89,3,0)*0.475*44/12</f>
        <v>9.3116980888374972</v>
      </c>
      <c r="AW154" s="21">
        <f>EXP(-LN(2)/2)*AW153+(1-EXP(-LN(2)/2))/(LN(2)/2)*AQ154*AT154*VLOOKUP('Données projet'!$B$10,Paramètres!$A$1:$I$89,3,0)*0.475*44/12</f>
        <v>2.0627119933493245E-8</v>
      </c>
      <c r="AX154" s="21">
        <f t="shared" ref="AX154:AX203" si="166">SUM(AU154:AW154)</f>
        <v>14.818405669730675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-1.2710188457276673E-13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430.60186171079067</v>
      </c>
      <c r="BJ154" s="59">
        <f t="shared" si="146"/>
        <v>533.76627289533985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42.683362866621273</v>
      </c>
      <c r="BQ154" s="21">
        <f>EXP(-LN(2)/25)*BQ153+(1-EXP(-LN(2)/25))/(LN(2)/25)*Calculateur!BL154*Calculateur!BN154*VLOOKUP('Données projet'!$B$11,Paramètres!$A$1:$I$89,3,0)*0.475*44/12</f>
        <v>5.1677453534678293</v>
      </c>
      <c r="BR154" s="21">
        <f>EXP(-LN(2)/2)*BR153+(1-EXP(-LN(2)/2))/(LN(2)/2)*BL154*BO154*VLOOKUP('Données projet'!$B$11,Paramètres!$A$1:$I$89,3,0)*0.475*44/12</f>
        <v>1.1318904636458526E-12</v>
      </c>
      <c r="BS154" s="22">
        <f t="shared" ref="BS154:BS203" si="169">SUM(BP154:BR154)</f>
        <v>47.851108220090232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-1.69961822393816E-13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215.89467197072673</v>
      </c>
      <c r="CE154" s="59">
        <f t="shared" si="148"/>
        <v>188.21397398859534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27.988988795285159</v>
      </c>
      <c r="CL154" s="21">
        <f>EXP(-LN(2)/25)*CL153+(1-EXP(-LN(2)/25))/(LN(2)/25)*Calculateur!CG154*Calculateur!CI154*VLOOKUP('Données projet'!$B$12,Paramètres!$A$1:$I$89,3,0)*0.475*44/12</f>
        <v>3.9083968761259049</v>
      </c>
      <c r="CM154" s="21">
        <f>EXP(-LN(2)/2)*CM153+(1-EXP(-LN(2)/2))/(LN(2)/2)*CG154*CJ154*VLOOKUP('Données projet'!$B$12,Paramètres!$A$1:$I$89,3,0)*0.475*44/12</f>
        <v>5.736946954912593E-10</v>
      </c>
      <c r="CN154" s="22">
        <f t="shared" ref="CN154:CN203" si="172">SUM(CK154:CM154)</f>
        <v>31.897385671984761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5.0924145299145307</v>
      </c>
      <c r="CT154" s="12">
        <f>IF('Données projet'!$A$140&gt;35,CT153+CS154-DB153,IF(A154&lt;'Données projet'!$A$140,$CQ$205^A154,IF(A154='Données projet'!$A$140,'Données projet'!$B$140,CT153+CS154-DB153)))</f>
        <v>257.10202991452979</v>
      </c>
      <c r="CU154" s="17">
        <f>CT154*VLOOKUP('Données projet'!$B$13,Paramètres!$A$1:$I$89,3,0)*VLOOKUP('Données projet'!$B$13,Paramètres!$A$1:$I$89,5,0)</f>
        <v>260.70145833333322</v>
      </c>
      <c r="CV154" s="13">
        <f t="shared" ref="CV154:CV203" si="173">EXP(-1.0587+0.8836*LN(CU154)+0.284)</f>
        <v>62.871877071946876</v>
      </c>
      <c r="CW154" s="20">
        <f t="shared" ref="CW154:CW203" si="174">(CU154+CV154)*0.475*44/12</f>
        <v>563.55689249752947</v>
      </c>
      <c r="CX154" s="59">
        <f t="shared" si="122"/>
        <v>856.89022583086285</v>
      </c>
      <c r="CY154" s="59">
        <f ca="1">AVERAGE(OFFSET($CX$3,0,0,'Données projet'!$E$13+1,1))-AVERAGE(OFFSET($H$3,0,0,'Données projet'!$E$13+1,1))</f>
        <v>342.82846711287749</v>
      </c>
      <c r="CZ154" s="59">
        <f t="shared" si="150"/>
        <v>152.87724741106297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34.9674434974741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34.9674434974741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208.48147873805715</v>
      </c>
      <c r="DU154" s="59">
        <f t="shared" si="152"/>
        <v>209.50570914630686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14.257898781992713</v>
      </c>
      <c r="EB154" s="21">
        <f>EXP(-LN(2)/25)*EB153+(1-EXP(-LN(2)/25))/(LN(2)/25)*Calculateur!DW154*Calculateur!DY154*VLOOKUP('Données projet'!$B$14,Paramètres!$A$1:$I$89,3,0)*0.475*44/12</f>
        <v>2.6680377459659623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16.925936527958676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-1.7053025658242404E-13</v>
      </c>
      <c r="EK154" s="17">
        <f>EJ154*VLOOKUP('Données projet'!$B$15,Paramètres!$A$1:$I$89,3,0)*VLOOKUP('Données projet'!$B$15,Paramètres!$A$1:$I$89,5,0)</f>
        <v>-1.0197709343628959E-13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247.31680974612766</v>
      </c>
      <c r="EP154" s="59">
        <f t="shared" si="154"/>
        <v>257.13949761071882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21.396154994676085</v>
      </c>
      <c r="EW154" s="21">
        <f>EXP(-LN(2)/25)*EW153+(1-EXP(-LN(2)/25))/(LN(2)/25)*Calculateur!ER154*Calculateur!ET154*VLOOKUP('Données projet'!$B$15,Paramètres!$A$1:$I$89,3,0)*0.475*44/12</f>
        <v>2.8987924982123094</v>
      </c>
      <c r="EX154" s="21">
        <f>EXP(-LN(2)/2)*EX153+(1-EXP(-LN(2)/2))/(LN(2)/2)*ER154*EU154*VLOOKUP('Données projet'!$B$15,Paramètres!$A$1:$I$89,3,0)*0.475*44/12</f>
        <v>6.4236323036373984E-13</v>
      </c>
      <c r="EY154" s="22">
        <f t="shared" ref="EY154:EY203" si="181">SUM(EV154:EX154)</f>
        <v>24.294947492889037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27.03167999999997</v>
      </c>
      <c r="D155" s="11">
        <f t="shared" si="140"/>
        <v>8.4870171725419024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54.835883354099735</v>
      </c>
      <c r="H155" s="67">
        <f t="shared" si="110"/>
        <v>318.52839757551044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5.1159076974727213E-13</v>
      </c>
      <c r="O155" s="13">
        <f>N155*VLOOKUP('Données projet'!$B$9,Paramètres!$A$1:$I$89,3,0)*VLOOKUP('Données projet'!$B$9,Paramètres!$A$1:$I$89,5,0)</f>
        <v>2.3942448024172334E-13</v>
      </c>
      <c r="P155" s="13">
        <f t="shared" si="141"/>
        <v>3.2492669905861755E-12</v>
      </c>
      <c r="Q155" s="20">
        <f t="shared" si="162"/>
        <v>6.0761376450252565E-12</v>
      </c>
      <c r="R155" s="59">
        <f t="shared" si="109"/>
        <v>293.3333333333394</v>
      </c>
      <c r="S155" s="59">
        <f ca="1">AVERAGE(OFFSET($R$3,0,0,'Données projet'!$E$9+1,1))-AVERAGE(OFFSET($H$3,0,0,'Données projet'!$E$9+1,1))</f>
        <v>223.99456146593315</v>
      </c>
      <c r="T155" s="59">
        <f t="shared" si="142"/>
        <v>132.73290587325937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57.06134553763529</v>
      </c>
      <c r="AA155" s="21">
        <f>EXP(-LN(2)/25)*AA154+(1-EXP(-LN(2)/25))/(LN(2)/25)*Calculateur!V155*Calculateur!X155*VLOOKUP('Données projet'!$B$9,Paramètres!$A$1:$I$89,3,0)*0.475*44/12</f>
        <v>10.092163856329696</v>
      </c>
      <c r="AB155" s="21">
        <f>EXP(-LN(2)/2)*AB154+(1-EXP(-LN(2)/2))/(LN(2)/2)*V155*Y155*VLOOKUP('Données projet'!$B$9,Paramètres!$A$1:$I$89,3,0)*0.475*44/12</f>
        <v>6.1867154347372196E-6</v>
      </c>
      <c r="AC155" s="22">
        <f t="shared" si="163"/>
        <v>67.15351558068042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8.5265128291212022E-14</v>
      </c>
      <c r="AJ155" s="13">
        <f>AI155*VLOOKUP('Données projet'!$B$10,Paramètres!$A$1:$I$89,3,0)*VLOOKUP('Données projet'!$B$10,Paramètres!$A$1:$I$89,5,0)</f>
        <v>5.5865712056402117E-14</v>
      </c>
      <c r="AK155" s="13">
        <f t="shared" si="164"/>
        <v>8.9811031843713517E-13</v>
      </c>
      <c r="AL155" s="20">
        <f t="shared" si="165"/>
        <v>1.6615082531095774E-12</v>
      </c>
      <c r="AM155" s="59">
        <f t="shared" si="113"/>
        <v>293.33333333333496</v>
      </c>
      <c r="AN155" s="59">
        <f ca="1">AVERAGE(OFFSET($AM$3,0,0,'Données projet'!$E$10+1,1))-AVERAGE(OFFSET($H$3,0,0,'Données projet'!$E$10+1,1))</f>
        <v>244.43587473734613</v>
      </c>
      <c r="AO155" s="59">
        <f t="shared" si="144"/>
        <v>256.80261402149375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5.3987243837692027</v>
      </c>
      <c r="AV155" s="21">
        <f>EXP(-LN(2)/25)*AV154+(1-EXP(-LN(2)/25))/(LN(2)/25)*Calculateur!AQ155*Calculateur!AS155*VLOOKUP('Données projet'!$B$10,Paramètres!$A$1:$I$89,3,0)*0.475*44/12</f>
        <v>9.0570692149173162</v>
      </c>
      <c r="AW155" s="21">
        <f>EXP(-LN(2)/2)*AW154+(1-EXP(-LN(2)/2))/(LN(2)/2)*AQ155*AT155*VLOOKUP('Données projet'!$B$10,Paramètres!$A$1:$I$89,3,0)*0.475*44/12</f>
        <v>1.4585576381321282E-8</v>
      </c>
      <c r="AX155" s="21">
        <f t="shared" si="166"/>
        <v>14.455793613272096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-1.2710188457276673E-13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430.60186171079067</v>
      </c>
      <c r="BJ155" s="59">
        <f t="shared" si="146"/>
        <v>533.76627289533985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41.846368155087504</v>
      </c>
      <c r="BQ155" s="21">
        <f>EXP(-LN(2)/25)*BQ154+(1-EXP(-LN(2)/25))/(LN(2)/25)*Calculateur!BL155*Calculateur!BN155*VLOOKUP('Données projet'!$B$11,Paramètres!$A$1:$I$89,3,0)*0.475*44/12</f>
        <v>5.0264330850173344</v>
      </c>
      <c r="BR155" s="21">
        <f>EXP(-LN(2)/2)*BR154+(1-EXP(-LN(2)/2))/(LN(2)/2)*BL155*BO155*VLOOKUP('Données projet'!$B$11,Paramètres!$A$1:$I$89,3,0)*0.475*44/12</f>
        <v>8.003674224043677E-13</v>
      </c>
      <c r="BS155" s="22">
        <f t="shared" si="169"/>
        <v>46.872801240105638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-1.69961822393816E-13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215.89467197072673</v>
      </c>
      <c r="CE155" s="59">
        <f t="shared" si="148"/>
        <v>188.21397398859534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27.440141796607101</v>
      </c>
      <c r="CL155" s="21">
        <f>EXP(-LN(2)/25)*CL154+(1-EXP(-LN(2)/25))/(LN(2)/25)*Calculateur!CG155*Calculateur!CI155*VLOOKUP('Données projet'!$B$12,Paramètres!$A$1:$I$89,3,0)*0.475*44/12</f>
        <v>3.8015215580145831</v>
      </c>
      <c r="CM155" s="21">
        <f>EXP(-LN(2)/2)*CM154+(1-EXP(-LN(2)/2))/(LN(2)/2)*CG155*CJ155*VLOOKUP('Données projet'!$B$12,Paramètres!$A$1:$I$89,3,0)*0.475*44/12</f>
        <v>4.0566340951262091E-10</v>
      </c>
      <c r="CN155" s="22">
        <f t="shared" si="172"/>
        <v>31.241663355027349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5.0924145299145307</v>
      </c>
      <c r="CT155" s="12">
        <f>IF('Données projet'!$A$140&gt;35,CT154+CS155-DB154,IF(A155&lt;'Données projet'!$A$140,$CQ$205^A155,IF(A155='Données projet'!$A$140,'Données projet'!$B$140,CT154+CS155-DB154)))</f>
        <v>262.19444444444434</v>
      </c>
      <c r="CU155" s="17">
        <f>CT155*VLOOKUP('Données projet'!$B$13,Paramètres!$A$1:$I$89,3,0)*VLOOKUP('Données projet'!$B$13,Paramètres!$A$1:$I$89,5,0)</f>
        <v>265.8651666666666</v>
      </c>
      <c r="CV155" s="13">
        <f t="shared" si="173"/>
        <v>63.970966686643813</v>
      </c>
      <c r="CW155" s="20">
        <f t="shared" si="174"/>
        <v>574.46459892368227</v>
      </c>
      <c r="CX155" s="59">
        <f t="shared" si="122"/>
        <v>867.79793225701565</v>
      </c>
      <c r="CY155" s="59">
        <f ca="1">AVERAGE(OFFSET($CX$3,0,0,'Données projet'!$E$13+1,1))-AVERAGE(OFFSET($H$3,0,0,'Données projet'!$E$13+1,1))</f>
        <v>342.82846711287749</v>
      </c>
      <c r="CZ155" s="59">
        <f t="shared" si="150"/>
        <v>152.87724741106297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34.281753258523196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34.281753258523196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208.48147873805715</v>
      </c>
      <c r="DU155" s="59">
        <f t="shared" si="152"/>
        <v>209.50570914630686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13.978310083337389</v>
      </c>
      <c r="EB155" s="21">
        <f>EXP(-LN(2)/25)*EB154+(1-EXP(-LN(2)/25))/(LN(2)/25)*Calculateur!DW155*Calculateur!DY155*VLOOKUP('Données projet'!$B$14,Paramètres!$A$1:$I$89,3,0)*0.475*44/12</f>
        <v>2.595080113496516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16.573390196833905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-1.7053025658242404E-13</v>
      </c>
      <c r="EK155" s="17">
        <f>EJ155*VLOOKUP('Données projet'!$B$15,Paramètres!$A$1:$I$89,3,0)*VLOOKUP('Données projet'!$B$15,Paramètres!$A$1:$I$89,5,0)</f>
        <v>-1.0197709343628959E-13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247.31680974612766</v>
      </c>
      <c r="EP155" s="59">
        <f t="shared" si="154"/>
        <v>257.13949761071882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20.976589445596417</v>
      </c>
      <c r="EW155" s="21">
        <f>EXP(-LN(2)/25)*EW154+(1-EXP(-LN(2)/25))/(LN(2)/25)*Calculateur!ER155*Calculateur!ET155*VLOOKUP('Données projet'!$B$15,Paramètres!$A$1:$I$89,3,0)*0.475*44/12</f>
        <v>2.8195248649078217</v>
      </c>
      <c r="EX155" s="21">
        <f>EXP(-LN(2)/2)*EX154+(1-EXP(-LN(2)/2))/(LN(2)/2)*ER155*EU155*VLOOKUP('Données projet'!$B$15,Paramètres!$A$1:$I$89,3,0)*0.475*44/12</f>
        <v>4.5421939617509682E-13</v>
      </c>
      <c r="EY155" s="22">
        <f t="shared" si="181"/>
        <v>23.796114310504695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27.209519999999969</v>
      </c>
      <c r="D156" s="11">
        <f t="shared" si="140"/>
        <v>8.5363346988730751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55.186582692996986</v>
      </c>
      <c r="H156" s="67">
        <f t="shared" si="110"/>
        <v>318.92403026720388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5.1159076974727213E-13</v>
      </c>
      <c r="O156" s="13">
        <f>N156*VLOOKUP('Données projet'!$B$9,Paramètres!$A$1:$I$89,3,0)*VLOOKUP('Données projet'!$B$9,Paramètres!$A$1:$I$89,5,0)</f>
        <v>2.3942448024172334E-13</v>
      </c>
      <c r="P156" s="13">
        <f t="shared" si="141"/>
        <v>3.2492669905861755E-12</v>
      </c>
      <c r="Q156" s="20">
        <f t="shared" si="162"/>
        <v>6.0761376450252565E-12</v>
      </c>
      <c r="R156" s="59">
        <f t="shared" si="109"/>
        <v>293.3333333333394</v>
      </c>
      <c r="S156" s="59">
        <f ca="1">AVERAGE(OFFSET($R$3,0,0,'Données projet'!$E$9+1,1))-AVERAGE(OFFSET($H$3,0,0,'Données projet'!$E$9+1,1))</f>
        <v>223.99456146593315</v>
      </c>
      <c r="T156" s="59">
        <f t="shared" si="142"/>
        <v>132.73290587325937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55.942407355626429</v>
      </c>
      <c r="AA156" s="21">
        <f>EXP(-LN(2)/25)*AA155+(1-EXP(-LN(2)/25))/(LN(2)/25)*Calculateur!V156*Calculateur!X156*VLOOKUP('Données projet'!$B$9,Paramètres!$A$1:$I$89,3,0)*0.475*44/12</f>
        <v>9.8161931049545288</v>
      </c>
      <c r="AB156" s="21">
        <f>EXP(-LN(2)/2)*AB155+(1-EXP(-LN(2)/2))/(LN(2)/2)*V156*Y156*VLOOKUP('Données projet'!$B$9,Paramètres!$A$1:$I$89,3,0)*0.475*44/12</f>
        <v>4.3746684371741673E-6</v>
      </c>
      <c r="AC156" s="22">
        <f t="shared" si="163"/>
        <v>65.7586048352494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8.5265128291212022E-14</v>
      </c>
      <c r="AJ156" s="13">
        <f>AI156*VLOOKUP('Données projet'!$B$10,Paramètres!$A$1:$I$89,3,0)*VLOOKUP('Données projet'!$B$10,Paramètres!$A$1:$I$89,5,0)</f>
        <v>5.5865712056402117E-14</v>
      </c>
      <c r="AK156" s="13">
        <f t="shared" si="164"/>
        <v>8.9811031843713517E-13</v>
      </c>
      <c r="AL156" s="20">
        <f t="shared" si="165"/>
        <v>1.6615082531095774E-12</v>
      </c>
      <c r="AM156" s="59">
        <f t="shared" si="113"/>
        <v>293.33333333333496</v>
      </c>
      <c r="AN156" s="59">
        <f ca="1">AVERAGE(OFFSET($AM$3,0,0,'Données projet'!$E$10+1,1))-AVERAGE(OFFSET($H$3,0,0,'Données projet'!$E$10+1,1))</f>
        <v>244.43587473734613</v>
      </c>
      <c r="AO156" s="59">
        <f t="shared" si="144"/>
        <v>256.80261402149375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5.292858691500216</v>
      </c>
      <c r="AV156" s="21">
        <f>EXP(-LN(2)/25)*AV155+(1-EXP(-LN(2)/25))/(LN(2)/25)*Calculateur!AQ156*Calculateur!AS156*VLOOKUP('Données projet'!$B$10,Paramètres!$A$1:$I$89,3,0)*0.475*44/12</f>
        <v>8.8094031809448321</v>
      </c>
      <c r="AW156" s="21">
        <f>EXP(-LN(2)/2)*AW155+(1-EXP(-LN(2)/2))/(LN(2)/2)*AQ156*AT156*VLOOKUP('Données projet'!$B$10,Paramètres!$A$1:$I$89,3,0)*0.475*44/12</f>
        <v>1.0313559966746624E-8</v>
      </c>
      <c r="AX156" s="21">
        <f t="shared" si="166"/>
        <v>14.102261882758608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-1.2710188457276673E-13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430.60186171079067</v>
      </c>
      <c r="BJ156" s="59">
        <f t="shared" si="146"/>
        <v>533.76627289533985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41.025786399330549</v>
      </c>
      <c r="BQ156" s="21">
        <f>EXP(-LN(2)/25)*BQ155+(1-EXP(-LN(2)/25))/(LN(2)/25)*Calculateur!BL156*Calculateur!BN156*VLOOKUP('Données projet'!$B$11,Paramètres!$A$1:$I$89,3,0)*0.475*44/12</f>
        <v>4.8889850079789072</v>
      </c>
      <c r="BR156" s="21">
        <f>EXP(-LN(2)/2)*BR155+(1-EXP(-LN(2)/2))/(LN(2)/2)*BL156*BO156*VLOOKUP('Données projet'!$B$11,Paramètres!$A$1:$I$89,3,0)*0.475*44/12</f>
        <v>5.6594523182292628E-13</v>
      </c>
      <c r="BS156" s="22">
        <f t="shared" si="169"/>
        <v>45.914771407310027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-1.69961822393816E-13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215.89467197072673</v>
      </c>
      <c r="CE156" s="59">
        <f t="shared" si="148"/>
        <v>188.21397398859534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26.902057352809507</v>
      </c>
      <c r="CL156" s="21">
        <f>EXP(-LN(2)/25)*CL155+(1-EXP(-LN(2)/25))/(LN(2)/25)*Calculateur!CG156*Calculateur!CI156*VLOOKUP('Données projet'!$B$12,Paramètres!$A$1:$I$89,3,0)*0.475*44/12</f>
        <v>3.6975687510973443</v>
      </c>
      <c r="CM156" s="21">
        <f>EXP(-LN(2)/2)*CM155+(1-EXP(-LN(2)/2))/(LN(2)/2)*CG156*CJ156*VLOOKUP('Données projet'!$B$12,Paramètres!$A$1:$I$89,3,0)*0.475*44/12</f>
        <v>2.8684734774562965E-10</v>
      </c>
      <c r="CN156" s="22">
        <f t="shared" si="172"/>
        <v>30.599626104193696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5.0924145299145307</v>
      </c>
      <c r="CT156" s="12">
        <f>IF('Données projet'!$A$140&gt;35,CT155+CS156-DB155,IF(A156&lt;'Données projet'!$A$140,$CQ$205^A156,IF(A156='Données projet'!$A$140,'Données projet'!$B$140,CT155+CS156-DB155)))</f>
        <v>267.28685897435889</v>
      </c>
      <c r="CU156" s="17">
        <f>CT156*VLOOKUP('Données projet'!$B$13,Paramètres!$A$1:$I$89,3,0)*VLOOKUP('Données projet'!$B$13,Paramètres!$A$1:$I$89,5,0)</f>
        <v>271.02887499999991</v>
      </c>
      <c r="CV156" s="13">
        <f t="shared" si="173"/>
        <v>65.067574172113567</v>
      </c>
      <c r="CW156" s="20">
        <f t="shared" si="174"/>
        <v>585.36798230809757</v>
      </c>
      <c r="CX156" s="59">
        <f t="shared" si="122"/>
        <v>878.70131564143094</v>
      </c>
      <c r="CY156" s="59">
        <f ca="1">AVERAGE(OFFSET($CX$3,0,0,'Données projet'!$E$13+1,1))-AVERAGE(OFFSET($H$3,0,0,'Données projet'!$E$13+1,1))</f>
        <v>342.82846711287749</v>
      </c>
      <c r="CZ156" s="59">
        <f t="shared" si="150"/>
        <v>152.87724741106297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33.609508986928375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33.609508986928375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208.48147873805715</v>
      </c>
      <c r="DU156" s="59">
        <f t="shared" si="152"/>
        <v>209.50570914630686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13.704203948530429</v>
      </c>
      <c r="EB156" s="21">
        <f>EXP(-LN(2)/25)*EB155+(1-EXP(-LN(2)/25))/(LN(2)/25)*Calculateur!DW156*Calculateur!DY156*VLOOKUP('Données projet'!$B$14,Paramètres!$A$1:$I$89,3,0)*0.475*44/12</f>
        <v>2.5241175113236216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16.228321459854051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-1.7053025658242404E-13</v>
      </c>
      <c r="EK156" s="17">
        <f>EJ156*VLOOKUP('Données projet'!$B$15,Paramètres!$A$1:$I$89,3,0)*VLOOKUP('Données projet'!$B$15,Paramètres!$A$1:$I$89,5,0)</f>
        <v>-1.0197709343628959E-13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247.31680974612766</v>
      </c>
      <c r="EP156" s="59">
        <f t="shared" si="154"/>
        <v>257.13949761071882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20.565251321024487</v>
      </c>
      <c r="EW156" s="21">
        <f>EXP(-LN(2)/25)*EW155+(1-EXP(-LN(2)/25))/(LN(2)/25)*Calculateur!ER156*Calculateur!ET156*VLOOKUP('Données projet'!$B$15,Paramètres!$A$1:$I$89,3,0)*0.475*44/12</f>
        <v>2.7424248092045489</v>
      </c>
      <c r="EX156" s="21">
        <f>EXP(-LN(2)/2)*EX155+(1-EXP(-LN(2)/2))/(LN(2)/2)*ER156*EU156*VLOOKUP('Données projet'!$B$15,Paramètres!$A$1:$I$89,3,0)*0.475*44/12</f>
        <v>3.2118161518186997E-13</v>
      </c>
      <c r="EY156" s="22">
        <f t="shared" si="181"/>
        <v>23.307676130229357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27.387359999999969</v>
      </c>
      <c r="D157" s="11">
        <f t="shared" si="140"/>
        <v>8.5856147191900476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55.537224127872321</v>
      </c>
      <c r="H157" s="67">
        <f t="shared" si="110"/>
        <v>319.31959763592261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5.1159076974727213E-13</v>
      </c>
      <c r="O157" s="13">
        <f>N157*VLOOKUP('Données projet'!$B$9,Paramètres!$A$1:$I$89,3,0)*VLOOKUP('Données projet'!$B$9,Paramètres!$A$1:$I$89,5,0)</f>
        <v>2.3942448024172334E-13</v>
      </c>
      <c r="P157" s="13">
        <f t="shared" si="141"/>
        <v>3.2492669905861755E-12</v>
      </c>
      <c r="Q157" s="20">
        <f t="shared" si="162"/>
        <v>6.0761376450252565E-12</v>
      </c>
      <c r="R157" s="59">
        <f t="shared" si="109"/>
        <v>293.3333333333394</v>
      </c>
      <c r="S157" s="59">
        <f ca="1">AVERAGE(OFFSET($R$3,0,0,'Données projet'!$E$9+1,1))-AVERAGE(OFFSET($H$3,0,0,'Données projet'!$E$9+1,1))</f>
        <v>223.99456146593315</v>
      </c>
      <c r="T157" s="59">
        <f t="shared" si="142"/>
        <v>132.73290587325937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54.845410868881864</v>
      </c>
      <c r="AA157" s="21">
        <f>EXP(-LN(2)/25)*AA156+(1-EXP(-LN(2)/25))/(LN(2)/25)*Calculateur!V157*Calculateur!X157*VLOOKUP('Données projet'!$B$9,Paramètres!$A$1:$I$89,3,0)*0.475*44/12</f>
        <v>9.547768788288387</v>
      </c>
      <c r="AB157" s="21">
        <f>EXP(-LN(2)/2)*AB156+(1-EXP(-LN(2)/2))/(LN(2)/2)*V157*Y157*VLOOKUP('Données projet'!$B$9,Paramètres!$A$1:$I$89,3,0)*0.475*44/12</f>
        <v>3.0933577173686098E-6</v>
      </c>
      <c r="AC157" s="22">
        <f t="shared" si="163"/>
        <v>64.39318275052797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8.5265128291212022E-14</v>
      </c>
      <c r="AJ157" s="13">
        <f>AI157*VLOOKUP('Données projet'!$B$10,Paramètres!$A$1:$I$89,3,0)*VLOOKUP('Données projet'!$B$10,Paramètres!$A$1:$I$89,5,0)</f>
        <v>5.5865712056402117E-14</v>
      </c>
      <c r="AK157" s="13">
        <f t="shared" si="164"/>
        <v>8.9811031843713517E-13</v>
      </c>
      <c r="AL157" s="20">
        <f t="shared" si="165"/>
        <v>1.6615082531095774E-12</v>
      </c>
      <c r="AM157" s="59">
        <f t="shared" si="113"/>
        <v>293.33333333333496</v>
      </c>
      <c r="AN157" s="59">
        <f ca="1">AVERAGE(OFFSET($AM$3,0,0,'Données projet'!$E$10+1,1))-AVERAGE(OFFSET($H$3,0,0,'Données projet'!$E$10+1,1))</f>
        <v>244.43587473734613</v>
      </c>
      <c r="AO157" s="59">
        <f t="shared" si="144"/>
        <v>256.80261402149375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5.1890689608849279</v>
      </c>
      <c r="AV157" s="21">
        <f>EXP(-LN(2)/25)*AV156+(1-EXP(-LN(2)/25))/(LN(2)/25)*Calculateur!AQ157*Calculateur!AS157*VLOOKUP('Données projet'!$B$10,Paramètres!$A$1:$I$89,3,0)*0.475*44/12</f>
        <v>8.568509587695516</v>
      </c>
      <c r="AW157" s="21">
        <f>EXP(-LN(2)/2)*AW156+(1-EXP(-LN(2)/2))/(LN(2)/2)*AQ157*AT157*VLOOKUP('Données projet'!$B$10,Paramètres!$A$1:$I$89,3,0)*0.475*44/12</f>
        <v>7.2927881906606419E-9</v>
      </c>
      <c r="AX157" s="21">
        <f t="shared" si="166"/>
        <v>13.757578555873232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-1.2710188457276673E-13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430.60186171079067</v>
      </c>
      <c r="BJ157" s="59">
        <f t="shared" si="146"/>
        <v>533.76627289533985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40.221295751298541</v>
      </c>
      <c r="BQ157" s="21">
        <f>EXP(-LN(2)/25)*BQ156+(1-EXP(-LN(2)/25))/(LN(2)/25)*Calculateur!BL157*Calculateur!BN157*VLOOKUP('Données projet'!$B$11,Paramètres!$A$1:$I$89,3,0)*0.475*44/12</f>
        <v>4.7552954558351761</v>
      </c>
      <c r="BR157" s="21">
        <f>EXP(-LN(2)/2)*BR156+(1-EXP(-LN(2)/2))/(LN(2)/2)*BL157*BO157*VLOOKUP('Données projet'!$B$11,Paramètres!$A$1:$I$89,3,0)*0.475*44/12</f>
        <v>4.0018371120218385E-13</v>
      </c>
      <c r="BS157" s="22">
        <f t="shared" si="169"/>
        <v>44.976591207134113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-1.69961822393816E-13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215.89467197072673</v>
      </c>
      <c r="CE157" s="59">
        <f t="shared" si="148"/>
        <v>188.21397398859534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26.37452441675568</v>
      </c>
      <c r="CL157" s="21">
        <f>EXP(-LN(2)/25)*CL156+(1-EXP(-LN(2)/25))/(LN(2)/25)*Calculateur!CG157*Calculateur!CI157*VLOOKUP('Données projet'!$B$12,Paramètres!$A$1:$I$89,3,0)*0.475*44/12</f>
        <v>3.5964585391518975</v>
      </c>
      <c r="CM157" s="21">
        <f>EXP(-LN(2)/2)*CM156+(1-EXP(-LN(2)/2))/(LN(2)/2)*CG157*CJ157*VLOOKUP('Données projet'!$B$12,Paramètres!$A$1:$I$89,3,0)*0.475*44/12</f>
        <v>2.0283170475631045E-10</v>
      </c>
      <c r="CN157" s="22">
        <f t="shared" si="172"/>
        <v>29.970982956110408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5.0924145299145307</v>
      </c>
      <c r="CT157" s="12">
        <f>IF('Données projet'!$A$140&gt;35,CT156+CS157-DB156,IF(A157&lt;'Données projet'!$A$140,$CQ$205^A157,IF(A157='Données projet'!$A$140,'Données projet'!$B$140,CT156+CS157-DB156)))</f>
        <v>272.37927350427344</v>
      </c>
      <c r="CU157" s="17">
        <f>CT157*VLOOKUP('Données projet'!$B$13,Paramètres!$A$1:$I$89,3,0)*VLOOKUP('Données projet'!$B$13,Paramètres!$A$1:$I$89,5,0)</f>
        <v>276.19258333333329</v>
      </c>
      <c r="CV157" s="13">
        <f t="shared" si="173"/>
        <v>66.161752270999315</v>
      </c>
      <c r="CW157" s="20">
        <f t="shared" si="174"/>
        <v>596.26713451087926</v>
      </c>
      <c r="CX157" s="59">
        <f t="shared" si="122"/>
        <v>889.60046784421252</v>
      </c>
      <c r="CY157" s="59">
        <f ca="1">AVERAGE(OFFSET($CX$3,0,0,'Données projet'!$E$13+1,1))-AVERAGE(OFFSET($H$3,0,0,'Données projet'!$E$13+1,1))</f>
        <v>342.82846711287749</v>
      </c>
      <c r="CZ157" s="59">
        <f t="shared" si="150"/>
        <v>152.87724741106297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32.950447015471006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32.950447015471006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208.48147873805715</v>
      </c>
      <c r="DU157" s="59">
        <f t="shared" si="152"/>
        <v>209.50570914630686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13.435472867838799</v>
      </c>
      <c r="EB157" s="21">
        <f>EXP(-LN(2)/25)*EB156+(1-EXP(-LN(2)/25))/(LN(2)/25)*Calculateur!DW157*Calculateur!DY157*VLOOKUP('Données projet'!$B$14,Paramètres!$A$1:$I$89,3,0)*0.475*44/12</f>
        <v>2.4550953852389061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15.890568253077705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-1.7053025658242404E-13</v>
      </c>
      <c r="EK157" s="17">
        <f>EJ157*VLOOKUP('Données projet'!$B$15,Paramètres!$A$1:$I$89,3,0)*VLOOKUP('Données projet'!$B$15,Paramètres!$A$1:$I$89,5,0)</f>
        <v>-1.0197709343628959E-13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247.31680974612766</v>
      </c>
      <c r="EP157" s="59">
        <f t="shared" si="154"/>
        <v>257.13949761071882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20.161979286183929</v>
      </c>
      <c r="EW157" s="21">
        <f>EXP(-LN(2)/25)*EW156+(1-EXP(-LN(2)/25))/(LN(2)/25)*Calculateur!ER157*Calculateur!ET157*VLOOKUP('Données projet'!$B$15,Paramètres!$A$1:$I$89,3,0)*0.475*44/12</f>
        <v>2.6674330585789976</v>
      </c>
      <c r="EX157" s="21">
        <f>EXP(-LN(2)/2)*EX156+(1-EXP(-LN(2)/2))/(LN(2)/2)*ER157*EU157*VLOOKUP('Données projet'!$B$15,Paramètres!$A$1:$I$89,3,0)*0.475*44/12</f>
        <v>2.2710969808754846E-13</v>
      </c>
      <c r="EY157" s="22">
        <f t="shared" si="181"/>
        <v>22.829412344763153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27.565199999999969</v>
      </c>
      <c r="D158" s="11">
        <f t="shared" si="140"/>
        <v>8.6348575052881671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55.887808078339582</v>
      </c>
      <c r="H158" s="67">
        <f t="shared" si="110"/>
        <v>319.7151001550435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5.1159076974727213E-13</v>
      </c>
      <c r="O158" s="13">
        <f>N158*VLOOKUP('Données projet'!$B$9,Paramètres!$A$1:$I$89,3,0)*VLOOKUP('Données projet'!$B$9,Paramètres!$A$1:$I$89,5,0)</f>
        <v>2.3942448024172334E-13</v>
      </c>
      <c r="P158" s="13">
        <f t="shared" si="141"/>
        <v>3.2492669905861755E-12</v>
      </c>
      <c r="Q158" s="20">
        <f t="shared" si="162"/>
        <v>6.0761376450252565E-12</v>
      </c>
      <c r="R158" s="59">
        <f t="shared" si="109"/>
        <v>293.3333333333394</v>
      </c>
      <c r="S158" s="59">
        <f ca="1">AVERAGE(OFFSET($R$3,0,0,'Données projet'!$E$9+1,1))-AVERAGE(OFFSET($H$3,0,0,'Données projet'!$E$9+1,1))</f>
        <v>223.99456146593315</v>
      </c>
      <c r="T158" s="59">
        <f t="shared" si="142"/>
        <v>132.73290587325937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53.769925814140571</v>
      </c>
      <c r="AA158" s="21">
        <f>EXP(-LN(2)/25)*AA157+(1-EXP(-LN(2)/25))/(LN(2)/25)*Calculateur!V158*Calculateur!X158*VLOOKUP('Données projet'!$B$9,Paramètres!$A$1:$I$89,3,0)*0.475*44/12</f>
        <v>9.286684548677302</v>
      </c>
      <c r="AB158" s="21">
        <f>EXP(-LN(2)/2)*AB157+(1-EXP(-LN(2)/2))/(LN(2)/2)*V158*Y158*VLOOKUP('Données projet'!$B$9,Paramètres!$A$1:$I$89,3,0)*0.475*44/12</f>
        <v>2.1873342185870837E-6</v>
      </c>
      <c r="AC158" s="22">
        <f t="shared" si="163"/>
        <v>63.056612550152089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8.5265128291212022E-14</v>
      </c>
      <c r="AJ158" s="13">
        <f>AI158*VLOOKUP('Données projet'!$B$10,Paramètres!$A$1:$I$89,3,0)*VLOOKUP('Données projet'!$B$10,Paramètres!$A$1:$I$89,5,0)</f>
        <v>5.5865712056402117E-14</v>
      </c>
      <c r="AK158" s="13">
        <f t="shared" si="164"/>
        <v>8.9811031843713517E-13</v>
      </c>
      <c r="AL158" s="20">
        <f t="shared" si="165"/>
        <v>1.6615082531095774E-12</v>
      </c>
      <c r="AM158" s="59">
        <f t="shared" si="113"/>
        <v>293.33333333333496</v>
      </c>
      <c r="AN158" s="59">
        <f ca="1">AVERAGE(OFFSET($AM$3,0,0,'Données projet'!$E$10+1,1))-AVERAGE(OFFSET($H$3,0,0,'Données projet'!$E$10+1,1))</f>
        <v>244.43587473734613</v>
      </c>
      <c r="AO158" s="59">
        <f t="shared" si="144"/>
        <v>256.80261402149375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5.0873144835815207</v>
      </c>
      <c r="AV158" s="21">
        <f>EXP(-LN(2)/25)*AV157+(1-EXP(-LN(2)/25))/(LN(2)/25)*Calculateur!AQ158*Calculateur!AS158*VLOOKUP('Données projet'!$B$10,Paramètres!$A$1:$I$89,3,0)*0.475*44/12</f>
        <v>8.3342032424216459</v>
      </c>
      <c r="AW158" s="21">
        <f>EXP(-LN(2)/2)*AW157+(1-EXP(-LN(2)/2))/(LN(2)/2)*AQ158*AT158*VLOOKUP('Données projet'!$B$10,Paramètres!$A$1:$I$89,3,0)*0.475*44/12</f>
        <v>5.1567799833733128E-9</v>
      </c>
      <c r="AX158" s="21">
        <f t="shared" si="166"/>
        <v>13.421517731159947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-1.2710188457276673E-13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430.60186171079067</v>
      </c>
      <c r="BJ158" s="59">
        <f t="shared" si="146"/>
        <v>533.76627289533985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39.432580674183598</v>
      </c>
      <c r="BQ158" s="21">
        <f>EXP(-LN(2)/25)*BQ157+(1-EXP(-LN(2)/25))/(LN(2)/25)*Calculateur!BL158*Calculateur!BN158*VLOOKUP('Données projet'!$B$11,Paramètres!$A$1:$I$89,3,0)*0.475*44/12</f>
        <v>4.6252616515252436</v>
      </c>
      <c r="BR158" s="21">
        <f>EXP(-LN(2)/2)*BR157+(1-EXP(-LN(2)/2))/(LN(2)/2)*BL158*BO158*VLOOKUP('Données projet'!$B$11,Paramètres!$A$1:$I$89,3,0)*0.475*44/12</f>
        <v>2.8297261591146314E-13</v>
      </c>
      <c r="BS158" s="22">
        <f t="shared" si="169"/>
        <v>44.057842325709125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-1.69961822393816E-13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215.89467197072673</v>
      </c>
      <c r="CE158" s="59">
        <f t="shared" si="148"/>
        <v>188.21397398859534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25.857336079814548</v>
      </c>
      <c r="CL158" s="21">
        <f>EXP(-LN(2)/25)*CL157+(1-EXP(-LN(2)/25))/(LN(2)/25)*Calculateur!CG158*Calculateur!CI158*VLOOKUP('Données projet'!$B$12,Paramètres!$A$1:$I$89,3,0)*0.475*44/12</f>
        <v>3.4981131912692542</v>
      </c>
      <c r="CM158" s="21">
        <f>EXP(-LN(2)/2)*CM157+(1-EXP(-LN(2)/2))/(LN(2)/2)*CG158*CJ158*VLOOKUP('Données projet'!$B$12,Paramètres!$A$1:$I$89,3,0)*0.475*44/12</f>
        <v>1.4342367387281482E-10</v>
      </c>
      <c r="CN158" s="22">
        <f t="shared" si="172"/>
        <v>29.355449271227226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5.0924145299145307</v>
      </c>
      <c r="CT158" s="12">
        <f>IF('Données projet'!$A$140&gt;35,CT157+CS158-DB157,IF(A158&lt;'Données projet'!$A$140,$CQ$205^A158,IF(A158='Données projet'!$A$140,'Données projet'!$B$140,CT157+CS158-DB157)))</f>
        <v>277.47168803418799</v>
      </c>
      <c r="CU158" s="17">
        <f>CT158*VLOOKUP('Données projet'!$B$13,Paramètres!$A$1:$I$89,3,0)*VLOOKUP('Données projet'!$B$13,Paramètres!$A$1:$I$89,5,0)</f>
        <v>281.35629166666666</v>
      </c>
      <c r="CV158" s="13">
        <f t="shared" si="173"/>
        <v>67.253551640912434</v>
      </c>
      <c r="CW158" s="20">
        <f t="shared" si="174"/>
        <v>607.16214376070036</v>
      </c>
      <c r="CX158" s="59">
        <f t="shared" si="122"/>
        <v>900.49547709403373</v>
      </c>
      <c r="CY158" s="59">
        <f ca="1">AVERAGE(OFFSET($CX$3,0,0,'Données projet'!$E$13+1,1))-AVERAGE(OFFSET($H$3,0,0,'Données projet'!$E$13+1,1))</f>
        <v>342.82846711287749</v>
      </c>
      <c r="CZ158" s="59">
        <f t="shared" si="150"/>
        <v>152.87724741106297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32.30430884728581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32.30430884728581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208.48147873805715</v>
      </c>
      <c r="DU158" s="59">
        <f t="shared" si="152"/>
        <v>209.50570914630686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13.172011439729758</v>
      </c>
      <c r="EB158" s="21">
        <f>EXP(-LN(2)/25)*EB157+(1-EXP(-LN(2)/25))/(LN(2)/25)*Calculateur!DW158*Calculateur!DY158*VLOOKUP('Données projet'!$B$14,Paramètres!$A$1:$I$89,3,0)*0.475*44/12</f>
        <v>2.3879606728216931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15.559972112551451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-1.7053025658242404E-13</v>
      </c>
      <c r="EK158" s="17">
        <f>EJ158*VLOOKUP('Données projet'!$B$15,Paramètres!$A$1:$I$89,3,0)*VLOOKUP('Données projet'!$B$15,Paramètres!$A$1:$I$89,5,0)</f>
        <v>-1.0197709343628959E-13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247.31680974612766</v>
      </c>
      <c r="EP158" s="59">
        <f t="shared" si="154"/>
        <v>257.13949761071882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19.766615169974941</v>
      </c>
      <c r="EW158" s="21">
        <f>EXP(-LN(2)/25)*EW157+(1-EXP(-LN(2)/25))/(LN(2)/25)*Calculateur!ER158*Calculateur!ET158*VLOOKUP('Données projet'!$B$15,Paramètres!$A$1:$I$89,3,0)*0.475*44/12</f>
        <v>2.5944919613179467</v>
      </c>
      <c r="EX158" s="21">
        <f>EXP(-LN(2)/2)*EX157+(1-EXP(-LN(2)/2))/(LN(2)/2)*ER158*EU158*VLOOKUP('Données projet'!$B$15,Paramètres!$A$1:$I$89,3,0)*0.475*44/12</f>
        <v>1.6059080759093501E-13</v>
      </c>
      <c r="EY158" s="22">
        <f t="shared" si="181"/>
        <v>22.361107131293046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27.743039999999969</v>
      </c>
      <c r="D159" s="11">
        <f t="shared" si="140"/>
        <v>8.6840633252529589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56.238334958285236</v>
      </c>
      <c r="H159" s="67">
        <f t="shared" si="110"/>
        <v>320.11053829148221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5.1159076974727213E-13</v>
      </c>
      <c r="O159" s="13">
        <f>N159*VLOOKUP('Données projet'!$B$9,Paramètres!$A$1:$I$89,3,0)*VLOOKUP('Données projet'!$B$9,Paramètres!$A$1:$I$89,5,0)</f>
        <v>2.3942448024172334E-13</v>
      </c>
      <c r="P159" s="13">
        <f t="shared" si="141"/>
        <v>3.2492669905861755E-12</v>
      </c>
      <c r="Q159" s="20">
        <f t="shared" si="162"/>
        <v>6.0761376450252565E-12</v>
      </c>
      <c r="R159" s="59">
        <f t="shared" si="109"/>
        <v>293.3333333333394</v>
      </c>
      <c r="S159" s="59">
        <f ca="1">AVERAGE(OFFSET($R$3,0,0,'Données projet'!$E$9+1,1))-AVERAGE(OFFSET($H$3,0,0,'Données projet'!$E$9+1,1))</f>
        <v>223.99456146593315</v>
      </c>
      <c r="T159" s="59">
        <f t="shared" si="142"/>
        <v>132.73290587325937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52.715530365341642</v>
      </c>
      <c r="AA159" s="21">
        <f>EXP(-LN(2)/25)*AA158+(1-EXP(-LN(2)/25))/(LN(2)/25)*Calculateur!V159*Calculateur!X159*VLOOKUP('Données projet'!$B$9,Paramètres!$A$1:$I$89,3,0)*0.475*44/12</f>
        <v>9.0327396713282049</v>
      </c>
      <c r="AB159" s="21">
        <f>EXP(-LN(2)/2)*AB158+(1-EXP(-LN(2)/2))/(LN(2)/2)*V159*Y159*VLOOKUP('Données projet'!$B$9,Paramètres!$A$1:$I$89,3,0)*0.475*44/12</f>
        <v>1.5466788586843049E-6</v>
      </c>
      <c r="AC159" s="22">
        <f t="shared" si="163"/>
        <v>61.748271583348711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8.5265128291212022E-14</v>
      </c>
      <c r="AJ159" s="13">
        <f>AI159*VLOOKUP('Données projet'!$B$10,Paramètres!$A$1:$I$89,3,0)*VLOOKUP('Données projet'!$B$10,Paramètres!$A$1:$I$89,5,0)</f>
        <v>5.5865712056402117E-14</v>
      </c>
      <c r="AK159" s="13">
        <f t="shared" si="164"/>
        <v>8.9811031843713517E-13</v>
      </c>
      <c r="AL159" s="20">
        <f t="shared" si="165"/>
        <v>1.6615082531095774E-12</v>
      </c>
      <c r="AM159" s="59">
        <f t="shared" si="113"/>
        <v>293.33333333333496</v>
      </c>
      <c r="AN159" s="59">
        <f ca="1">AVERAGE(OFFSET($AM$3,0,0,'Données projet'!$E$10+1,1))-AVERAGE(OFFSET($H$3,0,0,'Données projet'!$E$10+1,1))</f>
        <v>244.43587473734613</v>
      </c>
      <c r="AO159" s="59">
        <f t="shared" si="144"/>
        <v>256.80261402149375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4.9875553495139311</v>
      </c>
      <c r="AV159" s="21">
        <f>EXP(-LN(2)/25)*AV158+(1-EXP(-LN(2)/25))/(LN(2)/25)*Calculateur!AQ159*Calculateur!AS159*VLOOKUP('Données projet'!$B$10,Paramètres!$A$1:$I$89,3,0)*0.475*44/12</f>
        <v>8.1063040164809248</v>
      </c>
      <c r="AW159" s="21">
        <f>EXP(-LN(2)/2)*AW158+(1-EXP(-LN(2)/2))/(LN(2)/2)*AQ159*AT159*VLOOKUP('Données projet'!$B$10,Paramètres!$A$1:$I$89,3,0)*0.475*44/12</f>
        <v>3.6463940953303213E-9</v>
      </c>
      <c r="AX159" s="21">
        <f t="shared" si="166"/>
        <v>13.093859369641249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-1.2710188457276673E-13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430.60186171079067</v>
      </c>
      <c r="BJ159" s="59">
        <f t="shared" si="146"/>
        <v>533.76627289533985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38.659331818662181</v>
      </c>
      <c r="BQ159" s="21">
        <f>EXP(-LN(2)/25)*BQ158+(1-EXP(-LN(2)/25))/(LN(2)/25)*Calculateur!BL159*Calculateur!BN159*VLOOKUP('Données projet'!$B$11,Paramètres!$A$1:$I$89,3,0)*0.475*44/12</f>
        <v>4.4987836284323466</v>
      </c>
      <c r="BR159" s="21">
        <f>EXP(-LN(2)/2)*BR158+(1-EXP(-LN(2)/2))/(LN(2)/2)*BL159*BO159*VLOOKUP('Données projet'!$B$11,Paramètres!$A$1:$I$89,3,0)*0.475*44/12</f>
        <v>2.0009185560109193E-13</v>
      </c>
      <c r="BS159" s="22">
        <f t="shared" si="169"/>
        <v>43.15811544709473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-1.69961822393816E-13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215.89467197072673</v>
      </c>
      <c r="CE159" s="59">
        <f t="shared" si="148"/>
        <v>188.21397398859534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25.350289490707095</v>
      </c>
      <c r="CL159" s="21">
        <f>EXP(-LN(2)/25)*CL158+(1-EXP(-LN(2)/25))/(LN(2)/25)*Calculateur!CG159*Calculateur!CI159*VLOOKUP('Données projet'!$B$12,Paramètres!$A$1:$I$89,3,0)*0.475*44/12</f>
        <v>3.4024571020962187</v>
      </c>
      <c r="CM159" s="21">
        <f>EXP(-LN(2)/2)*CM158+(1-EXP(-LN(2)/2))/(LN(2)/2)*CG159*CJ159*VLOOKUP('Données projet'!$B$12,Paramètres!$A$1:$I$89,3,0)*0.475*44/12</f>
        <v>1.0141585237815523E-10</v>
      </c>
      <c r="CN159" s="22">
        <f t="shared" si="172"/>
        <v>28.752746592904728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282.56410256410254</v>
      </c>
      <c r="CR159" s="12">
        <f>VLOOKUP(A159,'Données projet'!$A$139:$I$159,9,0)</f>
        <v>5.0924145299145307</v>
      </c>
      <c r="CS159" s="12">
        <f t="array" ref="CS159">INDEX(CR:CR,MIN(IF(ISNUMBER(CR159:CR355),ROW(CR159:CR355),"")))</f>
        <v>5.0924145299145307</v>
      </c>
      <c r="CT159" s="12">
        <f>IF('Données projet'!$A$140&gt;35,CT158+CS159-DB158,IF(A159&lt;'Données projet'!$A$140,$CQ$205^A159,IF(A159='Données projet'!$A$140,'Données projet'!$B$140,CT158+CS159-DB158)))</f>
        <v>282.56410256410254</v>
      </c>
      <c r="CU159" s="17">
        <f>CT159*VLOOKUP('Données projet'!$B$13,Paramètres!$A$1:$I$89,3,0)*VLOOKUP('Données projet'!$B$13,Paramètres!$A$1:$I$89,5,0)</f>
        <v>286.52</v>
      </c>
      <c r="CV159" s="13">
        <f t="shared" si="173"/>
        <v>68.343020973585496</v>
      </c>
      <c r="CW159" s="20">
        <f t="shared" si="174"/>
        <v>618.05309486232807</v>
      </c>
      <c r="CX159" s="59">
        <f t="shared" si="122"/>
        <v>911.38642819566144</v>
      </c>
      <c r="CY159" s="59">
        <f ca="1">AVERAGE(OFFSET($CX$3,0,0,'Données projet'!$E$13+1,1))-AVERAGE(OFFSET($H$3,0,0,'Données projet'!$E$13+1,1))</f>
        <v>342.82846711287749</v>
      </c>
      <c r="CZ159" s="59">
        <f t="shared" si="150"/>
        <v>152.87724741106297</v>
      </c>
      <c r="DA159" s="15">
        <f>IF(ISNA(VLOOKUP(A159,'Données projet'!$A$139:$I$159,3,0)),0,VLOOKUP(A159,'Données projet'!$A$139:$I$159,3,0))</f>
        <v>11</v>
      </c>
      <c r="DB159" s="15">
        <f>IF(ISNA(VLOOKUP(A159,'Données projet'!$A$139:$I$159,4,0)),0,VLOOKUP(A159,'Données projet'!$A$139:$I$159,4,0))</f>
        <v>45.429487179487182</v>
      </c>
      <c r="DC159" s="16">
        <f>IF(ISNA(VLOOKUP(A159,'Données projet'!$A$139:$I$159,5,0)),0%,VLOOKUP(A159,'Données projet'!$A$139:$I$159,5,0)*VLOOKUP('Données projet'!$B$13,Paramètres!$A$1:$I$89,7,0))</f>
        <v>0.30099999999999999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46.998978830754268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46.998978830754268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208.48147873805715</v>
      </c>
      <c r="DU159" s="59">
        <f t="shared" si="152"/>
        <v>209.50570914630686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12.913716329530331</v>
      </c>
      <c r="EB159" s="21">
        <f>EXP(-LN(2)/25)*EB158+(1-EXP(-LN(2)/25))/(LN(2)/25)*Calculateur!DW159*Calculateur!DY159*VLOOKUP('Données projet'!$B$14,Paramètres!$A$1:$I$89,3,0)*0.475*44/12</f>
        <v>2.32266176264599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15.23637809217632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-1.7053025658242404E-13</v>
      </c>
      <c r="EK159" s="17">
        <f>EJ159*VLOOKUP('Données projet'!$B$15,Paramètres!$A$1:$I$89,3,0)*VLOOKUP('Données projet'!$B$15,Paramètres!$A$1:$I$89,5,0)</f>
        <v>-1.0197709343628959E-13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247.31680974612766</v>
      </c>
      <c r="EP159" s="59">
        <f t="shared" si="154"/>
        <v>257.13949761071882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19.37900390293651</v>
      </c>
      <c r="EW159" s="21">
        <f>EXP(-LN(2)/25)*EW158+(1-EXP(-LN(2)/25))/(LN(2)/25)*Calculateur!ER159*Calculateur!ET159*VLOOKUP('Données projet'!$B$15,Paramètres!$A$1:$I$89,3,0)*0.475*44/12</f>
        <v>2.5235454421973049</v>
      </c>
      <c r="EX159" s="21">
        <f>EXP(-LN(2)/2)*EX158+(1-EXP(-LN(2)/2))/(LN(2)/2)*ER159*EU159*VLOOKUP('Données projet'!$B$15,Paramètres!$A$1:$I$89,3,0)*0.475*44/12</f>
        <v>1.1355484904377424E-13</v>
      </c>
      <c r="EY159" s="22">
        <f t="shared" si="181"/>
        <v>21.902549345133927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27.920879999999968</v>
      </c>
      <c r="D160" s="11">
        <f t="shared" si="140"/>
        <v>8.7332324435342006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56.588805175982579</v>
      </c>
      <c r="H160" s="67">
        <f t="shared" si="110"/>
        <v>320.50591250582204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5.1159076974727213E-13</v>
      </c>
      <c r="O160" s="13">
        <f>N160*VLOOKUP('Données projet'!$B$9,Paramètres!$A$1:$I$89,3,0)*VLOOKUP('Données projet'!$B$9,Paramètres!$A$1:$I$89,5,0)</f>
        <v>2.3942448024172334E-13</v>
      </c>
      <c r="P160" s="13">
        <f t="shared" si="141"/>
        <v>3.2492669905861755E-12</v>
      </c>
      <c r="Q160" s="20">
        <f t="shared" si="162"/>
        <v>6.0761376450252565E-12</v>
      </c>
      <c r="R160" s="59">
        <f t="shared" si="109"/>
        <v>293.3333333333394</v>
      </c>
      <c r="S160" s="59">
        <f ca="1">AVERAGE(OFFSET($R$3,0,0,'Données projet'!$E$9+1,1))-AVERAGE(OFFSET($H$3,0,0,'Données projet'!$E$9+1,1))</f>
        <v>223.99456146593315</v>
      </c>
      <c r="T160" s="59">
        <f t="shared" si="142"/>
        <v>132.73290587325937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51.681810968175938</v>
      </c>
      <c r="AA160" s="21">
        <f>EXP(-LN(2)/25)*AA159+(1-EXP(-LN(2)/25))/(LN(2)/25)*Calculateur!V160*Calculateur!X160*VLOOKUP('Données projet'!$B$9,Paramètres!$A$1:$I$89,3,0)*0.475*44/12</f>
        <v>8.7857389300045998</v>
      </c>
      <c r="AB160" s="21">
        <f>EXP(-LN(2)/2)*AB159+(1-EXP(-LN(2)/2))/(LN(2)/2)*V160*Y160*VLOOKUP('Données projet'!$B$9,Paramètres!$A$1:$I$89,3,0)*0.475*44/12</f>
        <v>1.0936671092935418E-6</v>
      </c>
      <c r="AC160" s="22">
        <f t="shared" si="163"/>
        <v>60.467550991847645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8.5265128291212022E-14</v>
      </c>
      <c r="AJ160" s="13">
        <f>AI160*VLOOKUP('Données projet'!$B$10,Paramètres!$A$1:$I$89,3,0)*VLOOKUP('Données projet'!$B$10,Paramètres!$A$1:$I$89,5,0)</f>
        <v>5.5865712056402117E-14</v>
      </c>
      <c r="AK160" s="13">
        <f t="shared" si="164"/>
        <v>8.9811031843713517E-13</v>
      </c>
      <c r="AL160" s="20">
        <f t="shared" si="165"/>
        <v>1.6615082531095774E-12</v>
      </c>
      <c r="AM160" s="59">
        <f t="shared" si="113"/>
        <v>293.33333333333496</v>
      </c>
      <c r="AN160" s="59">
        <f ca="1">AVERAGE(OFFSET($AM$3,0,0,'Données projet'!$E$10+1,1))-AVERAGE(OFFSET($H$3,0,0,'Données projet'!$E$10+1,1))</f>
        <v>244.43587473734613</v>
      </c>
      <c r="AO160" s="59">
        <f t="shared" si="144"/>
        <v>256.80261402149375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4.8897524312183425</v>
      </c>
      <c r="AV160" s="21">
        <f>EXP(-LN(2)/25)*AV159+(1-EXP(-LN(2)/25))/(LN(2)/25)*Calculateur!AQ160*Calculateur!AS160*VLOOKUP('Données projet'!$B$10,Paramètres!$A$1:$I$89,3,0)*0.475*44/12</f>
        <v>7.8846367068582532</v>
      </c>
      <c r="AW160" s="21">
        <f>EXP(-LN(2)/2)*AW159+(1-EXP(-LN(2)/2))/(LN(2)/2)*AQ160*AT160*VLOOKUP('Données projet'!$B$10,Paramètres!$A$1:$I$89,3,0)*0.475*44/12</f>
        <v>2.5783899916866568E-9</v>
      </c>
      <c r="AX160" s="21">
        <f t="shared" si="166"/>
        <v>12.774389140654987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-1.2710188457276673E-13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430.60186171079067</v>
      </c>
      <c r="BJ160" s="59">
        <f t="shared" si="146"/>
        <v>533.76627289533985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37.901245901562305</v>
      </c>
      <c r="BQ160" s="21">
        <f>EXP(-LN(2)/25)*BQ159+(1-EXP(-LN(2)/25))/(LN(2)/25)*Calculateur!BL160*Calculateur!BN160*VLOOKUP('Données projet'!$B$11,Paramètres!$A$1:$I$89,3,0)*0.475*44/12</f>
        <v>4.3757641535321152</v>
      </c>
      <c r="BR160" s="21">
        <f>EXP(-LN(2)/2)*BR159+(1-EXP(-LN(2)/2))/(LN(2)/2)*BL160*BO160*VLOOKUP('Données projet'!$B$11,Paramètres!$A$1:$I$89,3,0)*0.475*44/12</f>
        <v>1.4148630795573157E-13</v>
      </c>
      <c r="BS160" s="22">
        <f t="shared" si="169"/>
        <v>42.277010055094564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-1.69961822393816E-13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215.89467197072673</v>
      </c>
      <c r="CE160" s="59">
        <f t="shared" si="148"/>
        <v>188.21397398859534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24.853185775944159</v>
      </c>
      <c r="CL160" s="21">
        <f>EXP(-LN(2)/25)*CL159+(1-EXP(-LN(2)/25))/(LN(2)/25)*Calculateur!CG160*Calculateur!CI160*VLOOKUP('Données projet'!$B$12,Paramètres!$A$1:$I$89,3,0)*0.475*44/12</f>
        <v>3.3094167337119549</v>
      </c>
      <c r="CM160" s="21">
        <f>EXP(-LN(2)/2)*CM159+(1-EXP(-LN(2)/2))/(LN(2)/2)*CG160*CJ160*VLOOKUP('Données projet'!$B$12,Paramètres!$A$1:$I$89,3,0)*0.475*44/12</f>
        <v>7.1711836936407412E-11</v>
      </c>
      <c r="CN160" s="22">
        <f t="shared" si="172"/>
        <v>28.162602509727826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5.1821581196581166</v>
      </c>
      <c r="CT160" s="12">
        <f>IF('Données projet'!$A$140&gt;35,CT159+CS160-DB159,IF(A160&lt;'Données projet'!$A$140,$CQ$205^A160,IF(A160='Données projet'!$A$140,'Données projet'!$B$140,CT159+CS160-DB159)))</f>
        <v>242.3167735042735</v>
      </c>
      <c r="CU160" s="17">
        <f>CT160*VLOOKUP('Données projet'!$B$13,Paramètres!$A$1:$I$89,3,0)*VLOOKUP('Données projet'!$B$13,Paramètres!$A$1:$I$89,5,0)</f>
        <v>245.70920833333335</v>
      </c>
      <c r="CV160" s="13">
        <f t="shared" si="173"/>
        <v>59.666208686021875</v>
      </c>
      <c r="CW160" s="20">
        <f t="shared" si="174"/>
        <v>531.86218464204364</v>
      </c>
      <c r="CX160" s="59">
        <f t="shared" si="122"/>
        <v>825.19551797537702</v>
      </c>
      <c r="CY160" s="59">
        <f ca="1">AVERAGE(OFFSET($CX$3,0,0,'Données projet'!$E$13+1,1))-AVERAGE(OFFSET($H$3,0,0,'Données projet'!$E$13+1,1))</f>
        <v>342.82846711287749</v>
      </c>
      <c r="CZ160" s="59">
        <f t="shared" si="150"/>
        <v>152.87724741106297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46.077357522429679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46.077357522429679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208.48147873805715</v>
      </c>
      <c r="DU160" s="59">
        <f t="shared" si="152"/>
        <v>209.50570914630686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12.660486228897454</v>
      </c>
      <c r="EB160" s="21">
        <f>EXP(-LN(2)/25)*EB159+(1-EXP(-LN(2)/25))/(LN(2)/25)*Calculateur!DW160*Calculateur!DY160*VLOOKUP('Données projet'!$B$14,Paramètres!$A$1:$I$89,3,0)*0.475*44/12</f>
        <v>2.2591484546029617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14.919634683500416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-1.7053025658242404E-13</v>
      </c>
      <c r="EK160" s="17">
        <f>EJ160*VLOOKUP('Données projet'!$B$15,Paramètres!$A$1:$I$89,3,0)*VLOOKUP('Données projet'!$B$15,Paramètres!$A$1:$I$89,5,0)</f>
        <v>-1.0197709343628959E-13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247.31680974612766</v>
      </c>
      <c r="EP160" s="59">
        <f t="shared" si="154"/>
        <v>257.13949761071882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18.998993456425175</v>
      </c>
      <c r="EW160" s="21">
        <f>EXP(-LN(2)/25)*EW159+(1-EXP(-LN(2)/25))/(LN(2)/25)*Calculateur!ER160*Calculateur!ET160*VLOOKUP('Données projet'!$B$15,Paramètres!$A$1:$I$89,3,0)*0.475*44/12</f>
        <v>2.4545389593729325</v>
      </c>
      <c r="EX160" s="21">
        <f>EXP(-LN(2)/2)*EX159+(1-EXP(-LN(2)/2))/(LN(2)/2)*ER160*EU160*VLOOKUP('Données projet'!$B$15,Paramètres!$A$1:$I$89,3,0)*0.475*44/12</f>
        <v>8.0295403795467518E-14</v>
      </c>
      <c r="EY160" s="22">
        <f t="shared" si="181"/>
        <v>21.45353241579819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28.098719999999968</v>
      </c>
      <c r="D161" s="11">
        <f t="shared" si="140"/>
        <v>8.7823651210180689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56.939219134203306</v>
      </c>
      <c r="H161" s="67">
        <f t="shared" si="110"/>
        <v>320.90122325243976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5.1159076974727213E-13</v>
      </c>
      <c r="O161" s="13">
        <f>N161*VLOOKUP('Données projet'!$B$9,Paramètres!$A$1:$I$89,3,0)*VLOOKUP('Données projet'!$B$9,Paramètres!$A$1:$I$89,5,0)</f>
        <v>2.3942448024172334E-13</v>
      </c>
      <c r="P161" s="13">
        <f t="shared" si="141"/>
        <v>3.2492669905861755E-12</v>
      </c>
      <c r="Q161" s="20">
        <f t="shared" si="162"/>
        <v>6.0761376450252565E-12</v>
      </c>
      <c r="R161" s="59">
        <f t="shared" si="109"/>
        <v>293.3333333333394</v>
      </c>
      <c r="S161" s="59">
        <f ca="1">AVERAGE(OFFSET($R$3,0,0,'Données projet'!$E$9+1,1))-AVERAGE(OFFSET($H$3,0,0,'Données projet'!$E$9+1,1))</f>
        <v>223.99456146593315</v>
      </c>
      <c r="T161" s="59">
        <f t="shared" si="142"/>
        <v>132.73290587325937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50.668362177882081</v>
      </c>
      <c r="AA161" s="21">
        <f>EXP(-LN(2)/25)*AA160+(1-EXP(-LN(2)/25))/(LN(2)/25)*Calculateur!V161*Calculateur!X161*VLOOKUP('Données projet'!$B$9,Paramètres!$A$1:$I$89,3,0)*0.475*44/12</f>
        <v>8.5454924369416929</v>
      </c>
      <c r="AB161" s="21">
        <f>EXP(-LN(2)/2)*AB160+(1-EXP(-LN(2)/2))/(LN(2)/2)*V161*Y161*VLOOKUP('Données projet'!$B$9,Paramètres!$A$1:$I$89,3,0)*0.475*44/12</f>
        <v>7.7333942934215246E-7</v>
      </c>
      <c r="AC161" s="22">
        <f t="shared" si="163"/>
        <v>59.213855388163203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8.5265128291212022E-14</v>
      </c>
      <c r="AJ161" s="13">
        <f>AI161*VLOOKUP('Données projet'!$B$10,Paramètres!$A$1:$I$89,3,0)*VLOOKUP('Données projet'!$B$10,Paramètres!$A$1:$I$89,5,0)</f>
        <v>5.5865712056402117E-14</v>
      </c>
      <c r="AK161" s="13">
        <f t="shared" si="164"/>
        <v>8.9811031843713517E-13</v>
      </c>
      <c r="AL161" s="20">
        <f t="shared" si="165"/>
        <v>1.6615082531095774E-12</v>
      </c>
      <c r="AM161" s="59">
        <f t="shared" si="113"/>
        <v>293.33333333333496</v>
      </c>
      <c r="AN161" s="59">
        <f ca="1">AVERAGE(OFFSET($AM$3,0,0,'Données projet'!$E$10+1,1))-AVERAGE(OFFSET($H$3,0,0,'Données projet'!$E$10+1,1))</f>
        <v>244.43587473734613</v>
      </c>
      <c r="AO161" s="59">
        <f t="shared" si="144"/>
        <v>256.80261402149375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4.7938673684966409</v>
      </c>
      <c r="AV161" s="21">
        <f>EXP(-LN(2)/25)*AV160+(1-EXP(-LN(2)/25))/(LN(2)/25)*Calculateur!AQ161*Calculateur!AS161*VLOOKUP('Données projet'!$B$10,Paramètres!$A$1:$I$89,3,0)*0.475*44/12</f>
        <v>7.6690309014741906</v>
      </c>
      <c r="AW161" s="21">
        <f>EXP(-LN(2)/2)*AW160+(1-EXP(-LN(2)/2))/(LN(2)/2)*AQ161*AT161*VLOOKUP('Données projet'!$B$10,Paramètres!$A$1:$I$89,3,0)*0.475*44/12</f>
        <v>1.8231970476651611E-9</v>
      </c>
      <c r="AX161" s="21">
        <f t="shared" si="166"/>
        <v>12.46289827179403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-1.2710188457276673E-13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430.60186171079067</v>
      </c>
      <c r="BJ161" s="59">
        <f t="shared" si="146"/>
        <v>533.76627289533985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37.158025586910007</v>
      </c>
      <c r="BQ161" s="21">
        <f>EXP(-LN(2)/25)*BQ160+(1-EXP(-LN(2)/25))/(LN(2)/25)*Calculateur!BL161*Calculateur!BN161*VLOOKUP('Données projet'!$B$11,Paramètres!$A$1:$I$89,3,0)*0.475*44/12</f>
        <v>4.2561086526423439</v>
      </c>
      <c r="BR161" s="21">
        <f>EXP(-LN(2)/2)*BR160+(1-EXP(-LN(2)/2))/(LN(2)/2)*BL161*BO161*VLOOKUP('Données projet'!$B$11,Paramètres!$A$1:$I$89,3,0)*0.475*44/12</f>
        <v>1.0004592780054596E-13</v>
      </c>
      <c r="BS161" s="22">
        <f t="shared" si="169"/>
        <v>41.414134239552453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-1.69961822393816E-13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215.89467197072673</v>
      </c>
      <c r="CE161" s="59">
        <f t="shared" si="148"/>
        <v>188.21397398859534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24.365829961824396</v>
      </c>
      <c r="CL161" s="21">
        <f>EXP(-LN(2)/25)*CL160+(1-EXP(-LN(2)/25))/(LN(2)/25)*Calculateur!CG161*Calculateur!CI161*VLOOKUP('Données projet'!$B$12,Paramètres!$A$1:$I$89,3,0)*0.475*44/12</f>
        <v>3.2189205590939394</v>
      </c>
      <c r="CM161" s="21">
        <f>EXP(-LN(2)/2)*CM160+(1-EXP(-LN(2)/2))/(LN(2)/2)*CG161*CJ161*VLOOKUP('Données projet'!$B$12,Paramètres!$A$1:$I$89,3,0)*0.475*44/12</f>
        <v>5.0707926189077613E-11</v>
      </c>
      <c r="CN161" s="22">
        <f t="shared" si="172"/>
        <v>27.584750520969042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5.1821581196581166</v>
      </c>
      <c r="CT161" s="12">
        <f>IF('Données projet'!$A$140&gt;35,CT160+CS161-DB160,IF(A161&lt;'Données projet'!$A$140,$CQ$205^A161,IF(A161='Données projet'!$A$140,'Données projet'!$B$140,CT160+CS161-DB160)))</f>
        <v>247.49893162393161</v>
      </c>
      <c r="CU161" s="17">
        <f>CT161*VLOOKUP('Données projet'!$B$13,Paramètres!$A$1:$I$89,3,0)*VLOOKUP('Données projet'!$B$13,Paramètres!$A$1:$I$89,5,0)</f>
        <v>250.96391666666671</v>
      </c>
      <c r="CV161" s="13">
        <f t="shared" si="173"/>
        <v>60.792302847291182</v>
      </c>
      <c r="CW161" s="20">
        <f t="shared" si="174"/>
        <v>542.97541565347672</v>
      </c>
      <c r="CX161" s="59">
        <f t="shared" si="122"/>
        <v>836.30874898681009</v>
      </c>
      <c r="CY161" s="59">
        <f ca="1">AVERAGE(OFFSET($CX$3,0,0,'Données projet'!$E$13+1,1))-AVERAGE(OFFSET($H$3,0,0,'Données projet'!$E$13+1,1))</f>
        <v>342.82846711287749</v>
      </c>
      <c r="CZ161" s="59">
        <f t="shared" si="150"/>
        <v>152.87724741106297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45.17380864582784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45.17380864582784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208.48147873805715</v>
      </c>
      <c r="DU161" s="59">
        <f t="shared" si="152"/>
        <v>209.50570914630686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12.412221816082878</v>
      </c>
      <c r="EB161" s="21">
        <f>EXP(-LN(2)/25)*EB160+(1-EXP(-LN(2)/25))/(LN(2)/25)*Calculateur!DW161*Calculateur!DY161*VLOOKUP('Données projet'!$B$14,Paramètres!$A$1:$I$89,3,0)*0.475*44/12</f>
        <v>2.19737192130839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14.609593737391268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-1.7053025658242404E-13</v>
      </c>
      <c r="EK161" s="17">
        <f>EJ161*VLOOKUP('Données projet'!$B$15,Paramètres!$A$1:$I$89,3,0)*VLOOKUP('Données projet'!$B$15,Paramètres!$A$1:$I$89,5,0)</f>
        <v>-1.0197709343628959E-13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247.31680974612766</v>
      </c>
      <c r="EP161" s="59">
        <f t="shared" si="154"/>
        <v>257.13949761071882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18.626434782986443</v>
      </c>
      <c r="EW161" s="21">
        <f>EXP(-LN(2)/25)*EW160+(1-EXP(-LN(2)/25))/(LN(2)/25)*Calculateur!ER161*Calculateur!ET161*VLOOKUP('Données projet'!$B$15,Paramètres!$A$1:$I$89,3,0)*0.475*44/12</f>
        <v>2.3874194624502856</v>
      </c>
      <c r="EX161" s="21">
        <f>EXP(-LN(2)/2)*EX160+(1-EXP(-LN(2)/2))/(LN(2)/2)*ER161*EU161*VLOOKUP('Données projet'!$B$15,Paramètres!$A$1:$I$89,3,0)*0.475*44/12</f>
        <v>5.6777424521887134E-14</v>
      </c>
      <c r="EY161" s="22">
        <f t="shared" si="181"/>
        <v>21.013854245436786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28.276559999999968</v>
      </c>
      <c r="D162" s="11">
        <f t="shared" si="140"/>
        <v>8.8314616150974015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57.289577230325769</v>
      </c>
      <c r="H162" s="67">
        <f t="shared" si="110"/>
        <v>321.29647097962794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5.1159076974727213E-13</v>
      </c>
      <c r="O162" s="13">
        <f>N162*VLOOKUP('Données projet'!$B$9,Paramètres!$A$1:$I$89,3,0)*VLOOKUP('Données projet'!$B$9,Paramètres!$A$1:$I$89,5,0)</f>
        <v>2.3942448024172334E-13</v>
      </c>
      <c r="P162" s="13">
        <f t="shared" si="141"/>
        <v>3.2492669905861755E-12</v>
      </c>
      <c r="Q162" s="20">
        <f t="shared" si="162"/>
        <v>6.0761376450252565E-12</v>
      </c>
      <c r="R162" s="59">
        <f t="shared" si="109"/>
        <v>293.3333333333394</v>
      </c>
      <c r="S162" s="59">
        <f ca="1">AVERAGE(OFFSET($R$3,0,0,'Données projet'!$E$9+1,1))-AVERAGE(OFFSET($H$3,0,0,'Données projet'!$E$9+1,1))</f>
        <v>223.99456146593315</v>
      </c>
      <c r="T162" s="59">
        <f t="shared" si="142"/>
        <v>132.73290587325937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49.674786500223163</v>
      </c>
      <c r="AA162" s="21">
        <f>EXP(-LN(2)/25)*AA161+(1-EXP(-LN(2)/25))/(LN(2)/25)*Calculateur!V162*Calculateur!X162*VLOOKUP('Données projet'!$B$9,Paramètres!$A$1:$I$89,3,0)*0.475*44/12</f>
        <v>8.3118154968656057</v>
      </c>
      <c r="AB162" s="21">
        <f>EXP(-LN(2)/2)*AB161+(1-EXP(-LN(2)/2))/(LN(2)/2)*V162*Y162*VLOOKUP('Données projet'!$B$9,Paramètres!$A$1:$I$89,3,0)*0.475*44/12</f>
        <v>5.4683355464677091E-7</v>
      </c>
      <c r="AC162" s="22">
        <f t="shared" si="163"/>
        <v>57.986602543922324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8.5265128291212022E-14</v>
      </c>
      <c r="AJ162" s="13">
        <f>AI162*VLOOKUP('Données projet'!$B$10,Paramètres!$A$1:$I$89,3,0)*VLOOKUP('Données projet'!$B$10,Paramètres!$A$1:$I$89,5,0)</f>
        <v>5.5865712056402117E-14</v>
      </c>
      <c r="AK162" s="13">
        <f t="shared" si="164"/>
        <v>8.9811031843713517E-13</v>
      </c>
      <c r="AL162" s="20">
        <f t="shared" si="165"/>
        <v>1.6615082531095774E-12</v>
      </c>
      <c r="AM162" s="59">
        <f t="shared" si="113"/>
        <v>293.33333333333496</v>
      </c>
      <c r="AN162" s="59">
        <f ca="1">AVERAGE(OFFSET($AM$3,0,0,'Données projet'!$E$10+1,1))-AVERAGE(OFFSET($H$3,0,0,'Données projet'!$E$10+1,1))</f>
        <v>244.43587473734613</v>
      </c>
      <c r="AO162" s="59">
        <f t="shared" si="144"/>
        <v>256.80261402149375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4.6998625533707985</v>
      </c>
      <c r="AV162" s="21">
        <f>EXP(-LN(2)/25)*AV161+(1-EXP(-LN(2)/25))/(LN(2)/25)*Calculateur!AQ162*Calculateur!AS162*VLOOKUP('Données projet'!$B$10,Paramètres!$A$1:$I$89,3,0)*0.475*44/12</f>
        <v>7.4593208481765716</v>
      </c>
      <c r="AW162" s="21">
        <f>EXP(-LN(2)/2)*AW161+(1-EXP(-LN(2)/2))/(LN(2)/2)*AQ162*AT162*VLOOKUP('Données projet'!$B$10,Paramètres!$A$1:$I$89,3,0)*0.475*44/12</f>
        <v>1.2891949958433286E-9</v>
      </c>
      <c r="AX162" s="21">
        <f t="shared" si="166"/>
        <v>12.159183402836565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-1.2710188457276673E-13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430.60186171079067</v>
      </c>
      <c r="BJ162" s="59">
        <f t="shared" si="146"/>
        <v>533.76627289533985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36.429379369308407</v>
      </c>
      <c r="BQ162" s="21">
        <f>EXP(-LN(2)/25)*BQ161+(1-EXP(-LN(2)/25))/(LN(2)/25)*Calculateur!BL162*Calculateur!BN162*VLOOKUP('Données projet'!$B$11,Paramètres!$A$1:$I$89,3,0)*0.475*44/12</f>
        <v>4.1397251377168125</v>
      </c>
      <c r="BR162" s="21">
        <f>EXP(-LN(2)/2)*BR161+(1-EXP(-LN(2)/2))/(LN(2)/2)*BL162*BO162*VLOOKUP('Données projet'!$B$11,Paramètres!$A$1:$I$89,3,0)*0.475*44/12</f>
        <v>7.0743153977865784E-14</v>
      </c>
      <c r="BS162" s="22">
        <f t="shared" si="169"/>
        <v>40.569104507025287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-1.69961822393816E-13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215.89467197072673</v>
      </c>
      <c r="CE162" s="59">
        <f t="shared" si="148"/>
        <v>188.21397398859534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23.888030897961826</v>
      </c>
      <c r="CL162" s="21">
        <f>EXP(-LN(2)/25)*CL161+(1-EXP(-LN(2)/25))/(LN(2)/25)*Calculateur!CG162*Calculateur!CI162*VLOOKUP('Données projet'!$B$12,Paramètres!$A$1:$I$89,3,0)*0.475*44/12</f>
        <v>3.1308990071298402</v>
      </c>
      <c r="CM162" s="21">
        <f>EXP(-LN(2)/2)*CM161+(1-EXP(-LN(2)/2))/(LN(2)/2)*CG162*CJ162*VLOOKUP('Données projet'!$B$12,Paramètres!$A$1:$I$89,3,0)*0.475*44/12</f>
        <v>3.5855918468203706E-11</v>
      </c>
      <c r="CN162" s="22">
        <f t="shared" si="172"/>
        <v>27.018929905127525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5.1821581196581166</v>
      </c>
      <c r="CT162" s="12">
        <f>IF('Données projet'!$A$140&gt;35,CT161+CS162-DB161,IF(A162&lt;'Données projet'!$A$140,$CQ$205^A162,IF(A162='Données projet'!$A$140,'Données projet'!$B$140,CT161+CS162-DB161)))</f>
        <v>252.68108974358972</v>
      </c>
      <c r="CU162" s="17">
        <f>CT162*VLOOKUP('Données projet'!$B$13,Paramètres!$A$1:$I$89,3,0)*VLOOKUP('Données projet'!$B$13,Paramètres!$A$1:$I$89,5,0)</f>
        <v>256.21862499999997</v>
      </c>
      <c r="CV162" s="13">
        <f t="shared" si="173"/>
        <v>61.915655627301604</v>
      </c>
      <c r="CW162" s="20">
        <f t="shared" si="174"/>
        <v>554.08387209255022</v>
      </c>
      <c r="CX162" s="59">
        <f t="shared" si="122"/>
        <v>847.41720542588359</v>
      </c>
      <c r="CY162" s="59">
        <f ca="1">AVERAGE(OFFSET($CX$3,0,0,'Données projet'!$E$13+1,1))-AVERAGE(OFFSET($H$3,0,0,'Données projet'!$E$13+1,1))</f>
        <v>342.82846711287749</v>
      </c>
      <c r="CZ162" s="59">
        <f t="shared" si="150"/>
        <v>152.87724741106297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44.287977811585769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44.287977811585769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208.48147873805715</v>
      </c>
      <c r="DU162" s="59">
        <f t="shared" si="152"/>
        <v>209.50570914630686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12.168825716977256</v>
      </c>
      <c r="EB162" s="21">
        <f>EXP(-LN(2)/25)*EB161+(1-EXP(-LN(2)/25))/(LN(2)/25)*Calculateur!DW162*Calculateur!DY162*VLOOKUP('Données projet'!$B$14,Paramètres!$A$1:$I$89,3,0)*0.475*44/12</f>
        <v>2.1372846705654447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14.3061103875427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-1.7053025658242404E-13</v>
      </c>
      <c r="EK162" s="17">
        <f>EJ162*VLOOKUP('Données projet'!$B$15,Paramètres!$A$1:$I$89,3,0)*VLOOKUP('Données projet'!$B$15,Paramètres!$A$1:$I$89,5,0)</f>
        <v>-1.0197709343628959E-13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247.31680974612766</v>
      </c>
      <c r="EP162" s="59">
        <f t="shared" si="154"/>
        <v>257.13949761071882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18.261181757895493</v>
      </c>
      <c r="EW162" s="21">
        <f>EXP(-LN(2)/25)*EW161+(1-EXP(-LN(2)/25))/(LN(2)/25)*Calculateur!ER162*Calculateur!ET162*VLOOKUP('Données projet'!$B$15,Paramètres!$A$1:$I$89,3,0)*0.475*44/12</f>
        <v>2.3221353517006493</v>
      </c>
      <c r="EX162" s="21">
        <f>EXP(-LN(2)/2)*EX161+(1-EXP(-LN(2)/2))/(LN(2)/2)*ER162*EU162*VLOOKUP('Données projet'!$B$15,Paramètres!$A$1:$I$89,3,0)*0.475*44/12</f>
        <v>4.0147701897733765E-14</v>
      </c>
      <c r="EY162" s="22">
        <f t="shared" si="181"/>
        <v>20.58331710959618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28.454399999999968</v>
      </c>
      <c r="D163" s="11">
        <f t="shared" si="140"/>
        <v>8.8805221797401543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57.639879856440892</v>
      </c>
      <c r="H163" s="67">
        <f t="shared" si="110"/>
        <v>321.69165612971403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5.1159076974727213E-13</v>
      </c>
      <c r="O163" s="13">
        <f>N163*VLOOKUP('Données projet'!$B$9,Paramètres!$A$1:$I$89,3,0)*VLOOKUP('Données projet'!$B$9,Paramètres!$A$1:$I$89,5,0)</f>
        <v>2.3942448024172334E-13</v>
      </c>
      <c r="P163" s="13">
        <f t="shared" si="141"/>
        <v>3.2492669905861755E-12</v>
      </c>
      <c r="Q163" s="20">
        <f t="shared" si="162"/>
        <v>6.0761376450252565E-12</v>
      </c>
      <c r="R163" s="59">
        <f t="shared" si="109"/>
        <v>293.3333333333394</v>
      </c>
      <c r="S163" s="59">
        <f ca="1">AVERAGE(OFFSET($R$3,0,0,'Données projet'!$E$9+1,1))-AVERAGE(OFFSET($H$3,0,0,'Données projet'!$E$9+1,1))</f>
        <v>223.99456146593315</v>
      </c>
      <c r="T163" s="59">
        <f t="shared" si="142"/>
        <v>132.73290587325937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48.700694235581814</v>
      </c>
      <c r="AA163" s="21">
        <f>EXP(-LN(2)/25)*AA162+(1-EXP(-LN(2)/25))/(LN(2)/25)*Calculateur!V163*Calculateur!X163*VLOOKUP('Données projet'!$B$9,Paramètres!$A$1:$I$89,3,0)*0.475*44/12</f>
        <v>8.0845284650044356</v>
      </c>
      <c r="AB163" s="21">
        <f>EXP(-LN(2)/2)*AB162+(1-EXP(-LN(2)/2))/(LN(2)/2)*V163*Y163*VLOOKUP('Données projet'!$B$9,Paramètres!$A$1:$I$89,3,0)*0.475*44/12</f>
        <v>3.8666971467107623E-7</v>
      </c>
      <c r="AC163" s="22">
        <f t="shared" si="163"/>
        <v>56.785223087255957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8.5265128291212022E-14</v>
      </c>
      <c r="AJ163" s="13">
        <f>AI163*VLOOKUP('Données projet'!$B$10,Paramètres!$A$1:$I$89,3,0)*VLOOKUP('Données projet'!$B$10,Paramètres!$A$1:$I$89,5,0)</f>
        <v>5.5865712056402117E-14</v>
      </c>
      <c r="AK163" s="13">
        <f t="shared" si="164"/>
        <v>8.9811031843713517E-13</v>
      </c>
      <c r="AL163" s="20">
        <f t="shared" si="165"/>
        <v>1.6615082531095774E-12</v>
      </c>
      <c r="AM163" s="59">
        <f t="shared" si="113"/>
        <v>293.33333333333496</v>
      </c>
      <c r="AN163" s="59">
        <f ca="1">AVERAGE(OFFSET($AM$3,0,0,'Données projet'!$E$10+1,1))-AVERAGE(OFFSET($H$3,0,0,'Données projet'!$E$10+1,1))</f>
        <v>244.43587473734613</v>
      </c>
      <c r="AO163" s="59">
        <f t="shared" si="144"/>
        <v>256.80261402149375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4.607701115332298</v>
      </c>
      <c r="AV163" s="21">
        <f>EXP(-LN(2)/25)*AV162+(1-EXP(-LN(2)/25))/(LN(2)/25)*Calculateur!AQ163*Calculateur!AS163*VLOOKUP('Données projet'!$B$10,Paramètres!$A$1:$I$89,3,0)*0.475*44/12</f>
        <v>7.2553453273145481</v>
      </c>
      <c r="AW163" s="21">
        <f>EXP(-LN(2)/2)*AW162+(1-EXP(-LN(2)/2))/(LN(2)/2)*AQ163*AT163*VLOOKUP('Données projet'!$B$10,Paramètres!$A$1:$I$89,3,0)*0.475*44/12</f>
        <v>9.1159852383258065E-10</v>
      </c>
      <c r="AX163" s="21">
        <f t="shared" si="166"/>
        <v>11.863046443558444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-1.2710188457276673E-13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430.60186171079067</v>
      </c>
      <c r="BJ163" s="59">
        <f t="shared" si="146"/>
        <v>533.76627289533985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35.715021459603669</v>
      </c>
      <c r="BQ163" s="21">
        <f>EXP(-LN(2)/25)*BQ162+(1-EXP(-LN(2)/25))/(LN(2)/25)*Calculateur!BL163*Calculateur!BN163*VLOOKUP('Données projet'!$B$11,Paramètres!$A$1:$I$89,3,0)*0.475*44/12</f>
        <v>4.0265241361272626</v>
      </c>
      <c r="BR163" s="21">
        <f>EXP(-LN(2)/2)*BR162+(1-EXP(-LN(2)/2))/(LN(2)/2)*BL163*BO163*VLOOKUP('Données projet'!$B$11,Paramètres!$A$1:$I$89,3,0)*0.475*44/12</f>
        <v>5.0022963900272981E-14</v>
      </c>
      <c r="BS163" s="22">
        <f t="shared" si="169"/>
        <v>39.741545595730983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-1.69961822393816E-13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215.89467197072673</v>
      </c>
      <c r="CE163" s="59">
        <f t="shared" si="148"/>
        <v>188.21397398859534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23.419601182312949</v>
      </c>
      <c r="CL163" s="21">
        <f>EXP(-LN(2)/25)*CL162+(1-EXP(-LN(2)/25))/(LN(2)/25)*Calculateur!CG163*Calculateur!CI163*VLOOKUP('Données projet'!$B$12,Paramètres!$A$1:$I$89,3,0)*0.475*44/12</f>
        <v>3.0452844091330515</v>
      </c>
      <c r="CM163" s="21">
        <f>EXP(-LN(2)/2)*CM162+(1-EXP(-LN(2)/2))/(LN(2)/2)*CG163*CJ163*VLOOKUP('Données projet'!$B$12,Paramètres!$A$1:$I$89,3,0)*0.475*44/12</f>
        <v>2.5353963094538807E-11</v>
      </c>
      <c r="CN163" s="22">
        <f t="shared" si="172"/>
        <v>26.464885591471354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5.1821581196581166</v>
      </c>
      <c r="CT163" s="12">
        <f>IF('Données projet'!$A$140&gt;35,CT162+CS163-DB162,IF(A163&lt;'Données projet'!$A$140,$CQ$205^A163,IF(A163='Données projet'!$A$140,'Données projet'!$B$140,CT162+CS163-DB162)))</f>
        <v>257.86324786324786</v>
      </c>
      <c r="CU163" s="17">
        <f>CT163*VLOOKUP('Données projet'!$B$13,Paramètres!$A$1:$I$89,3,0)*VLOOKUP('Données projet'!$B$13,Paramètres!$A$1:$I$89,5,0)</f>
        <v>261.47333333333336</v>
      </c>
      <c r="CV163" s="13">
        <f t="shared" si="173"/>
        <v>63.036329726462505</v>
      </c>
      <c r="CW163" s="20">
        <f t="shared" si="174"/>
        <v>565.18766316247775</v>
      </c>
      <c r="CX163" s="59">
        <f t="shared" si="122"/>
        <v>858.520996495811</v>
      </c>
      <c r="CY163" s="59">
        <f ca="1">AVERAGE(OFFSET($CX$3,0,0,'Données projet'!$E$13+1,1))-AVERAGE(OFFSET($H$3,0,0,'Données projet'!$E$13+1,1))</f>
        <v>342.82846711287749</v>
      </c>
      <c r="CZ163" s="59">
        <f t="shared" si="150"/>
        <v>152.87724741106297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43.419517579699722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43.419517579699722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208.48147873805715</v>
      </c>
      <c r="DU163" s="59">
        <f t="shared" si="152"/>
        <v>209.50570914630686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11.930202466918134</v>
      </c>
      <c r="EB163" s="21">
        <f>EXP(-LN(2)/25)*EB162+(1-EXP(-LN(2)/25))/(LN(2)/25)*Calculateur!DW163*Calculateur!DY163*VLOOKUP('Données projet'!$B$14,Paramètres!$A$1:$I$89,3,0)*0.475*44/12</f>
        <v>2.0788405088539168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14.009042975772051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-1.7053025658242404E-13</v>
      </c>
      <c r="EK163" s="17">
        <f>EJ163*VLOOKUP('Données projet'!$B$15,Paramètres!$A$1:$I$89,3,0)*VLOOKUP('Données projet'!$B$15,Paramètres!$A$1:$I$89,5,0)</f>
        <v>-1.0197709343628959E-13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247.31680974612766</v>
      </c>
      <c r="EP163" s="59">
        <f t="shared" si="154"/>
        <v>257.13949761071882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17.903091121844227</v>
      </c>
      <c r="EW163" s="21">
        <f>EXP(-LN(2)/25)*EW162+(1-EXP(-LN(2)/25))/(LN(2)/25)*Calculateur!ER163*Calculateur!ET163*VLOOKUP('Données projet'!$B$15,Paramètres!$A$1:$I$89,3,0)*0.475*44/12</f>
        <v>2.2586364383926041</v>
      </c>
      <c r="EX163" s="21">
        <f>EXP(-LN(2)/2)*EX162+(1-EXP(-LN(2)/2))/(LN(2)/2)*ER163*EU163*VLOOKUP('Données projet'!$B$15,Paramètres!$A$1:$I$89,3,0)*0.475*44/12</f>
        <v>2.838871226094357E-14</v>
      </c>
      <c r="EY163" s="22">
        <f t="shared" si="181"/>
        <v>20.161727560236859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28.632239999999967</v>
      </c>
      <c r="D164" s="11">
        <f t="shared" si="140"/>
        <v>8.9295470655560649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57.990127399454934</v>
      </c>
      <c r="H164" s="67">
        <f t="shared" si="110"/>
        <v>322.08677913917677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5.1159076974727213E-13</v>
      </c>
      <c r="O164" s="13">
        <f>N164*VLOOKUP('Données projet'!$B$9,Paramètres!$A$1:$I$89,3,0)*VLOOKUP('Données projet'!$B$9,Paramètres!$A$1:$I$89,5,0)</f>
        <v>2.3942448024172334E-13</v>
      </c>
      <c r="P164" s="13">
        <f t="shared" si="141"/>
        <v>3.2492669905861755E-12</v>
      </c>
      <c r="Q164" s="20">
        <f t="shared" si="162"/>
        <v>6.0761376450252565E-12</v>
      </c>
      <c r="R164" s="59">
        <f t="shared" si="109"/>
        <v>293.3333333333394</v>
      </c>
      <c r="S164" s="59">
        <f ca="1">AVERAGE(OFFSET($R$3,0,0,'Données projet'!$E$9+1,1))-AVERAGE(OFFSET($H$3,0,0,'Données projet'!$E$9+1,1))</f>
        <v>223.99456146593315</v>
      </c>
      <c r="T164" s="59">
        <f t="shared" si="142"/>
        <v>132.73290587325937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47.745703326112462</v>
      </c>
      <c r="AA164" s="21">
        <f>EXP(-LN(2)/25)*AA163+(1-EXP(-LN(2)/25))/(LN(2)/25)*Calculateur!V164*Calculateur!X164*VLOOKUP('Données projet'!$B$9,Paramètres!$A$1:$I$89,3,0)*0.475*44/12</f>
        <v>7.8634566089820144</v>
      </c>
      <c r="AB164" s="21">
        <f>EXP(-LN(2)/2)*AB163+(1-EXP(-LN(2)/2))/(LN(2)/2)*V164*Y164*VLOOKUP('Données projet'!$B$9,Paramètres!$A$1:$I$89,3,0)*0.475*44/12</f>
        <v>2.7341677732338546E-7</v>
      </c>
      <c r="AC164" s="22">
        <f t="shared" si="163"/>
        <v>55.609160208511256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8.5265128291212022E-14</v>
      </c>
      <c r="AJ164" s="13">
        <f>AI164*VLOOKUP('Données projet'!$B$10,Paramètres!$A$1:$I$89,3,0)*VLOOKUP('Données projet'!$B$10,Paramètres!$A$1:$I$89,5,0)</f>
        <v>5.5865712056402117E-14</v>
      </c>
      <c r="AK164" s="13">
        <f t="shared" si="164"/>
        <v>8.9811031843713517E-13</v>
      </c>
      <c r="AL164" s="20">
        <f t="shared" si="165"/>
        <v>1.6615082531095774E-12</v>
      </c>
      <c r="AM164" s="59">
        <f t="shared" si="113"/>
        <v>293.33333333333496</v>
      </c>
      <c r="AN164" s="59">
        <f ca="1">AVERAGE(OFFSET($AM$3,0,0,'Données projet'!$E$10+1,1))-AVERAGE(OFFSET($H$3,0,0,'Données projet'!$E$10+1,1))</f>
        <v>244.43587473734613</v>
      </c>
      <c r="AO164" s="59">
        <f t="shared" si="144"/>
        <v>256.80261402149375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4.5173469068808059</v>
      </c>
      <c r="AV164" s="21">
        <f>EXP(-LN(2)/25)*AV163+(1-EXP(-LN(2)/25))/(LN(2)/25)*Calculateur!AQ164*Calculateur!AS164*VLOOKUP('Données projet'!$B$10,Paramètres!$A$1:$I$89,3,0)*0.475*44/12</f>
        <v>7.056947527797103</v>
      </c>
      <c r="AW164" s="21">
        <f>EXP(-LN(2)/2)*AW163+(1-EXP(-LN(2)/2))/(LN(2)/2)*AQ164*AT164*VLOOKUP('Données projet'!$B$10,Paramètres!$A$1:$I$89,3,0)*0.475*44/12</f>
        <v>6.4459749792166441E-10</v>
      </c>
      <c r="AX164" s="21">
        <f t="shared" si="166"/>
        <v>11.574294435322507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-1.2710188457276673E-13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430.60186171079067</v>
      </c>
      <c r="BJ164" s="59">
        <f t="shared" si="146"/>
        <v>533.76627289533985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35.014671672792936</v>
      </c>
      <c r="BQ164" s="21">
        <f>EXP(-LN(2)/25)*BQ163+(1-EXP(-LN(2)/25))/(LN(2)/25)*Calculateur!BL164*Calculateur!BN164*VLOOKUP('Données projet'!$B$11,Paramètres!$A$1:$I$89,3,0)*0.475*44/12</f>
        <v>3.9164186218791608</v>
      </c>
      <c r="BR164" s="21">
        <f>EXP(-LN(2)/2)*BR163+(1-EXP(-LN(2)/2))/(LN(2)/2)*BL164*BO164*VLOOKUP('Données projet'!$B$11,Paramètres!$A$1:$I$89,3,0)*0.475*44/12</f>
        <v>3.5371576988932892E-14</v>
      </c>
      <c r="BS164" s="22">
        <f t="shared" si="169"/>
        <v>38.931090294672131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-1.69961822393816E-13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215.89467197072673</v>
      </c>
      <c r="CE164" s="59">
        <f t="shared" si="148"/>
        <v>188.21397398859534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22.96035708767403</v>
      </c>
      <c r="CL164" s="21">
        <f>EXP(-LN(2)/25)*CL163+(1-EXP(-LN(2)/25))/(LN(2)/25)*Calculateur!CG164*Calculateur!CI164*VLOOKUP('Données projet'!$B$12,Paramètres!$A$1:$I$89,3,0)*0.475*44/12</f>
        <v>2.9620109468207612</v>
      </c>
      <c r="CM164" s="21">
        <f>EXP(-LN(2)/2)*CM163+(1-EXP(-LN(2)/2))/(LN(2)/2)*CG164*CJ164*VLOOKUP('Données projet'!$B$12,Paramètres!$A$1:$I$89,3,0)*0.475*44/12</f>
        <v>1.7927959234101853E-11</v>
      </c>
      <c r="CN164" s="22">
        <f t="shared" si="172"/>
        <v>25.922368034512719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5.1821581196581166</v>
      </c>
      <c r="CT164" s="12">
        <f>IF('Données projet'!$A$140&gt;35,CT163+CS164-DB163,IF(A164&lt;'Données projet'!$A$140,$CQ$205^A164,IF(A164='Données projet'!$A$140,'Données projet'!$B$140,CT163+CS164-DB163)))</f>
        <v>263.045405982906</v>
      </c>
      <c r="CU164" s="17">
        <f>CT164*VLOOKUP('Données projet'!$B$13,Paramètres!$A$1:$I$89,3,0)*VLOOKUP('Données projet'!$B$13,Paramètres!$A$1:$I$89,5,0)</f>
        <v>266.72804166666668</v>
      </c>
      <c r="CV164" s="13">
        <f t="shared" si="173"/>
        <v>64.15438518096876</v>
      </c>
      <c r="CW164" s="20">
        <f t="shared" si="174"/>
        <v>576.28689342629832</v>
      </c>
      <c r="CX164" s="59">
        <f t="shared" si="122"/>
        <v>869.62022675963158</v>
      </c>
      <c r="CY164" s="59">
        <f ca="1">AVERAGE(OFFSET($CX$3,0,0,'Données projet'!$E$13+1,1))-AVERAGE(OFFSET($H$3,0,0,'Données projet'!$E$13+1,1))</f>
        <v>342.82846711287749</v>
      </c>
      <c r="CZ164" s="59">
        <f t="shared" si="150"/>
        <v>152.87724741106297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42.568087323252527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42.568087323252527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208.48147873805715</v>
      </c>
      <c r="DU164" s="59">
        <f t="shared" si="152"/>
        <v>209.50570914630686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11.696258473246859</v>
      </c>
      <c r="EB164" s="21">
        <f>EXP(-LN(2)/25)*EB163+(1-EXP(-LN(2)/25))/(LN(2)/25)*Calculateur!DW164*Calculateur!DY164*VLOOKUP('Données projet'!$B$14,Paramètres!$A$1:$I$89,3,0)*0.475*44/12</f>
        <v>2.0219945058178355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13.718252979064694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-1.7053025658242404E-13</v>
      </c>
      <c r="EK164" s="17">
        <f>EJ164*VLOOKUP('Données projet'!$B$15,Paramètres!$A$1:$I$89,3,0)*VLOOKUP('Données projet'!$B$15,Paramètres!$A$1:$I$89,5,0)</f>
        <v>-1.0197709343628959E-13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247.31680974612766</v>
      </c>
      <c r="EP164" s="59">
        <f t="shared" si="154"/>
        <v>257.13949761071882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17.552022424752206</v>
      </c>
      <c r="EW164" s="21">
        <f>EXP(-LN(2)/25)*EW163+(1-EXP(-LN(2)/25))/(LN(2)/25)*Calculateur!ER164*Calculateur!ET164*VLOOKUP('Données projet'!$B$15,Paramètres!$A$1:$I$89,3,0)*0.475*44/12</f>
        <v>2.1968739062082303</v>
      </c>
      <c r="EX164" s="21">
        <f>EXP(-LN(2)/2)*EX163+(1-EXP(-LN(2)/2))/(LN(2)/2)*ER164*EU164*VLOOKUP('Données projet'!$B$15,Paramètres!$A$1:$I$89,3,0)*0.475*44/12</f>
        <v>2.0073850948866886E-14</v>
      </c>
      <c r="EY164" s="22">
        <f t="shared" si="181"/>
        <v>19.748896330960456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28.810079999999967</v>
      </c>
      <c r="D165" s="11">
        <f t="shared" si="140"/>
        <v>8.9785365198616685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58.340320241189893</v>
      </c>
      <c r="H165" s="67">
        <f t="shared" si="110"/>
        <v>322.48184043875904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5.1159076974727213E-13</v>
      </c>
      <c r="O165" s="13">
        <f>N165*VLOOKUP('Données projet'!$B$9,Paramètres!$A$1:$I$89,3,0)*VLOOKUP('Données projet'!$B$9,Paramètres!$A$1:$I$89,5,0)</f>
        <v>2.3942448024172334E-13</v>
      </c>
      <c r="P165" s="13">
        <f t="shared" si="141"/>
        <v>3.2492669905861755E-12</v>
      </c>
      <c r="Q165" s="20">
        <f t="shared" si="162"/>
        <v>6.0761376450252565E-12</v>
      </c>
      <c r="R165" s="59">
        <f t="shared" si="109"/>
        <v>293.3333333333394</v>
      </c>
      <c r="S165" s="59">
        <f ca="1">AVERAGE(OFFSET($R$3,0,0,'Données projet'!$E$9+1,1))-AVERAGE(OFFSET($H$3,0,0,'Données projet'!$E$9+1,1))</f>
        <v>223.99456146593315</v>
      </c>
      <c r="T165" s="59">
        <f t="shared" si="142"/>
        <v>132.73290587325937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46.809439205890868</v>
      </c>
      <c r="AA165" s="21">
        <f>EXP(-LN(2)/25)*AA164+(1-EXP(-LN(2)/25))/(LN(2)/25)*Calculateur!V165*Calculateur!X165*VLOOKUP('Données projet'!$B$9,Paramètres!$A$1:$I$89,3,0)*0.475*44/12</f>
        <v>7.6484299744881907</v>
      </c>
      <c r="AB165" s="21">
        <f>EXP(-LN(2)/2)*AB164+(1-EXP(-LN(2)/2))/(LN(2)/2)*V165*Y165*VLOOKUP('Données projet'!$B$9,Paramètres!$A$1:$I$89,3,0)*0.475*44/12</f>
        <v>1.9333485733553811E-7</v>
      </c>
      <c r="AC165" s="22">
        <f t="shared" si="163"/>
        <v>54.457869373713912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8.5265128291212022E-14</v>
      </c>
      <c r="AJ165" s="13">
        <f>AI165*VLOOKUP('Données projet'!$B$10,Paramètres!$A$1:$I$89,3,0)*VLOOKUP('Données projet'!$B$10,Paramètres!$A$1:$I$89,5,0)</f>
        <v>5.5865712056402117E-14</v>
      </c>
      <c r="AK165" s="13">
        <f t="shared" si="164"/>
        <v>8.9811031843713517E-13</v>
      </c>
      <c r="AL165" s="20">
        <f t="shared" si="165"/>
        <v>1.6615082531095774E-12</v>
      </c>
      <c r="AM165" s="59">
        <f t="shared" si="113"/>
        <v>293.33333333333496</v>
      </c>
      <c r="AN165" s="59">
        <f ca="1">AVERAGE(OFFSET($AM$3,0,0,'Données projet'!$E$10+1,1))-AVERAGE(OFFSET($H$3,0,0,'Données projet'!$E$10+1,1))</f>
        <v>244.43587473734613</v>
      </c>
      <c r="AO165" s="59">
        <f t="shared" si="144"/>
        <v>256.80261402149375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4.4287644893464222</v>
      </c>
      <c r="AV165" s="21">
        <f>EXP(-LN(2)/25)*AV164+(1-EXP(-LN(2)/25))/(LN(2)/25)*Calculateur!AQ165*Calculateur!AS165*VLOOKUP('Données projet'!$B$10,Paramètres!$A$1:$I$89,3,0)*0.475*44/12</f>
        <v>6.8639749265407497</v>
      </c>
      <c r="AW165" s="21">
        <f>EXP(-LN(2)/2)*AW164+(1-EXP(-LN(2)/2))/(LN(2)/2)*AQ165*AT165*VLOOKUP('Données projet'!$B$10,Paramètres!$A$1:$I$89,3,0)*0.475*44/12</f>
        <v>4.5579926191629043E-10</v>
      </c>
      <c r="AX165" s="21">
        <f t="shared" si="166"/>
        <v>11.292739416342972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-1.2710188457276673E-13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430.60186171079067</v>
      </c>
      <c r="BJ165" s="59">
        <f t="shared" si="146"/>
        <v>533.76627289533985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34.328055318130374</v>
      </c>
      <c r="BQ165" s="21">
        <f>EXP(-LN(2)/25)*BQ164+(1-EXP(-LN(2)/25))/(LN(2)/25)*Calculateur!BL165*Calculateur!BN165*VLOOKUP('Données projet'!$B$11,Paramètres!$A$1:$I$89,3,0)*0.475*44/12</f>
        <v>3.809323948708371</v>
      </c>
      <c r="BR165" s="21">
        <f>EXP(-LN(2)/2)*BR164+(1-EXP(-LN(2)/2))/(LN(2)/2)*BL165*BO165*VLOOKUP('Données projet'!$B$11,Paramètres!$A$1:$I$89,3,0)*0.475*44/12</f>
        <v>2.5011481950136491E-14</v>
      </c>
      <c r="BS165" s="22">
        <f t="shared" si="169"/>
        <v>38.137379266838771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-1.69961822393816E-13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215.89467197072673</v>
      </c>
      <c r="CE165" s="59">
        <f t="shared" si="148"/>
        <v>188.21397398859534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22.510118489619742</v>
      </c>
      <c r="CL165" s="21">
        <f>EXP(-LN(2)/25)*CL164+(1-EXP(-LN(2)/25))/(LN(2)/25)*Calculateur!CG165*Calculateur!CI165*VLOOKUP('Données projet'!$B$12,Paramètres!$A$1:$I$89,3,0)*0.475*44/12</f>
        <v>2.8810146017145617</v>
      </c>
      <c r="CM165" s="21">
        <f>EXP(-LN(2)/2)*CM164+(1-EXP(-LN(2)/2))/(LN(2)/2)*CG165*CJ165*VLOOKUP('Données projet'!$B$12,Paramètres!$A$1:$I$89,3,0)*0.475*44/12</f>
        <v>1.2676981547269403E-11</v>
      </c>
      <c r="CN165" s="22">
        <f t="shared" si="172"/>
        <v>25.39113309134698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5.1821581196581166</v>
      </c>
      <c r="CT165" s="12">
        <f>IF('Données projet'!$A$140&gt;35,CT164+CS165-DB164,IF(A165&lt;'Données projet'!$A$140,$CQ$205^A165,IF(A165='Données projet'!$A$140,'Données projet'!$B$140,CT164+CS165-DB164)))</f>
        <v>268.22756410256414</v>
      </c>
      <c r="CU165" s="17">
        <f>CT165*VLOOKUP('Données projet'!$B$13,Paramètres!$A$1:$I$89,3,0)*VLOOKUP('Données projet'!$B$13,Paramètres!$A$1:$I$89,5,0)</f>
        <v>271.98275000000007</v>
      </c>
      <c r="CV165" s="13">
        <f t="shared" si="173"/>
        <v>65.269879526225267</v>
      </c>
      <c r="CW165" s="20">
        <f t="shared" si="174"/>
        <v>587.38166309150915</v>
      </c>
      <c r="CX165" s="59">
        <f t="shared" si="122"/>
        <v>880.71499642484241</v>
      </c>
      <c r="CY165" s="59">
        <f ca="1">AVERAGE(OFFSET($CX$3,0,0,'Données projet'!$E$13+1,1))-AVERAGE(OFFSET($H$3,0,0,'Données projet'!$E$13+1,1))</f>
        <v>342.82846711287749</v>
      </c>
      <c r="CZ165" s="59">
        <f t="shared" si="150"/>
        <v>152.87724741106297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41.733353094813083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41.733353094813083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208.48147873805715</v>
      </c>
      <c r="DU165" s="59">
        <f t="shared" si="152"/>
        <v>209.50570914630686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11.466901978599731</v>
      </c>
      <c r="EB165" s="21">
        <f>EXP(-LN(2)/25)*EB164+(1-EXP(-LN(2)/25))/(LN(2)/25)*Calculateur!DW165*Calculateur!DY165*VLOOKUP('Données projet'!$B$14,Paramètres!$A$1:$I$89,3,0)*0.475*44/12</f>
        <v>1.966702959724177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13.433604938323908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-1.7053025658242404E-13</v>
      </c>
      <c r="EK165" s="17">
        <f>EJ165*VLOOKUP('Données projet'!$B$15,Paramètres!$A$1:$I$89,3,0)*VLOOKUP('Données projet'!$B$15,Paramètres!$A$1:$I$89,5,0)</f>
        <v>-1.0197709343628959E-13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247.31680974612766</v>
      </c>
      <c r="EP165" s="59">
        <f t="shared" si="154"/>
        <v>257.13949761071882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17.207837970679396</v>
      </c>
      <c r="EW165" s="21">
        <f>EXP(-LN(2)/25)*EW164+(1-EXP(-LN(2)/25))/(LN(2)/25)*Calculateur!ER165*Calculateur!ET165*VLOOKUP('Données projet'!$B$15,Paramètres!$A$1:$I$89,3,0)*0.475*44/12</f>
        <v>2.1368002737143885</v>
      </c>
      <c r="EX165" s="21">
        <f>EXP(-LN(2)/2)*EX164+(1-EXP(-LN(2)/2))/(LN(2)/2)*ER165*EU165*VLOOKUP('Données projet'!$B$15,Paramètres!$A$1:$I$89,3,0)*0.475*44/12</f>
        <v>1.4194356130471787E-14</v>
      </c>
      <c r="EY165" s="22">
        <f t="shared" si="181"/>
        <v>19.344638244393799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28.987919999999967</v>
      </c>
      <c r="D166" s="11">
        <f t="shared" si="140"/>
        <v>9.0274907867435896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58.690458758481292</v>
      </c>
      <c r="H166" s="67">
        <f t="shared" si="110"/>
        <v>322.87684045357838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5.1159076974727213E-13</v>
      </c>
      <c r="O166" s="13">
        <f>N166*VLOOKUP('Données projet'!$B$9,Paramètres!$A$1:$I$89,3,0)*VLOOKUP('Données projet'!$B$9,Paramètres!$A$1:$I$89,5,0)</f>
        <v>2.3942448024172334E-13</v>
      </c>
      <c r="P166" s="13">
        <f t="shared" si="141"/>
        <v>3.2492669905861755E-12</v>
      </c>
      <c r="Q166" s="20">
        <f t="shared" si="162"/>
        <v>6.0761376450252565E-12</v>
      </c>
      <c r="R166" s="59">
        <f t="shared" si="109"/>
        <v>293.3333333333394</v>
      </c>
      <c r="S166" s="59">
        <f ca="1">AVERAGE(OFFSET($R$3,0,0,'Données projet'!$E$9+1,1))-AVERAGE(OFFSET($H$3,0,0,'Données projet'!$E$9+1,1))</f>
        <v>223.99456146593315</v>
      </c>
      <c r="T166" s="59">
        <f t="shared" si="142"/>
        <v>132.73290587325937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45.891534654002093</v>
      </c>
      <c r="AA166" s="21">
        <f>EXP(-LN(2)/25)*AA165+(1-EXP(-LN(2)/25))/(LN(2)/25)*Calculateur!V166*Calculateur!X166*VLOOKUP('Données projet'!$B$9,Paramètres!$A$1:$I$89,3,0)*0.475*44/12</f>
        <v>7.4392832546223593</v>
      </c>
      <c r="AB166" s="21">
        <f>EXP(-LN(2)/2)*AB165+(1-EXP(-LN(2)/2))/(LN(2)/2)*V166*Y166*VLOOKUP('Données projet'!$B$9,Paramètres!$A$1:$I$89,3,0)*0.475*44/12</f>
        <v>1.3670838866169273E-7</v>
      </c>
      <c r="AC166" s="22">
        <f t="shared" si="163"/>
        <v>53.33081804533284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8.5265128291212022E-14</v>
      </c>
      <c r="AJ166" s="13">
        <f>AI166*VLOOKUP('Données projet'!$B$10,Paramètres!$A$1:$I$89,3,0)*VLOOKUP('Données projet'!$B$10,Paramètres!$A$1:$I$89,5,0)</f>
        <v>5.5865712056402117E-14</v>
      </c>
      <c r="AK166" s="13">
        <f t="shared" si="164"/>
        <v>8.9811031843713517E-13</v>
      </c>
      <c r="AL166" s="20">
        <f t="shared" si="165"/>
        <v>1.6615082531095774E-12</v>
      </c>
      <c r="AM166" s="59">
        <f t="shared" si="113"/>
        <v>293.33333333333496</v>
      </c>
      <c r="AN166" s="59">
        <f ca="1">AVERAGE(OFFSET($AM$3,0,0,'Données projet'!$E$10+1,1))-AVERAGE(OFFSET($H$3,0,0,'Données projet'!$E$10+1,1))</f>
        <v>244.43587473734613</v>
      </c>
      <c r="AO166" s="59">
        <f t="shared" si="144"/>
        <v>256.80261402149375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4.3419191189899484</v>
      </c>
      <c r="AV166" s="21">
        <f>EXP(-LN(2)/25)*AV165+(1-EXP(-LN(2)/25))/(LN(2)/25)*Calculateur!AQ166*Calculateur!AS166*VLOOKUP('Données projet'!$B$10,Paramètres!$A$1:$I$89,3,0)*0.475*44/12</f>
        <v>6.6762791712137393</v>
      </c>
      <c r="AW166" s="21">
        <f>EXP(-LN(2)/2)*AW165+(1-EXP(-LN(2)/2))/(LN(2)/2)*AQ166*AT166*VLOOKUP('Données projet'!$B$10,Paramètres!$A$1:$I$89,3,0)*0.475*44/12</f>
        <v>3.2229874896083226E-10</v>
      </c>
      <c r="AX166" s="21">
        <f t="shared" si="166"/>
        <v>11.018198290525987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-1.2710188457276673E-13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430.60186171079067</v>
      </c>
      <c r="BJ166" s="59">
        <f t="shared" si="146"/>
        <v>533.76627289533985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33.654903091388121</v>
      </c>
      <c r="BQ166" s="21">
        <f>EXP(-LN(2)/25)*BQ165+(1-EXP(-LN(2)/25))/(LN(2)/25)*Calculateur!BL166*Calculateur!BN166*VLOOKUP('Données projet'!$B$11,Paramètres!$A$1:$I$89,3,0)*0.475*44/12</f>
        <v>3.7051577850073003</v>
      </c>
      <c r="BR166" s="21">
        <f>EXP(-LN(2)/2)*BR165+(1-EXP(-LN(2)/2))/(LN(2)/2)*BL166*BO166*VLOOKUP('Données projet'!$B$11,Paramètres!$A$1:$I$89,3,0)*0.475*44/12</f>
        <v>1.7685788494466446E-14</v>
      </c>
      <c r="BS166" s="22">
        <f t="shared" si="169"/>
        <v>37.360060876395437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-1.69961822393816E-13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215.89467197072673</v>
      </c>
      <c r="CE166" s="59">
        <f t="shared" si="148"/>
        <v>188.21397398859534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22.068708795854871</v>
      </c>
      <c r="CL166" s="21">
        <f>EXP(-LN(2)/25)*CL165+(1-EXP(-LN(2)/25))/(LN(2)/25)*Calculateur!CG166*Calculateur!CI166*VLOOKUP('Données projet'!$B$12,Paramètres!$A$1:$I$89,3,0)*0.475*44/12</f>
        <v>2.8022331059247039</v>
      </c>
      <c r="CM166" s="21">
        <f>EXP(-LN(2)/2)*CM165+(1-EXP(-LN(2)/2))/(LN(2)/2)*CG166*CJ166*VLOOKUP('Données projet'!$B$12,Paramètres!$A$1:$I$89,3,0)*0.475*44/12</f>
        <v>8.9639796170509265E-12</v>
      </c>
      <c r="CN166" s="22">
        <f t="shared" si="172"/>
        <v>24.870941901788537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5.1821581196581166</v>
      </c>
      <c r="CT166" s="12">
        <f>IF('Données projet'!$A$140&gt;35,CT165+CS166-DB165,IF(A166&lt;'Données projet'!$A$140,$CQ$205^A166,IF(A166='Données projet'!$A$140,'Données projet'!$B$140,CT165+CS166-DB165)))</f>
        <v>273.40972222222229</v>
      </c>
      <c r="CU166" s="17">
        <f>CT166*VLOOKUP('Données projet'!$B$13,Paramètres!$A$1:$I$89,3,0)*VLOOKUP('Données projet'!$B$13,Paramètres!$A$1:$I$89,5,0)</f>
        <v>277.23745833333339</v>
      </c>
      <c r="CV166" s="13">
        <f t="shared" si="173"/>
        <v>66.38286794728478</v>
      </c>
      <c r="CW166" s="20">
        <f t="shared" si="174"/>
        <v>598.47206827207674</v>
      </c>
      <c r="CX166" s="59">
        <f t="shared" si="122"/>
        <v>891.80540160541</v>
      </c>
      <c r="CY166" s="59">
        <f ca="1">AVERAGE(OFFSET($CX$3,0,0,'Données projet'!$E$13+1,1))-AVERAGE(OFFSET($H$3,0,0,'Données projet'!$E$13+1,1))</f>
        <v>342.82846711287749</v>
      </c>
      <c r="CZ166" s="59">
        <f t="shared" si="150"/>
        <v>152.87724741106297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40.914987495455733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40.914987495455733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208.48147873805715</v>
      </c>
      <c r="DU166" s="59">
        <f t="shared" si="152"/>
        <v>209.50570914630686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11.242043024918985</v>
      </c>
      <c r="EB166" s="21">
        <f>EXP(-LN(2)/25)*EB165+(1-EXP(-LN(2)/25))/(LN(2)/25)*Calculateur!DW166*Calculateur!DY166*VLOOKUP('Données projet'!$B$14,Paramètres!$A$1:$I$89,3,0)*0.475*44/12</f>
        <v>1.9129233638661056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13.154966388785091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-1.7053025658242404E-13</v>
      </c>
      <c r="EK166" s="17">
        <f>EJ166*VLOOKUP('Données projet'!$B$15,Paramètres!$A$1:$I$89,3,0)*VLOOKUP('Données projet'!$B$15,Paramètres!$A$1:$I$89,5,0)</f>
        <v>-1.0197709343628959E-13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247.31680974612766</v>
      </c>
      <c r="EP166" s="59">
        <f t="shared" si="154"/>
        <v>257.13949761071882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16.870402763819165</v>
      </c>
      <c r="EW166" s="21">
        <f>EXP(-LN(2)/25)*EW165+(1-EXP(-LN(2)/25))/(LN(2)/25)*Calculateur!ER166*Calculateur!ET166*VLOOKUP('Données projet'!$B$15,Paramètres!$A$1:$I$89,3,0)*0.475*44/12</f>
        <v>2.0783693578602258</v>
      </c>
      <c r="EX166" s="21">
        <f>EXP(-LN(2)/2)*EX165+(1-EXP(-LN(2)/2))/(LN(2)/2)*ER166*EU166*VLOOKUP('Données projet'!$B$15,Paramètres!$A$1:$I$89,3,0)*0.475*44/12</f>
        <v>1.0036925474433444E-14</v>
      </c>
      <c r="EY166" s="22">
        <f t="shared" si="181"/>
        <v>18.948772121679401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29.165759999999967</v>
      </c>
      <c r="D167" s="11">
        <f t="shared" si="140"/>
        <v>9.0764101071203083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59.040543323273418</v>
      </c>
      <c r="H167" s="67">
        <f t="shared" si="110"/>
        <v>323.27177960323451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5.1159076974727213E-13</v>
      </c>
      <c r="O167" s="13">
        <f>N167*VLOOKUP('Données projet'!$B$9,Paramètres!$A$1:$I$89,3,0)*VLOOKUP('Données projet'!$B$9,Paramètres!$A$1:$I$89,5,0)</f>
        <v>2.3942448024172334E-13</v>
      </c>
      <c r="P167" s="13">
        <f t="shared" si="141"/>
        <v>3.2492669905861755E-12</v>
      </c>
      <c r="Q167" s="20">
        <f t="shared" si="162"/>
        <v>6.0761376450252565E-12</v>
      </c>
      <c r="R167" s="59">
        <f t="shared" si="109"/>
        <v>293.3333333333394</v>
      </c>
      <c r="S167" s="59">
        <f ca="1">AVERAGE(OFFSET($R$3,0,0,'Données projet'!$E$9+1,1))-AVERAGE(OFFSET($H$3,0,0,'Données projet'!$E$9+1,1))</f>
        <v>223.99456146593315</v>
      </c>
      <c r="T167" s="59">
        <f t="shared" si="142"/>
        <v>132.73290587325937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44.99162965050936</v>
      </c>
      <c r="AA167" s="21">
        <f>EXP(-LN(2)/25)*AA166+(1-EXP(-LN(2)/25))/(LN(2)/25)*Calculateur!V167*Calculateur!X167*VLOOKUP('Données projet'!$B$9,Paramètres!$A$1:$I$89,3,0)*0.475*44/12</f>
        <v>7.235855662809807</v>
      </c>
      <c r="AB167" s="21">
        <f>EXP(-LN(2)/2)*AB166+(1-EXP(-LN(2)/2))/(LN(2)/2)*V167*Y167*VLOOKUP('Données projet'!$B$9,Paramètres!$A$1:$I$89,3,0)*0.475*44/12</f>
        <v>9.6667428667769057E-8</v>
      </c>
      <c r="AC167" s="22">
        <f t="shared" si="163"/>
        <v>52.227485409986592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8.5265128291212022E-14</v>
      </c>
      <c r="AJ167" s="13">
        <f>AI167*VLOOKUP('Données projet'!$B$10,Paramètres!$A$1:$I$89,3,0)*VLOOKUP('Données projet'!$B$10,Paramètres!$A$1:$I$89,5,0)</f>
        <v>5.5865712056402117E-14</v>
      </c>
      <c r="AK167" s="13">
        <f t="shared" si="164"/>
        <v>8.9811031843713517E-13</v>
      </c>
      <c r="AL167" s="20">
        <f t="shared" si="165"/>
        <v>1.6615082531095774E-12</v>
      </c>
      <c r="AM167" s="59">
        <f t="shared" si="113"/>
        <v>293.33333333333496</v>
      </c>
      <c r="AN167" s="59">
        <f ca="1">AVERAGE(OFFSET($AM$3,0,0,'Données projet'!$E$10+1,1))-AVERAGE(OFFSET($H$3,0,0,'Données projet'!$E$10+1,1))</f>
        <v>244.43587473734613</v>
      </c>
      <c r="AO167" s="59">
        <f t="shared" si="144"/>
        <v>256.80261402149375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4.2567767333757196</v>
      </c>
      <c r="AV167" s="21">
        <f>EXP(-LN(2)/25)*AV166+(1-EXP(-LN(2)/25))/(LN(2)/25)*Calculateur!AQ167*Calculateur!AS167*VLOOKUP('Données projet'!$B$10,Paramètres!$A$1:$I$89,3,0)*0.475*44/12</f>
        <v>6.4937159661866364</v>
      </c>
      <c r="AW167" s="21">
        <f>EXP(-LN(2)/2)*AW166+(1-EXP(-LN(2)/2))/(LN(2)/2)*AQ167*AT167*VLOOKUP('Données projet'!$B$10,Paramètres!$A$1:$I$89,3,0)*0.475*44/12</f>
        <v>2.2789963095814524E-10</v>
      </c>
      <c r="AX167" s="21">
        <f t="shared" si="166"/>
        <v>10.750492699790255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-1.2710188457276673E-13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430.60186171079067</v>
      </c>
      <c r="BJ167" s="59">
        <f t="shared" si="146"/>
        <v>533.76627289533985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32.994950969229969</v>
      </c>
      <c r="BQ167" s="21">
        <f>EXP(-LN(2)/25)*BQ166+(1-EXP(-LN(2)/25))/(LN(2)/25)*Calculateur!BL167*Calculateur!BN167*VLOOKUP('Données projet'!$B$11,Paramètres!$A$1:$I$89,3,0)*0.475*44/12</f>
        <v>3.6038400505304962</v>
      </c>
      <c r="BR167" s="21">
        <f>EXP(-LN(2)/2)*BR166+(1-EXP(-LN(2)/2))/(LN(2)/2)*BL167*BO167*VLOOKUP('Données projet'!$B$11,Paramètres!$A$1:$I$89,3,0)*0.475*44/12</f>
        <v>1.2505740975068245E-14</v>
      </c>
      <c r="BS167" s="22">
        <f t="shared" si="169"/>
        <v>36.598791019760476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-1.69961822393816E-13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215.89467197072673</v>
      </c>
      <c r="CE167" s="59">
        <f t="shared" si="148"/>
        <v>188.21397398859534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21.635954876951399</v>
      </c>
      <c r="CL167" s="21">
        <f>EXP(-LN(2)/25)*CL166+(1-EXP(-LN(2)/25))/(LN(2)/25)*Calculateur!CG167*Calculateur!CI167*VLOOKUP('Données projet'!$B$12,Paramètres!$A$1:$I$89,3,0)*0.475*44/12</f>
        <v>2.7256058942801582</v>
      </c>
      <c r="CM167" s="21">
        <f>EXP(-LN(2)/2)*CM166+(1-EXP(-LN(2)/2))/(LN(2)/2)*CG167*CJ167*VLOOKUP('Données projet'!$B$12,Paramètres!$A$1:$I$89,3,0)*0.475*44/12</f>
        <v>6.3384907736347017E-12</v>
      </c>
      <c r="CN167" s="22">
        <f t="shared" si="172"/>
        <v>24.361560771237894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5.1821581196581166</v>
      </c>
      <c r="CT167" s="12">
        <f>IF('Données projet'!$A$140&gt;35,CT166+CS167-DB166,IF(A167&lt;'Données projet'!$A$140,$CQ$205^A167,IF(A167='Données projet'!$A$140,'Données projet'!$B$140,CT166+CS167-DB166)))</f>
        <v>278.59188034188043</v>
      </c>
      <c r="CU167" s="17">
        <f>CT167*VLOOKUP('Données projet'!$B$13,Paramètres!$A$1:$I$89,3,0)*VLOOKUP('Données projet'!$B$13,Paramètres!$A$1:$I$89,5,0)</f>
        <v>282.49216666666678</v>
      </c>
      <c r="CV167" s="13">
        <f t="shared" si="173"/>
        <v>67.493403417557772</v>
      </c>
      <c r="CW167" s="20">
        <f t="shared" si="174"/>
        <v>609.55820123002434</v>
      </c>
      <c r="CX167" s="59">
        <f t="shared" si="122"/>
        <v>902.89153456335771</v>
      </c>
      <c r="CY167" s="59">
        <f ca="1">AVERAGE(OFFSET($CX$3,0,0,'Données projet'!$E$13+1,1))-AVERAGE(OFFSET($H$3,0,0,'Données projet'!$E$13+1,1))</f>
        <v>342.82846711287749</v>
      </c>
      <c r="CZ167" s="59">
        <f t="shared" si="150"/>
        <v>152.87724741106297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40.112669546348052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40.112669546348052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208.48147873805715</v>
      </c>
      <c r="DU167" s="59">
        <f t="shared" si="152"/>
        <v>209.50570914630686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11.0215934181695</v>
      </c>
      <c r="EB167" s="21">
        <f>EXP(-LN(2)/25)*EB166+(1-EXP(-LN(2)/25))/(LN(2)/25)*Calculateur!DW167*Calculateur!DY167*VLOOKUP('Données projet'!$B$14,Paramètres!$A$1:$I$89,3,0)*0.475*44/12</f>
        <v>1.8606143738849192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12.88220779205442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-1.7053025658242404E-13</v>
      </c>
      <c r="EK167" s="17">
        <f>EJ167*VLOOKUP('Données projet'!$B$15,Paramètres!$A$1:$I$89,3,0)*VLOOKUP('Données projet'!$B$15,Paramètres!$A$1:$I$89,5,0)</f>
        <v>-1.0197709343628959E-13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247.31680974612766</v>
      </c>
      <c r="EP167" s="59">
        <f t="shared" si="154"/>
        <v>257.13949761071882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16.539584455550312</v>
      </c>
      <c r="EW167" s="21">
        <f>EXP(-LN(2)/25)*EW166+(1-EXP(-LN(2)/25))/(LN(2)/25)*Calculateur!ER167*Calculateur!ET167*VLOOKUP('Données projet'!$B$15,Paramètres!$A$1:$I$89,3,0)*0.475*44/12</f>
        <v>2.0215362384728435</v>
      </c>
      <c r="EX167" s="21">
        <f>EXP(-LN(2)/2)*EX166+(1-EXP(-LN(2)/2))/(LN(2)/2)*ER167*EU167*VLOOKUP('Données projet'!$B$15,Paramètres!$A$1:$I$89,3,0)*0.475*44/12</f>
        <v>7.0971780652358949E-15</v>
      </c>
      <c r="EY167" s="22">
        <f t="shared" si="181"/>
        <v>18.561120694023163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29.343599999999967</v>
      </c>
      <c r="D168" s="11">
        <f t="shared" si="140"/>
        <v>9.1252947188023068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59.390574302712288</v>
      </c>
      <c r="H168" s="67">
        <f t="shared" si="110"/>
        <v>323.66665830191397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5.1159076974727213E-13</v>
      </c>
      <c r="O168" s="13">
        <f>N168*VLOOKUP('Données projet'!$B$9,Paramètres!$A$1:$I$89,3,0)*VLOOKUP('Données projet'!$B$9,Paramètres!$A$1:$I$89,5,0)</f>
        <v>2.3942448024172334E-13</v>
      </c>
      <c r="P168" s="13">
        <f t="shared" si="141"/>
        <v>3.2492669905861755E-12</v>
      </c>
      <c r="Q168" s="20">
        <f t="shared" si="162"/>
        <v>6.0761376450252565E-12</v>
      </c>
      <c r="R168" s="59">
        <f t="shared" si="109"/>
        <v>293.3333333333394</v>
      </c>
      <c r="S168" s="59">
        <f ca="1">AVERAGE(OFFSET($R$3,0,0,'Données projet'!$E$9+1,1))-AVERAGE(OFFSET($H$3,0,0,'Données projet'!$E$9+1,1))</f>
        <v>223.99456146593315</v>
      </c>
      <c r="T168" s="59">
        <f t="shared" si="142"/>
        <v>132.73290587325937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44.109371235247266</v>
      </c>
      <c r="AA168" s="21">
        <f>EXP(-LN(2)/25)*AA167+(1-EXP(-LN(2)/25))/(LN(2)/25)*Calculateur!V168*Calculateur!X168*VLOOKUP('Données projet'!$B$9,Paramètres!$A$1:$I$89,3,0)*0.475*44/12</f>
        <v>7.0379908091931611</v>
      </c>
      <c r="AB168" s="21">
        <f>EXP(-LN(2)/2)*AB167+(1-EXP(-LN(2)/2))/(LN(2)/2)*V168*Y168*VLOOKUP('Données projet'!$B$9,Paramètres!$A$1:$I$89,3,0)*0.475*44/12</f>
        <v>6.8354194330846364E-8</v>
      </c>
      <c r="AC168" s="22">
        <f t="shared" si="163"/>
        <v>51.147362112794625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8.5265128291212022E-14</v>
      </c>
      <c r="AJ168" s="13">
        <f>AI168*VLOOKUP('Données projet'!$B$10,Paramètres!$A$1:$I$89,3,0)*VLOOKUP('Données projet'!$B$10,Paramètres!$A$1:$I$89,5,0)</f>
        <v>5.5865712056402117E-14</v>
      </c>
      <c r="AK168" s="13">
        <f t="shared" si="164"/>
        <v>8.9811031843713517E-13</v>
      </c>
      <c r="AL168" s="20">
        <f t="shared" si="165"/>
        <v>1.6615082531095774E-12</v>
      </c>
      <c r="AM168" s="59">
        <f t="shared" si="113"/>
        <v>293.33333333333496</v>
      </c>
      <c r="AN168" s="59">
        <f ca="1">AVERAGE(OFFSET($AM$3,0,0,'Données projet'!$E$10+1,1))-AVERAGE(OFFSET($H$3,0,0,'Données projet'!$E$10+1,1))</f>
        <v>244.43587473734613</v>
      </c>
      <c r="AO168" s="59">
        <f t="shared" si="144"/>
        <v>256.80261402149375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4.1733039380116583</v>
      </c>
      <c r="AV168" s="21">
        <f>EXP(-LN(2)/25)*AV167+(1-EXP(-LN(2)/25))/(LN(2)/25)*Calculateur!AQ168*Calculateur!AS168*VLOOKUP('Données projet'!$B$10,Paramètres!$A$1:$I$89,3,0)*0.475*44/12</f>
        <v>6.3161449616015819</v>
      </c>
      <c r="AW168" s="21">
        <f>EXP(-LN(2)/2)*AW167+(1-EXP(-LN(2)/2))/(LN(2)/2)*AQ168*AT168*VLOOKUP('Données projet'!$B$10,Paramètres!$A$1:$I$89,3,0)*0.475*44/12</f>
        <v>1.6114937448041615E-10</v>
      </c>
      <c r="AX168" s="21">
        <f t="shared" si="166"/>
        <v>10.48944889977439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-1.2710188457276673E-13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430.60186171079067</v>
      </c>
      <c r="BJ168" s="59">
        <f t="shared" si="146"/>
        <v>533.76627289533985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32.347940105656285</v>
      </c>
      <c r="BQ168" s="21">
        <f>EXP(-LN(2)/25)*BQ167+(1-EXP(-LN(2)/25))/(LN(2)/25)*Calculateur!BL168*Calculateur!BN168*VLOOKUP('Données projet'!$B$11,Paramètres!$A$1:$I$89,3,0)*0.475*44/12</f>
        <v>3.505292854831028</v>
      </c>
      <c r="BR168" s="21">
        <f>EXP(-LN(2)/2)*BR167+(1-EXP(-LN(2)/2))/(LN(2)/2)*BL168*BO168*VLOOKUP('Données projet'!$B$11,Paramètres!$A$1:$I$89,3,0)*0.475*44/12</f>
        <v>8.842894247233223E-15</v>
      </c>
      <c r="BS168" s="22">
        <f t="shared" si="169"/>
        <v>35.853232960487318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-1.69961822393816E-13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215.89467197072673</v>
      </c>
      <c r="CE168" s="59">
        <f t="shared" si="148"/>
        <v>188.21397398859534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21.211686998443799</v>
      </c>
      <c r="CL168" s="21">
        <f>EXP(-LN(2)/25)*CL167+(1-EXP(-LN(2)/25))/(LN(2)/25)*Calculateur!CG168*Calculateur!CI168*VLOOKUP('Données projet'!$B$12,Paramètres!$A$1:$I$89,3,0)*0.475*44/12</f>
        <v>2.6510740577676826</v>
      </c>
      <c r="CM168" s="21">
        <f>EXP(-LN(2)/2)*CM167+(1-EXP(-LN(2)/2))/(LN(2)/2)*CG168*CJ168*VLOOKUP('Données projet'!$B$12,Paramètres!$A$1:$I$89,3,0)*0.475*44/12</f>
        <v>4.4819898085254633E-12</v>
      </c>
      <c r="CN168" s="22">
        <f t="shared" si="172"/>
        <v>23.862761056215966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5.1821581196581166</v>
      </c>
      <c r="CT168" s="12">
        <f>IF('Données projet'!$A$140&gt;35,CT167+CS168-DB167,IF(A168&lt;'Données projet'!$A$140,$CQ$205^A168,IF(A168='Données projet'!$A$140,'Données projet'!$B$140,CT167+CS168-DB167)))</f>
        <v>283.77403846153857</v>
      </c>
      <c r="CU168" s="17">
        <f>CT168*VLOOKUP('Données projet'!$B$13,Paramètres!$A$1:$I$89,3,0)*VLOOKUP('Données projet'!$B$13,Paramètres!$A$1:$I$89,5,0)</f>
        <v>287.74687500000016</v>
      </c>
      <c r="CV168" s="13">
        <f t="shared" si="173"/>
        <v>68.601536826910021</v>
      </c>
      <c r="CW168" s="20">
        <f t="shared" si="174"/>
        <v>620.64015059853523</v>
      </c>
      <c r="CX168" s="59">
        <f t="shared" si="122"/>
        <v>913.97348393186849</v>
      </c>
      <c r="CY168" s="59">
        <f ca="1">AVERAGE(OFFSET($CX$3,0,0,'Données projet'!$E$13+1,1))-AVERAGE(OFFSET($H$3,0,0,'Données projet'!$E$13+1,1))</f>
        <v>342.82846711287749</v>
      </c>
      <c r="CZ168" s="59">
        <f t="shared" si="150"/>
        <v>152.87724741106297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39.326084562856742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39.326084562856742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208.48147873805715</v>
      </c>
      <c r="DU168" s="59">
        <f t="shared" si="152"/>
        <v>209.50570914630686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10.805466693747389</v>
      </c>
      <c r="EB168" s="21">
        <f>EXP(-LN(2)/25)*EB167+(1-EXP(-LN(2)/25))/(LN(2)/25)*Calculateur!DW168*Calculateur!DY168*VLOOKUP('Données projet'!$B$14,Paramètres!$A$1:$I$89,3,0)*0.475*44/12</f>
        <v>1.8097357759855788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12.615202469732967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-1.7053025658242404E-13</v>
      </c>
      <c r="EK168" s="17">
        <f>EJ168*VLOOKUP('Données projet'!$B$15,Paramètres!$A$1:$I$89,3,0)*VLOOKUP('Données projet'!$B$15,Paramètres!$A$1:$I$89,5,0)</f>
        <v>-1.0197709343628959E-13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247.31680974612766</v>
      </c>
      <c r="EP168" s="59">
        <f t="shared" si="154"/>
        <v>257.13949761071882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16.215253292527365</v>
      </c>
      <c r="EW168" s="21">
        <f>EXP(-LN(2)/25)*EW167+(1-EXP(-LN(2)/25))/(LN(2)/25)*Calculateur!ER168*Calculateur!ET168*VLOOKUP('Données projet'!$B$15,Paramètres!$A$1:$I$89,3,0)*0.475*44/12</f>
        <v>1.9662572237238332</v>
      </c>
      <c r="EX168" s="21">
        <f>EXP(-LN(2)/2)*EX167+(1-EXP(-LN(2)/2))/(LN(2)/2)*ER168*EU168*VLOOKUP('Données projet'!$B$15,Paramètres!$A$1:$I$89,3,0)*0.475*44/12</f>
        <v>5.018462737216723E-15</v>
      </c>
      <c r="EY168" s="22">
        <f t="shared" si="181"/>
        <v>18.181510516251201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29.521439999999966</v>
      </c>
      <c r="D169" s="11">
        <f t="shared" si="140"/>
        <v>9.1741448565507913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59.740552059236272</v>
      </c>
      <c r="H169" s="67">
        <f t="shared" si="110"/>
        <v>324.06147695849256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5.1159076974727213E-13</v>
      </c>
      <c r="O169" s="13">
        <f>N169*VLOOKUP('Données projet'!$B$9,Paramètres!$A$1:$I$89,3,0)*VLOOKUP('Données projet'!$B$9,Paramètres!$A$1:$I$89,5,0)</f>
        <v>2.3942448024172334E-13</v>
      </c>
      <c r="P169" s="13">
        <f t="shared" si="141"/>
        <v>3.2492669905861755E-12</v>
      </c>
      <c r="Q169" s="20">
        <f t="shared" si="162"/>
        <v>6.0761376450252565E-12</v>
      </c>
      <c r="R169" s="59">
        <f t="shared" si="109"/>
        <v>293.3333333333394</v>
      </c>
      <c r="S169" s="59">
        <f ca="1">AVERAGE(OFFSET($R$3,0,0,'Données projet'!$E$9+1,1))-AVERAGE(OFFSET($H$3,0,0,'Données projet'!$E$9+1,1))</f>
        <v>223.99456146593315</v>
      </c>
      <c r="T169" s="59">
        <f t="shared" si="142"/>
        <v>132.73290587325937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43.244413369383963</v>
      </c>
      <c r="AA169" s="21">
        <f>EXP(-LN(2)/25)*AA168+(1-EXP(-LN(2)/25))/(LN(2)/25)*Calculateur!V169*Calculateur!X169*VLOOKUP('Données projet'!$B$9,Paramètres!$A$1:$I$89,3,0)*0.475*44/12</f>
        <v>6.8455365804039232</v>
      </c>
      <c r="AB169" s="21">
        <f>EXP(-LN(2)/2)*AB168+(1-EXP(-LN(2)/2))/(LN(2)/2)*V169*Y169*VLOOKUP('Données projet'!$B$9,Paramètres!$A$1:$I$89,3,0)*0.475*44/12</f>
        <v>4.8333714333884528E-8</v>
      </c>
      <c r="AC169" s="22">
        <f t="shared" si="163"/>
        <v>50.089949998121604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8.5265128291212022E-14</v>
      </c>
      <c r="AJ169" s="13">
        <f>AI169*VLOOKUP('Données projet'!$B$10,Paramètres!$A$1:$I$89,3,0)*VLOOKUP('Données projet'!$B$10,Paramètres!$A$1:$I$89,5,0)</f>
        <v>5.5865712056402117E-14</v>
      </c>
      <c r="AK169" s="13">
        <f t="shared" si="164"/>
        <v>8.9811031843713517E-13</v>
      </c>
      <c r="AL169" s="20">
        <f t="shared" si="165"/>
        <v>1.6615082531095774E-12</v>
      </c>
      <c r="AM169" s="59">
        <f t="shared" si="113"/>
        <v>293.33333333333496</v>
      </c>
      <c r="AN169" s="59">
        <f ca="1">AVERAGE(OFFSET($AM$3,0,0,'Données projet'!$E$10+1,1))-AVERAGE(OFFSET($H$3,0,0,'Données projet'!$E$10+1,1))</f>
        <v>244.43587473734613</v>
      </c>
      <c r="AO169" s="59">
        <f t="shared" si="144"/>
        <v>256.80261402149375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4.0914679932513085</v>
      </c>
      <c r="AV169" s="21">
        <f>EXP(-LN(2)/25)*AV168+(1-EXP(-LN(2)/25))/(LN(2)/25)*Calculateur!AQ169*Calculateur!AS169*VLOOKUP('Données projet'!$B$10,Paramètres!$A$1:$I$89,3,0)*0.475*44/12</f>
        <v>6.1434296454749591</v>
      </c>
      <c r="AW169" s="21">
        <f>EXP(-LN(2)/2)*AW168+(1-EXP(-LN(2)/2))/(LN(2)/2)*AQ169*AT169*VLOOKUP('Données projet'!$B$10,Paramètres!$A$1:$I$89,3,0)*0.475*44/12</f>
        <v>1.1394981547907265E-10</v>
      </c>
      <c r="AX169" s="21">
        <f t="shared" si="166"/>
        <v>10.234897638840216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-1.2710188457276673E-13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430.60186171079067</v>
      </c>
      <c r="BJ169" s="59">
        <f t="shared" si="146"/>
        <v>533.76627289533985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31.713616730479625</v>
      </c>
      <c r="BQ169" s="21">
        <f>EXP(-LN(2)/25)*BQ168+(1-EXP(-LN(2)/25))/(LN(2)/25)*Calculateur!BL169*Calculateur!BN169*VLOOKUP('Données projet'!$B$11,Paramètres!$A$1:$I$89,3,0)*0.475*44/12</f>
        <v>3.4094404373803338</v>
      </c>
      <c r="BR169" s="21">
        <f>EXP(-LN(2)/2)*BR168+(1-EXP(-LN(2)/2))/(LN(2)/2)*BL169*BO169*VLOOKUP('Données projet'!$B$11,Paramètres!$A$1:$I$89,3,0)*0.475*44/12</f>
        <v>6.2528704875341227E-15</v>
      </c>
      <c r="BS169" s="22">
        <f t="shared" si="169"/>
        <v>35.123057167859969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-1.69961822393816E-13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215.89467197072673</v>
      </c>
      <c r="CE169" s="59">
        <f t="shared" si="148"/>
        <v>188.21397398859534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20.795738754255879</v>
      </c>
      <c r="CL169" s="21">
        <f>EXP(-LN(2)/25)*CL168+(1-EXP(-LN(2)/25))/(LN(2)/25)*Calculateur!CG169*Calculateur!CI169*VLOOKUP('Données projet'!$B$12,Paramètres!$A$1:$I$89,3,0)*0.475*44/12</f>
        <v>2.5785802982440997</v>
      </c>
      <c r="CM169" s="21">
        <f>EXP(-LN(2)/2)*CM168+(1-EXP(-LN(2)/2))/(LN(2)/2)*CG169*CJ169*VLOOKUP('Données projet'!$B$12,Paramètres!$A$1:$I$89,3,0)*0.475*44/12</f>
        <v>3.1692453868173508E-12</v>
      </c>
      <c r="CN169" s="22">
        <f t="shared" si="172"/>
        <v>23.374319052503147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5.1821581196581166</v>
      </c>
      <c r="CT169" s="12">
        <f>IF('Données projet'!$A$140&gt;35,CT168+CS169-DB168,IF(A169&lt;'Données projet'!$A$140,$CQ$205^A169,IF(A169='Données projet'!$A$140,'Données projet'!$B$140,CT168+CS169-DB168)))</f>
        <v>288.95619658119671</v>
      </c>
      <c r="CU169" s="17">
        <f>CT169*VLOOKUP('Données projet'!$B$13,Paramètres!$A$1:$I$89,3,0)*VLOOKUP('Données projet'!$B$13,Paramètres!$A$1:$I$89,5,0)</f>
        <v>293.00158333333349</v>
      </c>
      <c r="CV169" s="13">
        <f t="shared" si="173"/>
        <v>69.707317100138283</v>
      </c>
      <c r="CW169" s="20">
        <f t="shared" si="174"/>
        <v>631.7180015882966</v>
      </c>
      <c r="CX169" s="59">
        <f t="shared" si="122"/>
        <v>925.05133492162986</v>
      </c>
      <c r="CY169" s="59">
        <f ca="1">AVERAGE(OFFSET($CX$3,0,0,'Données projet'!$E$13+1,1))-AVERAGE(OFFSET($H$3,0,0,'Données projet'!$E$13+1,1))</f>
        <v>342.82846711287749</v>
      </c>
      <c r="CZ169" s="59">
        <f t="shared" si="150"/>
        <v>152.87724741106297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38.554924031122233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38.554924031122233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208.48147873805715</v>
      </c>
      <c r="DU169" s="59">
        <f t="shared" si="152"/>
        <v>209.50570914630686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10.593578082566911</v>
      </c>
      <c r="EB169" s="21">
        <f>EXP(-LN(2)/25)*EB168+(1-EXP(-LN(2)/25))/(LN(2)/25)*Calculateur!DW169*Calculateur!DY169*VLOOKUP('Données projet'!$B$14,Paramètres!$A$1:$I$89,3,0)*0.475*44/12</f>
        <v>1.7602484560213849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12.353826538588295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-1.7053025658242404E-13</v>
      </c>
      <c r="EK169" s="17">
        <f>EJ169*VLOOKUP('Données projet'!$B$15,Paramètres!$A$1:$I$89,3,0)*VLOOKUP('Données projet'!$B$15,Paramètres!$A$1:$I$89,5,0)</f>
        <v>-1.0197709343628959E-13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247.31680974612766</v>
      </c>
      <c r="EP169" s="59">
        <f t="shared" si="154"/>
        <v>257.13949761071882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15.897282065788822</v>
      </c>
      <c r="EW169" s="21">
        <f>EXP(-LN(2)/25)*EW168+(1-EXP(-LN(2)/25))/(LN(2)/25)*Calculateur!ER169*Calculateur!ET169*VLOOKUP('Données projet'!$B$15,Paramètres!$A$1:$I$89,3,0)*0.475*44/12</f>
        <v>1.9124898165401314</v>
      </c>
      <c r="EX169" s="21">
        <f>EXP(-LN(2)/2)*EX168+(1-EXP(-LN(2)/2))/(LN(2)/2)*ER169*EU169*VLOOKUP('Données projet'!$B$15,Paramètres!$A$1:$I$89,3,0)*0.475*44/12</f>
        <v>3.5485890326179478E-15</v>
      </c>
      <c r="EY169" s="22">
        <f t="shared" si="181"/>
        <v>17.809771882328956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29.699279999999966</v>
      </c>
      <c r="D170" s="11">
        <f t="shared" si="140"/>
        <v>9.2229607521348917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60.090476950664346</v>
      </c>
      <c r="H170" s="67">
        <f t="shared" si="110"/>
        <v>324.4562359766349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5.1159076974727213E-13</v>
      </c>
      <c r="O170" s="13">
        <f>N170*VLOOKUP('Données projet'!$B$9,Paramètres!$A$1:$I$89,3,0)*VLOOKUP('Données projet'!$B$9,Paramètres!$A$1:$I$89,5,0)</f>
        <v>2.3942448024172334E-13</v>
      </c>
      <c r="P170" s="13">
        <f t="shared" si="141"/>
        <v>3.2492669905861755E-12</v>
      </c>
      <c r="Q170" s="20">
        <f t="shared" si="162"/>
        <v>6.0761376450252565E-12</v>
      </c>
      <c r="R170" s="59">
        <f t="shared" si="109"/>
        <v>293.3333333333394</v>
      </c>
      <c r="S170" s="59">
        <f ca="1">AVERAGE(OFFSET($R$3,0,0,'Données projet'!$E$9+1,1))-AVERAGE(OFFSET($H$3,0,0,'Données projet'!$E$9+1,1))</f>
        <v>223.99456146593315</v>
      </c>
      <c r="T170" s="59">
        <f t="shared" si="142"/>
        <v>132.73290587325937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42.396416799698038</v>
      </c>
      <c r="AA170" s="21">
        <f>EXP(-LN(2)/25)*AA169+(1-EXP(-LN(2)/25))/(LN(2)/25)*Calculateur!V170*Calculateur!X170*VLOOKUP('Données projet'!$B$9,Paramètres!$A$1:$I$89,3,0)*0.475*44/12</f>
        <v>6.6583450226216545</v>
      </c>
      <c r="AB170" s="21">
        <f>EXP(-LN(2)/2)*AB169+(1-EXP(-LN(2)/2))/(LN(2)/2)*V170*Y170*VLOOKUP('Données projet'!$B$9,Paramètres!$A$1:$I$89,3,0)*0.475*44/12</f>
        <v>3.4177097165423182E-8</v>
      </c>
      <c r="AC170" s="22">
        <f t="shared" si="163"/>
        <v>49.054761856496789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8.5265128291212022E-14</v>
      </c>
      <c r="AJ170" s="13">
        <f>AI170*VLOOKUP('Données projet'!$B$10,Paramètres!$A$1:$I$89,3,0)*VLOOKUP('Données projet'!$B$10,Paramètres!$A$1:$I$89,5,0)</f>
        <v>5.5865712056402117E-14</v>
      </c>
      <c r="AK170" s="13">
        <f t="shared" si="164"/>
        <v>8.9811031843713517E-13</v>
      </c>
      <c r="AL170" s="20">
        <f t="shared" si="165"/>
        <v>1.6615082531095774E-12</v>
      </c>
      <c r="AM170" s="59">
        <f t="shared" si="113"/>
        <v>293.33333333333496</v>
      </c>
      <c r="AN170" s="59">
        <f ca="1">AVERAGE(OFFSET($AM$3,0,0,'Données projet'!$E$10+1,1))-AVERAGE(OFFSET($H$3,0,0,'Données projet'!$E$10+1,1))</f>
        <v>244.43587473734613</v>
      </c>
      <c r="AO170" s="59">
        <f t="shared" si="144"/>
        <v>256.80261402149375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4.0112368014527116</v>
      </c>
      <c r="AV170" s="21">
        <f>EXP(-LN(2)/25)*AV169+(1-EXP(-LN(2)/25))/(LN(2)/25)*Calculateur!AQ170*Calculateur!AS170*VLOOKUP('Données projet'!$B$10,Paramètres!$A$1:$I$89,3,0)*0.475*44/12</f>
        <v>5.9754372387505219</v>
      </c>
      <c r="AW170" s="21">
        <f>EXP(-LN(2)/2)*AW169+(1-EXP(-LN(2)/2))/(LN(2)/2)*AQ170*AT170*VLOOKUP('Données projet'!$B$10,Paramètres!$A$1:$I$89,3,0)*0.475*44/12</f>
        <v>8.057468724020809E-11</v>
      </c>
      <c r="AX170" s="21">
        <f t="shared" si="166"/>
        <v>9.986674040283809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-1.2710188457276673E-13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430.60186171079067</v>
      </c>
      <c r="BJ170" s="59">
        <f t="shared" si="146"/>
        <v>533.76627289533985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31.091732049791123</v>
      </c>
      <c r="BQ170" s="21">
        <f>EXP(-LN(2)/25)*BQ169+(1-EXP(-LN(2)/25))/(LN(2)/25)*Calculateur!BL170*Calculateur!BN170*VLOOKUP('Données projet'!$B$11,Paramètres!$A$1:$I$89,3,0)*0.475*44/12</f>
        <v>3.3162091093254884</v>
      </c>
      <c r="BR170" s="21">
        <f>EXP(-LN(2)/2)*BR169+(1-EXP(-LN(2)/2))/(LN(2)/2)*BL170*BO170*VLOOKUP('Données projet'!$B$11,Paramètres!$A$1:$I$89,3,0)*0.475*44/12</f>
        <v>4.4214471236166115E-15</v>
      </c>
      <c r="BS170" s="22">
        <f t="shared" si="169"/>
        <v>34.407941159116618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-1.69961822393816E-13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215.89467197072673</v>
      </c>
      <c r="CE170" s="59">
        <f t="shared" si="148"/>
        <v>188.21397398859534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20.387947001433105</v>
      </c>
      <c r="CL170" s="21">
        <f>EXP(-LN(2)/25)*CL169+(1-EXP(-LN(2)/25))/(LN(2)/25)*Calculateur!CG170*Calculateur!CI170*VLOOKUP('Données projet'!$B$12,Paramètres!$A$1:$I$89,3,0)*0.475*44/12</f>
        <v>2.5080688843869705</v>
      </c>
      <c r="CM170" s="21">
        <f>EXP(-LN(2)/2)*CM169+(1-EXP(-LN(2)/2))/(LN(2)/2)*CG170*CJ170*VLOOKUP('Données projet'!$B$12,Paramètres!$A$1:$I$89,3,0)*0.475*44/12</f>
        <v>2.2409949042627316E-12</v>
      </c>
      <c r="CN170" s="22">
        <f t="shared" si="172"/>
        <v>22.896015885822319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5.1821581196581166</v>
      </c>
      <c r="CT170" s="12">
        <f>IF('Données projet'!$A$140&gt;35,CT169+CS170-DB169,IF(A170&lt;'Données projet'!$A$140,$CQ$205^A170,IF(A170='Données projet'!$A$140,'Données projet'!$B$140,CT169+CS170-DB169)))</f>
        <v>294.13835470085485</v>
      </c>
      <c r="CU170" s="17">
        <f>CT170*VLOOKUP('Données projet'!$B$13,Paramètres!$A$1:$I$89,3,0)*VLOOKUP('Données projet'!$B$13,Paramètres!$A$1:$I$89,5,0)</f>
        <v>298.25629166666687</v>
      </c>
      <c r="CV170" s="13">
        <f t="shared" si="173"/>
        <v>70.810791306705966</v>
      </c>
      <c r="CW170" s="20">
        <f t="shared" si="174"/>
        <v>642.79183617862429</v>
      </c>
      <c r="CX170" s="59">
        <f t="shared" si="122"/>
        <v>936.12516951195767</v>
      </c>
      <c r="CY170" s="59">
        <f ca="1">AVERAGE(OFFSET($CX$3,0,0,'Données projet'!$E$13+1,1))-AVERAGE(OFFSET($H$3,0,0,'Données projet'!$E$13+1,1))</f>
        <v>342.82846711287749</v>
      </c>
      <c r="CZ170" s="59">
        <f t="shared" si="150"/>
        <v>152.87724741106297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37.798885487053553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37.798885487053553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208.48147873805715</v>
      </c>
      <c r="DU170" s="59">
        <f t="shared" si="152"/>
        <v>209.50570914630686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10.385844477812389</v>
      </c>
      <c r="EB170" s="21">
        <f>EXP(-LN(2)/25)*EB169+(1-EXP(-LN(2)/25))/(LN(2)/25)*Calculateur!DW170*Calculateur!DY170*VLOOKUP('Données projet'!$B$14,Paramètres!$A$1:$I$89,3,0)*0.475*44/12</f>
        <v>1.7121143694240368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12.097958847236427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-1.7053025658242404E-13</v>
      </c>
      <c r="EK170" s="17">
        <f>EJ170*VLOOKUP('Données projet'!$B$15,Paramètres!$A$1:$I$89,3,0)*VLOOKUP('Données projet'!$B$15,Paramètres!$A$1:$I$89,5,0)</f>
        <v>-1.0197709343628959E-13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247.31680974612766</v>
      </c>
      <c r="EP170" s="59">
        <f t="shared" si="154"/>
        <v>257.13949761071882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15.585546060863326</v>
      </c>
      <c r="EW170" s="21">
        <f>EXP(-LN(2)/25)*EW169+(1-EXP(-LN(2)/25))/(LN(2)/25)*Calculateur!ER170*Calculateur!ET170*VLOOKUP('Données projet'!$B$15,Paramètres!$A$1:$I$89,3,0)*0.475*44/12</f>
        <v>1.8601926819333732</v>
      </c>
      <c r="EX170" s="21">
        <f>EXP(-LN(2)/2)*EX169+(1-EXP(-LN(2)/2))/(LN(2)/2)*ER170*EU170*VLOOKUP('Données projet'!$B$15,Paramètres!$A$1:$I$89,3,0)*0.475*44/12</f>
        <v>2.5092313686083619E-15</v>
      </c>
      <c r="EY170" s="22">
        <f t="shared" si="181"/>
        <v>17.445738742796703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29.877119999999966</v>
      </c>
      <c r="D171" s="11">
        <f t="shared" si="140"/>
        <v>9.2717426343874845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60.44034933028238</v>
      </c>
      <c r="H171" s="67">
        <f t="shared" si="110"/>
        <v>324.85093575489151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5.1159076974727213E-13</v>
      </c>
      <c r="O171" s="13">
        <f>N171*VLOOKUP('Données projet'!$B$9,Paramètres!$A$1:$I$89,3,0)*VLOOKUP('Données projet'!$B$9,Paramètres!$A$1:$I$89,5,0)</f>
        <v>2.3942448024172334E-13</v>
      </c>
      <c r="P171" s="13">
        <f t="shared" si="141"/>
        <v>3.2492669905861755E-12</v>
      </c>
      <c r="Q171" s="20">
        <f t="shared" si="162"/>
        <v>6.0761376450252565E-12</v>
      </c>
      <c r="R171" s="59">
        <f t="shared" si="109"/>
        <v>293.3333333333394</v>
      </c>
      <c r="S171" s="59">
        <f ca="1">AVERAGE(OFFSET($R$3,0,0,'Données projet'!$E$9+1,1))-AVERAGE(OFFSET($H$3,0,0,'Données projet'!$E$9+1,1))</f>
        <v>223.99456146593315</v>
      </c>
      <c r="T171" s="59">
        <f t="shared" si="142"/>
        <v>132.73290587325937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41.56504892551682</v>
      </c>
      <c r="AA171" s="21">
        <f>EXP(-LN(2)/25)*AA170+(1-EXP(-LN(2)/25))/(LN(2)/25)*Calculateur!V171*Calculateur!X171*VLOOKUP('Données projet'!$B$9,Paramètres!$A$1:$I$89,3,0)*0.475*44/12</f>
        <v>6.4762722278309184</v>
      </c>
      <c r="AB171" s="21">
        <f>EXP(-LN(2)/2)*AB170+(1-EXP(-LN(2)/2))/(LN(2)/2)*V171*Y171*VLOOKUP('Données projet'!$B$9,Paramètres!$A$1:$I$89,3,0)*0.475*44/12</f>
        <v>2.4166857166942264E-8</v>
      </c>
      <c r="AC171" s="22">
        <f t="shared" si="163"/>
        <v>48.041321177514597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8.5265128291212022E-14</v>
      </c>
      <c r="AJ171" s="13">
        <f>AI171*VLOOKUP('Données projet'!$B$10,Paramètres!$A$1:$I$89,3,0)*VLOOKUP('Données projet'!$B$10,Paramètres!$A$1:$I$89,5,0)</f>
        <v>5.5865712056402117E-14</v>
      </c>
      <c r="AK171" s="13">
        <f t="shared" si="164"/>
        <v>8.9811031843713517E-13</v>
      </c>
      <c r="AL171" s="20">
        <f t="shared" si="165"/>
        <v>1.6615082531095774E-12</v>
      </c>
      <c r="AM171" s="59">
        <f t="shared" si="113"/>
        <v>293.33333333333496</v>
      </c>
      <c r="AN171" s="59">
        <f ca="1">AVERAGE(OFFSET($AM$3,0,0,'Données projet'!$E$10+1,1))-AVERAGE(OFFSET($H$3,0,0,'Données projet'!$E$10+1,1))</f>
        <v>244.43587473734613</v>
      </c>
      <c r="AO171" s="59">
        <f t="shared" si="144"/>
        <v>256.80261402149375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3.9325788943890898</v>
      </c>
      <c r="AV171" s="21">
        <f>EXP(-LN(2)/25)*AV170+(1-EXP(-LN(2)/25))/(LN(2)/25)*Calculateur!AQ171*Calculateur!AS171*VLOOKUP('Données projet'!$B$10,Paramètres!$A$1:$I$89,3,0)*0.475*44/12</f>
        <v>5.8120385932223018</v>
      </c>
      <c r="AW171" s="21">
        <f>EXP(-LN(2)/2)*AW170+(1-EXP(-LN(2)/2))/(LN(2)/2)*AQ171*AT171*VLOOKUP('Données projet'!$B$10,Paramètres!$A$1:$I$89,3,0)*0.475*44/12</f>
        <v>5.6974907739536329E-11</v>
      </c>
      <c r="AX171" s="21">
        <f t="shared" si="166"/>
        <v>9.744617487668366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-1.2710188457276673E-13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430.60186171079067</v>
      </c>
      <c r="BJ171" s="59">
        <f t="shared" si="146"/>
        <v>533.76627289533985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30.482042148378721</v>
      </c>
      <c r="BQ171" s="21">
        <f>EXP(-LN(2)/25)*BQ170+(1-EXP(-LN(2)/25))/(LN(2)/25)*Calculateur!BL171*Calculateur!BN171*VLOOKUP('Données projet'!$B$11,Paramètres!$A$1:$I$89,3,0)*0.475*44/12</f>
        <v>3.225527196839125</v>
      </c>
      <c r="BR171" s="21">
        <f>EXP(-LN(2)/2)*BR170+(1-EXP(-LN(2)/2))/(LN(2)/2)*BL171*BO171*VLOOKUP('Données projet'!$B$11,Paramètres!$A$1:$I$89,3,0)*0.475*44/12</f>
        <v>3.1264352437670613E-15</v>
      </c>
      <c r="BS171" s="22">
        <f t="shared" si="169"/>
        <v>33.707569345217848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-1.69961822393816E-13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215.89467197072673</v>
      </c>
      <c r="CE171" s="59">
        <f t="shared" si="148"/>
        <v>188.21397398859534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19.988151796154778</v>
      </c>
      <c r="CL171" s="21">
        <f>EXP(-LN(2)/25)*CL170+(1-EXP(-LN(2)/25))/(LN(2)/25)*Calculateur!CG171*Calculateur!CI171*VLOOKUP('Données projet'!$B$12,Paramètres!$A$1:$I$89,3,0)*0.475*44/12</f>
        <v>2.4394856088497985</v>
      </c>
      <c r="CM171" s="21">
        <f>EXP(-LN(2)/2)*CM170+(1-EXP(-LN(2)/2))/(LN(2)/2)*CG171*CJ171*VLOOKUP('Données projet'!$B$12,Paramètres!$A$1:$I$89,3,0)*0.475*44/12</f>
        <v>1.5846226934086754E-12</v>
      </c>
      <c r="CN171" s="22">
        <f t="shared" si="172"/>
        <v>22.427637405006159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>
        <f>VLOOKUP(A171,'Données projet'!$A$139:$I$159,2,0)</f>
        <v>299.32051282051276</v>
      </c>
      <c r="CR171" s="12">
        <f>VLOOKUP(A171,'Données projet'!$A$139:$I$159,9,0)</f>
        <v>5.1821581196581166</v>
      </c>
      <c r="CS171" s="12">
        <f t="array" ref="CS171">INDEX(CR:CR,MIN(IF(ISNUMBER(CR171:CR367),ROW(CR171:CR367),"")))</f>
        <v>5.1821581196581166</v>
      </c>
      <c r="CT171" s="12">
        <f>IF('Données projet'!$A$140&gt;35,CT170+CS171-DB170,IF(A171&lt;'Données projet'!$A$140,$CQ$205^A171,IF(A171='Données projet'!$A$140,'Données projet'!$B$140,CT170+CS171-DB170)))</f>
        <v>299.32051282051299</v>
      </c>
      <c r="CU171" s="17">
        <f>CT171*VLOOKUP('Données projet'!$B$13,Paramètres!$A$1:$I$89,3,0)*VLOOKUP('Données projet'!$B$13,Paramètres!$A$1:$I$89,5,0)</f>
        <v>303.51100000000019</v>
      </c>
      <c r="CV171" s="13">
        <f t="shared" si="173"/>
        <v>71.912004762527133</v>
      </c>
      <c r="CW171" s="20">
        <f t="shared" si="174"/>
        <v>653.86173329473513</v>
      </c>
      <c r="CX171" s="59">
        <f t="shared" si="122"/>
        <v>947.19506662806839</v>
      </c>
      <c r="CY171" s="59">
        <f ca="1">AVERAGE(OFFSET($CX$3,0,0,'Données projet'!$E$13+1,1))-AVERAGE(OFFSET($H$3,0,0,'Données projet'!$E$13+1,1))</f>
        <v>342.82846711287749</v>
      </c>
      <c r="CZ171" s="59">
        <f t="shared" si="150"/>
        <v>152.87724741106297</v>
      </c>
      <c r="DA171" s="15">
        <f>IF(ISNA(VLOOKUP(A171,'Données projet'!$A$139:$I$159,3,0)),0,VLOOKUP(A171,'Données projet'!$A$139:$I$159,3,0))</f>
        <v>12</v>
      </c>
      <c r="DB171" s="15">
        <f>IF(ISNA(VLOOKUP(A171,'Données projet'!$A$139:$I$159,4,0)),0,VLOOKUP(A171,'Données projet'!$A$139:$I$159,4,0))</f>
        <v>49.102564102564095</v>
      </c>
      <c r="DC171" s="16">
        <f>IF(ISNA(VLOOKUP(A171,'Données projet'!$A$139:$I$159,5,0)),0%,VLOOKUP(A171,'Données projet'!$A$139:$I$159,5,0)*VLOOKUP('Données projet'!$B$13,Paramètres!$A$1:$I$89,7,0))</f>
        <v>0.38700000000000001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58.358682663914024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58.358682663914024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208.48147873805715</v>
      </c>
      <c r="DU171" s="59">
        <f t="shared" si="152"/>
        <v>209.50570914630686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10.182184402342116</v>
      </c>
      <c r="EB171" s="21">
        <f>EXP(-LN(2)/25)*EB170+(1-EXP(-LN(2)/25))/(LN(2)/25)*Calculateur!DW171*Calculateur!DY171*VLOOKUP('Données projet'!$B$14,Paramètres!$A$1:$I$89,3,0)*0.475*44/12</f>
        <v>1.6652965119559549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11.847480914298071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-1.7053025658242404E-13</v>
      </c>
      <c r="EK171" s="17">
        <f>EJ171*VLOOKUP('Données projet'!$B$15,Paramètres!$A$1:$I$89,3,0)*VLOOKUP('Données projet'!$B$15,Paramètres!$A$1:$I$89,5,0)</f>
        <v>-1.0197709343628959E-13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247.31680974612766</v>
      </c>
      <c r="EP171" s="59">
        <f t="shared" si="154"/>
        <v>257.13949761071882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15.279923008854229</v>
      </c>
      <c r="EW171" s="21">
        <f>EXP(-LN(2)/25)*EW170+(1-EXP(-LN(2)/25))/(LN(2)/25)*Calculateur!ER171*Calculateur!ET171*VLOOKUP('Données projet'!$B$15,Paramètres!$A$1:$I$89,3,0)*0.475*44/12</f>
        <v>1.8093256152226234</v>
      </c>
      <c r="EX171" s="21">
        <f>EXP(-LN(2)/2)*EX170+(1-EXP(-LN(2)/2))/(LN(2)/2)*ER171*EU171*VLOOKUP('Données projet'!$B$15,Paramètres!$A$1:$I$89,3,0)*0.475*44/12</f>
        <v>1.7742945163089743E-15</v>
      </c>
      <c r="EY171" s="22">
        <f t="shared" si="181"/>
        <v>17.089248624076852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30.054959999999966</v>
      </c>
      <c r="D172" s="11">
        <f t="shared" si="140"/>
        <v>9.3204907292596459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60.790169546927132</v>
      </c>
      <c r="H172" s="67">
        <f t="shared" si="110"/>
        <v>325.24557668679381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5.1159076974727213E-13</v>
      </c>
      <c r="O172" s="13">
        <f>N172*VLOOKUP('Données projet'!$B$9,Paramètres!$A$1:$I$89,3,0)*VLOOKUP('Données projet'!$B$9,Paramètres!$A$1:$I$89,5,0)</f>
        <v>2.3942448024172334E-13</v>
      </c>
      <c r="P172" s="13">
        <f t="shared" si="141"/>
        <v>3.2492669905861755E-12</v>
      </c>
      <c r="Q172" s="20">
        <f t="shared" si="162"/>
        <v>6.0761376450252565E-12</v>
      </c>
      <c r="R172" s="59">
        <f t="shared" si="109"/>
        <v>293.3333333333394</v>
      </c>
      <c r="S172" s="59">
        <f ca="1">AVERAGE(OFFSET($R$3,0,0,'Données projet'!$E$9+1,1))-AVERAGE(OFFSET($H$3,0,0,'Données projet'!$E$9+1,1))</f>
        <v>223.99456146593315</v>
      </c>
      <c r="T172" s="59">
        <f t="shared" si="142"/>
        <v>132.73290587325937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40.749983668263958</v>
      </c>
      <c r="AA172" s="21">
        <f>EXP(-LN(2)/25)*AA171+(1-EXP(-LN(2)/25))/(LN(2)/25)*Calculateur!V172*Calculateur!X172*VLOOKUP('Données projet'!$B$9,Paramètres!$A$1:$I$89,3,0)*0.475*44/12</f>
        <v>6.2991782231885276</v>
      </c>
      <c r="AB172" s="21">
        <f>EXP(-LN(2)/2)*AB171+(1-EXP(-LN(2)/2))/(LN(2)/2)*V172*Y172*VLOOKUP('Données projet'!$B$9,Paramètres!$A$1:$I$89,3,0)*0.475*44/12</f>
        <v>1.7088548582711591E-8</v>
      </c>
      <c r="AC172" s="22">
        <f t="shared" si="163"/>
        <v>47.049161908541031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8.5265128291212022E-14</v>
      </c>
      <c r="AJ172" s="13">
        <f>AI172*VLOOKUP('Données projet'!$B$10,Paramètres!$A$1:$I$89,3,0)*VLOOKUP('Données projet'!$B$10,Paramètres!$A$1:$I$89,5,0)</f>
        <v>5.5865712056402117E-14</v>
      </c>
      <c r="AK172" s="13">
        <f t="shared" si="164"/>
        <v>8.9811031843713517E-13</v>
      </c>
      <c r="AL172" s="20">
        <f t="shared" si="165"/>
        <v>1.6615082531095774E-12</v>
      </c>
      <c r="AM172" s="59">
        <f t="shared" si="113"/>
        <v>293.33333333333496</v>
      </c>
      <c r="AN172" s="59">
        <f ca="1">AVERAGE(OFFSET($AM$3,0,0,'Données projet'!$E$10+1,1))-AVERAGE(OFFSET($H$3,0,0,'Données projet'!$E$10+1,1))</f>
        <v>244.43587473734613</v>
      </c>
      <c r="AO172" s="59">
        <f t="shared" si="144"/>
        <v>256.80261402149375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3.8554634209063998</v>
      </c>
      <c r="AV172" s="21">
        <f>EXP(-LN(2)/25)*AV171+(1-EXP(-LN(2)/25))/(LN(2)/25)*Calculateur!AQ172*Calculateur!AS172*VLOOKUP('Données projet'!$B$10,Paramètres!$A$1:$I$89,3,0)*0.475*44/12</f>
        <v>5.6531080922488117</v>
      </c>
      <c r="AW172" s="21">
        <f>EXP(-LN(2)/2)*AW171+(1-EXP(-LN(2)/2))/(LN(2)/2)*AQ172*AT172*VLOOKUP('Données projet'!$B$10,Paramètres!$A$1:$I$89,3,0)*0.475*44/12</f>
        <v>4.0287343620104052E-11</v>
      </c>
      <c r="AX172" s="21">
        <f t="shared" si="166"/>
        <v>9.5085715131954984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-1.2710188457276673E-13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430.60186171079067</v>
      </c>
      <c r="BJ172" s="59">
        <f t="shared" si="146"/>
        <v>533.76627289533985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29.884307894058896</v>
      </c>
      <c r="BQ172" s="21">
        <f>EXP(-LN(2)/25)*BQ171+(1-EXP(-LN(2)/25))/(LN(2)/25)*Calculateur!BL172*Calculateur!BN172*VLOOKUP('Données projet'!$B$11,Paramètres!$A$1:$I$89,3,0)*0.475*44/12</f>
        <v>3.1373249860184558</v>
      </c>
      <c r="BR172" s="21">
        <f>EXP(-LN(2)/2)*BR171+(1-EXP(-LN(2)/2))/(LN(2)/2)*BL172*BO172*VLOOKUP('Données projet'!$B$11,Paramètres!$A$1:$I$89,3,0)*0.475*44/12</f>
        <v>2.2107235618083058E-15</v>
      </c>
      <c r="BS172" s="22">
        <f t="shared" si="169"/>
        <v>33.021632880077348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-1.69961822393816E-13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215.89467197072673</v>
      </c>
      <c r="CE172" s="59">
        <f t="shared" si="148"/>
        <v>188.21397398859534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19.596196331000961</v>
      </c>
      <c r="CL172" s="21">
        <f>EXP(-LN(2)/25)*CL171+(1-EXP(-LN(2)/25))/(LN(2)/25)*Calculateur!CG172*Calculateur!CI172*VLOOKUP('Données projet'!$B$12,Paramètres!$A$1:$I$89,3,0)*0.475*44/12</f>
        <v>2.3727777465888282</v>
      </c>
      <c r="CM172" s="21">
        <f>EXP(-LN(2)/2)*CM171+(1-EXP(-LN(2)/2))/(LN(2)/2)*CG172*CJ172*VLOOKUP('Données projet'!$B$12,Paramètres!$A$1:$I$89,3,0)*0.475*44/12</f>
        <v>1.1204974521313658E-12</v>
      </c>
      <c r="CN172" s="22">
        <f t="shared" si="172"/>
        <v>21.968974077590907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5.175213675213679</v>
      </c>
      <c r="CT172" s="12">
        <f>IF('Données projet'!$A$140&gt;35,CT171+CS172-DB171,IF(A172&lt;'Données projet'!$A$140,$CQ$205^A172,IF(A172='Données projet'!$A$140,'Données projet'!$B$140,CT171+CS172-DB171)))</f>
        <v>255.39316239316258</v>
      </c>
      <c r="CU172" s="17">
        <f>CT172*VLOOKUP('Données projet'!$B$13,Paramètres!$A$1:$I$89,3,0)*VLOOKUP('Données projet'!$B$13,Paramètres!$A$1:$I$89,5,0)</f>
        <v>258.96866666666688</v>
      </c>
      <c r="CV172" s="13">
        <f t="shared" si="173"/>
        <v>62.502488539609068</v>
      </c>
      <c r="CW172" s="20">
        <f t="shared" si="174"/>
        <v>559.89559531759733</v>
      </c>
      <c r="CX172" s="59">
        <f t="shared" si="122"/>
        <v>853.22892865093058</v>
      </c>
      <c r="CY172" s="59">
        <f ca="1">AVERAGE(OFFSET($CX$3,0,0,'Données projet'!$E$13+1,1))-AVERAGE(OFFSET($H$3,0,0,'Données projet'!$E$13+1,1))</f>
        <v>342.82846711287749</v>
      </c>
      <c r="CZ172" s="59">
        <f t="shared" si="150"/>
        <v>152.87724741106297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57.214304492156352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57.214304492156352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208.48147873805715</v>
      </c>
      <c r="DU172" s="59">
        <f t="shared" si="152"/>
        <v>209.50570914630686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9.9825179767314349</v>
      </c>
      <c r="EB172" s="21">
        <f>EXP(-LN(2)/25)*EB171+(1-EXP(-LN(2)/25))/(LN(2)/25)*Calculateur!DW172*Calculateur!DY172*VLOOKUP('Données projet'!$B$14,Paramètres!$A$1:$I$89,3,0)*0.475*44/12</f>
        <v>1.6197588912623817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11.602276867993817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-1.7053025658242404E-13</v>
      </c>
      <c r="EK172" s="17">
        <f>EJ172*VLOOKUP('Données projet'!$B$15,Paramètres!$A$1:$I$89,3,0)*VLOOKUP('Données projet'!$B$15,Paramètres!$A$1:$I$89,5,0)</f>
        <v>-1.0197709343628959E-13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247.31680974612766</v>
      </c>
      <c r="EP172" s="59">
        <f t="shared" si="154"/>
        <v>257.13949761071882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14.980293038483376</v>
      </c>
      <c r="EW172" s="21">
        <f>EXP(-LN(2)/25)*EW171+(1-EXP(-LN(2)/25))/(LN(2)/25)*Calculateur!ER172*Calculateur!ET172*VLOOKUP('Données projet'!$B$15,Paramètres!$A$1:$I$89,3,0)*0.475*44/12</f>
        <v>1.7598495111260619</v>
      </c>
      <c r="EX172" s="21">
        <f>EXP(-LN(2)/2)*EX171+(1-EXP(-LN(2)/2))/(LN(2)/2)*ER172*EU172*VLOOKUP('Données projet'!$B$15,Paramètres!$A$1:$I$89,3,0)*0.475*44/12</f>
        <v>1.2546156843041811E-15</v>
      </c>
      <c r="EY172" s="22">
        <f t="shared" si="181"/>
        <v>16.740142549609438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30.232799999999965</v>
      </c>
      <c r="D173" s="11">
        <f t="shared" si="140"/>
        <v>9.3692052598737856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61.139937945068247</v>
      </c>
      <c r="H173" s="67">
        <f t="shared" si="110"/>
        <v>325.64015916094678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5.1159076974727213E-13</v>
      </c>
      <c r="O173" s="13">
        <f>N173*VLOOKUP('Données projet'!$B$9,Paramètres!$A$1:$I$89,3,0)*VLOOKUP('Données projet'!$B$9,Paramètres!$A$1:$I$89,5,0)</f>
        <v>2.3942448024172334E-13</v>
      </c>
      <c r="P173" s="13">
        <f t="shared" si="141"/>
        <v>3.2492669905861755E-12</v>
      </c>
      <c r="Q173" s="20">
        <f t="shared" si="162"/>
        <v>6.0761376450252565E-12</v>
      </c>
      <c r="R173" s="59">
        <f t="shared" si="109"/>
        <v>293.3333333333394</v>
      </c>
      <c r="S173" s="59">
        <f ca="1">AVERAGE(OFFSET($R$3,0,0,'Données projet'!$E$9+1,1))-AVERAGE(OFFSET($H$3,0,0,'Données projet'!$E$9+1,1))</f>
        <v>223.99456146593315</v>
      </c>
      <c r="T173" s="59">
        <f t="shared" si="142"/>
        <v>132.73290587325937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39.950901343565107</v>
      </c>
      <c r="AA173" s="21">
        <f>EXP(-LN(2)/25)*AA172+(1-EXP(-LN(2)/25))/(LN(2)/25)*Calculateur!V173*Calculateur!X173*VLOOKUP('Données projet'!$B$9,Paramètres!$A$1:$I$89,3,0)*0.475*44/12</f>
        <v>6.1269268634160516</v>
      </c>
      <c r="AB173" s="21">
        <f>EXP(-LN(2)/2)*AB172+(1-EXP(-LN(2)/2))/(LN(2)/2)*V173*Y173*VLOOKUP('Données projet'!$B$9,Paramètres!$A$1:$I$89,3,0)*0.475*44/12</f>
        <v>1.2083428583471132E-8</v>
      </c>
      <c r="AC173" s="22">
        <f t="shared" si="163"/>
        <v>46.077828219064585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8.5265128291212022E-14</v>
      </c>
      <c r="AJ173" s="13">
        <f>AI173*VLOOKUP('Données projet'!$B$10,Paramètres!$A$1:$I$89,3,0)*VLOOKUP('Données projet'!$B$10,Paramètres!$A$1:$I$89,5,0)</f>
        <v>5.5865712056402117E-14</v>
      </c>
      <c r="AK173" s="13">
        <f t="shared" si="164"/>
        <v>8.9811031843713517E-13</v>
      </c>
      <c r="AL173" s="20">
        <f t="shared" si="165"/>
        <v>1.6615082531095774E-12</v>
      </c>
      <c r="AM173" s="59">
        <f t="shared" si="113"/>
        <v>293.33333333333496</v>
      </c>
      <c r="AN173" s="59">
        <f ca="1">AVERAGE(OFFSET($AM$3,0,0,'Données projet'!$E$10+1,1))-AVERAGE(OFFSET($H$3,0,0,'Données projet'!$E$10+1,1))</f>
        <v>244.43587473734613</v>
      </c>
      <c r="AO173" s="59">
        <f t="shared" si="144"/>
        <v>256.80261402149375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3.7798601348229108</v>
      </c>
      <c r="AV173" s="21">
        <f>EXP(-LN(2)/25)*AV172+(1-EXP(-LN(2)/25))/(LN(2)/25)*Calculateur!AQ173*Calculateur!AS173*VLOOKUP('Données projet'!$B$10,Paramètres!$A$1:$I$89,3,0)*0.475*44/12</f>
        <v>5.4985235541822339</v>
      </c>
      <c r="AW173" s="21">
        <f>EXP(-LN(2)/2)*AW172+(1-EXP(-LN(2)/2))/(LN(2)/2)*AQ173*AT173*VLOOKUP('Données projet'!$B$10,Paramètres!$A$1:$I$89,3,0)*0.475*44/12</f>
        <v>2.8487453869768168E-11</v>
      </c>
      <c r="AX173" s="21">
        <f t="shared" si="166"/>
        <v>9.2783836890336318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-1.2710188457276673E-13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430.60186171079067</v>
      </c>
      <c r="BJ173" s="59">
        <f t="shared" si="146"/>
        <v>533.76627289533985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29.298294843884388</v>
      </c>
      <c r="BQ173" s="21">
        <f>EXP(-LN(2)/25)*BQ172+(1-EXP(-LN(2)/25))/(LN(2)/25)*Calculateur!BL173*Calculateur!BN173*VLOOKUP('Données projet'!$B$11,Paramètres!$A$1:$I$89,3,0)*0.475*44/12</f>
        <v>3.0515346692910303</v>
      </c>
      <c r="BR173" s="21">
        <f>EXP(-LN(2)/2)*BR172+(1-EXP(-LN(2)/2))/(LN(2)/2)*BL173*BO173*VLOOKUP('Données projet'!$B$11,Paramètres!$A$1:$I$89,3,0)*0.475*44/12</f>
        <v>1.5632176218835307E-15</v>
      </c>
      <c r="BS173" s="22">
        <f t="shared" si="169"/>
        <v>32.349829513175422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-1.69961822393816E-13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215.89467197072673</v>
      </c>
      <c r="CE173" s="59">
        <f t="shared" si="148"/>
        <v>188.21397398859534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19.211926873449581</v>
      </c>
      <c r="CL173" s="21">
        <f>EXP(-LN(2)/25)*CL172+(1-EXP(-LN(2)/25))/(LN(2)/25)*Calculateur!CG173*Calculateur!CI173*VLOOKUP('Données projet'!$B$12,Paramètres!$A$1:$I$89,3,0)*0.475*44/12</f>
        <v>2.3078940143293982</v>
      </c>
      <c r="CM173" s="21">
        <f>EXP(-LN(2)/2)*CM172+(1-EXP(-LN(2)/2))/(LN(2)/2)*CG173*CJ173*VLOOKUP('Données projet'!$B$12,Paramètres!$A$1:$I$89,3,0)*0.475*44/12</f>
        <v>7.9231134670433771E-13</v>
      </c>
      <c r="CN173" s="22">
        <f t="shared" si="172"/>
        <v>21.519820887779773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5.175213675213679</v>
      </c>
      <c r="CT173" s="12">
        <f>IF('Données projet'!$A$140&gt;35,CT172+CS173-DB172,IF(A173&lt;'Données projet'!$A$140,$CQ$205^A173,IF(A173='Données projet'!$A$140,'Données projet'!$B$140,CT172+CS173-DB172)))</f>
        <v>260.56837606837627</v>
      </c>
      <c r="CU173" s="17">
        <f>CT173*VLOOKUP('Données projet'!$B$13,Paramètres!$A$1:$I$89,3,0)*VLOOKUP('Données projet'!$B$13,Paramètres!$A$1:$I$89,5,0)</f>
        <v>264.21633333333358</v>
      </c>
      <c r="CV173" s="13">
        <f t="shared" si="173"/>
        <v>63.62028666143835</v>
      </c>
      <c r="CW173" s="20">
        <f t="shared" si="174"/>
        <v>570.98211315756112</v>
      </c>
      <c r="CX173" s="59">
        <f t="shared" si="122"/>
        <v>864.31544649089437</v>
      </c>
      <c r="CY173" s="59">
        <f ca="1">AVERAGE(OFFSET($CX$3,0,0,'Données projet'!$E$13+1,1))-AVERAGE(OFFSET($H$3,0,0,'Données projet'!$E$13+1,1))</f>
        <v>342.82846711287749</v>
      </c>
      <c r="CZ173" s="59">
        <f t="shared" si="150"/>
        <v>152.87724741106297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56.092366878345082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56.092366878345082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208.48147873805715</v>
      </c>
      <c r="DU173" s="59">
        <f t="shared" si="152"/>
        <v>209.50570914630686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9.7867668879424841</v>
      </c>
      <c r="EB173" s="21">
        <f>EXP(-LN(2)/25)*EB172+(1-EXP(-LN(2)/25))/(LN(2)/25)*Calculateur!DW173*Calculateur!DY173*VLOOKUP('Données projet'!$B$14,Paramètres!$A$1:$I$89,3,0)*0.475*44/12</f>
        <v>1.5754664992013938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11.362233387143878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-1.7053025658242404E-13</v>
      </c>
      <c r="EK173" s="17">
        <f>EJ173*VLOOKUP('Données projet'!$B$15,Paramètres!$A$1:$I$89,3,0)*VLOOKUP('Données projet'!$B$15,Paramètres!$A$1:$I$89,5,0)</f>
        <v>-1.0197709343628959E-13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247.31680974612766</v>
      </c>
      <c r="EP173" s="59">
        <f t="shared" si="154"/>
        <v>257.13949761071882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14.68653862907526</v>
      </c>
      <c r="EW173" s="21">
        <f>EXP(-LN(2)/25)*EW172+(1-EXP(-LN(2)/25))/(LN(2)/25)*Calculateur!ER173*Calculateur!ET173*VLOOKUP('Données projet'!$B$15,Paramètres!$A$1:$I$89,3,0)*0.475*44/12</f>
        <v>1.7117263336978561</v>
      </c>
      <c r="EX173" s="21">
        <f>EXP(-LN(2)/2)*EX172+(1-EXP(-LN(2)/2))/(LN(2)/2)*ER173*EU173*VLOOKUP('Données projet'!$B$15,Paramètres!$A$1:$I$89,3,0)*0.475*44/12</f>
        <v>8.8714725815448726E-16</v>
      </c>
      <c r="EY173" s="22">
        <f t="shared" si="181"/>
        <v>16.398264962773116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30.410639999999965</v>
      </c>
      <c r="D174" s="11">
        <f t="shared" si="140"/>
        <v>9.4178864465754533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61.489654864888372</v>
      </c>
      <c r="H174" s="67">
        <f t="shared" si="110"/>
        <v>326.03468356111887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5.1159076974727213E-13</v>
      </c>
      <c r="O174" s="13">
        <f>N174*VLOOKUP('Données projet'!$B$9,Paramètres!$A$1:$I$89,3,0)*VLOOKUP('Données projet'!$B$9,Paramètres!$A$1:$I$89,5,0)</f>
        <v>2.3942448024172334E-13</v>
      </c>
      <c r="P174" s="13">
        <f t="shared" si="141"/>
        <v>3.2492669905861755E-12</v>
      </c>
      <c r="Q174" s="20">
        <f t="shared" si="162"/>
        <v>6.0761376450252565E-12</v>
      </c>
      <c r="R174" s="59">
        <f t="shared" si="109"/>
        <v>293.3333333333394</v>
      </c>
      <c r="S174" s="59">
        <f ca="1">AVERAGE(OFFSET($R$3,0,0,'Données projet'!$E$9+1,1))-AVERAGE(OFFSET($H$3,0,0,'Données projet'!$E$9+1,1))</f>
        <v>223.99456146593315</v>
      </c>
      <c r="T174" s="59">
        <f t="shared" si="142"/>
        <v>132.73290587325937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39.167488535861509</v>
      </c>
      <c r="AA174" s="21">
        <f>EXP(-LN(2)/25)*AA173+(1-EXP(-LN(2)/25))/(LN(2)/25)*Calculateur!V174*Calculateur!X174*VLOOKUP('Données projet'!$B$9,Paramètres!$A$1:$I$89,3,0)*0.475*44/12</f>
        <v>5.9593857261348591</v>
      </c>
      <c r="AB174" s="21">
        <f>EXP(-LN(2)/2)*AB173+(1-EXP(-LN(2)/2))/(LN(2)/2)*V174*Y174*VLOOKUP('Données projet'!$B$9,Paramètres!$A$1:$I$89,3,0)*0.475*44/12</f>
        <v>8.5442742913557955E-9</v>
      </c>
      <c r="AC174" s="22">
        <f t="shared" si="163"/>
        <v>45.126874270540647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8.5265128291212022E-14</v>
      </c>
      <c r="AJ174" s="13">
        <f>AI174*VLOOKUP('Données projet'!$B$10,Paramètres!$A$1:$I$89,3,0)*VLOOKUP('Données projet'!$B$10,Paramètres!$A$1:$I$89,5,0)</f>
        <v>5.5865712056402117E-14</v>
      </c>
      <c r="AK174" s="13">
        <f t="shared" si="164"/>
        <v>8.9811031843713517E-13</v>
      </c>
      <c r="AL174" s="20">
        <f t="shared" si="165"/>
        <v>1.6615082531095774E-12</v>
      </c>
      <c r="AM174" s="59">
        <f t="shared" si="113"/>
        <v>293.33333333333496</v>
      </c>
      <c r="AN174" s="59">
        <f ca="1">AVERAGE(OFFSET($AM$3,0,0,'Données projet'!$E$10+1,1))-AVERAGE(OFFSET($H$3,0,0,'Données projet'!$E$10+1,1))</f>
        <v>244.43587473734613</v>
      </c>
      <c r="AO174" s="59">
        <f t="shared" si="144"/>
        <v>256.80261402149375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3.7057393830660676</v>
      </c>
      <c r="AV174" s="21">
        <f>EXP(-LN(2)/25)*AV173+(1-EXP(-LN(2)/25))/(LN(2)/25)*Calculateur!AQ174*Calculateur!AS174*VLOOKUP('Données projet'!$B$10,Paramètres!$A$1:$I$89,3,0)*0.475*44/12</f>
        <v>5.3481661384383337</v>
      </c>
      <c r="AW174" s="21">
        <f>EXP(-LN(2)/2)*AW173+(1-EXP(-LN(2)/2))/(LN(2)/2)*AQ174*AT174*VLOOKUP('Données projet'!$B$10,Paramètres!$A$1:$I$89,3,0)*0.475*44/12</f>
        <v>2.0143671810052029E-11</v>
      </c>
      <c r="AX174" s="21">
        <f t="shared" si="166"/>
        <v>9.0539055215245448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-1.2710188457276673E-13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430.60186171079067</v>
      </c>
      <c r="BJ174" s="59">
        <f t="shared" si="146"/>
        <v>533.76627289533985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28.723773152191136</v>
      </c>
      <c r="BQ174" s="21">
        <f>EXP(-LN(2)/25)*BQ173+(1-EXP(-LN(2)/25))/(LN(2)/25)*Calculateur!BL174*Calculateur!BN174*VLOOKUP('Données projet'!$B$11,Paramètres!$A$1:$I$89,3,0)*0.475*44/12</f>
        <v>2.9680902932860334</v>
      </c>
      <c r="BR174" s="21">
        <f>EXP(-LN(2)/2)*BR173+(1-EXP(-LN(2)/2))/(LN(2)/2)*BL174*BO174*VLOOKUP('Données projet'!$B$11,Paramètres!$A$1:$I$89,3,0)*0.475*44/12</f>
        <v>1.1053617809041529E-15</v>
      </c>
      <c r="BS174" s="22">
        <f t="shared" si="169"/>
        <v>31.691863445477168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-1.69961822393816E-13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215.89467197072673</v>
      </c>
      <c r="CE174" s="59">
        <f t="shared" si="148"/>
        <v>188.21397398859534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18.835192705579558</v>
      </c>
      <c r="CL174" s="21">
        <f>EXP(-LN(2)/25)*CL173+(1-EXP(-LN(2)/25))/(LN(2)/25)*Calculateur!CG174*Calculateur!CI174*VLOOKUP('Données projet'!$B$12,Paramètres!$A$1:$I$89,3,0)*0.475*44/12</f>
        <v>2.2447845311406893</v>
      </c>
      <c r="CM174" s="21">
        <f>EXP(-LN(2)/2)*CM173+(1-EXP(-LN(2)/2))/(LN(2)/2)*CG174*CJ174*VLOOKUP('Données projet'!$B$12,Paramètres!$A$1:$I$89,3,0)*0.475*44/12</f>
        <v>5.6024872606568291E-13</v>
      </c>
      <c r="CN174" s="22">
        <f t="shared" si="172"/>
        <v>21.079977236720808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5.175213675213679</v>
      </c>
      <c r="CT174" s="12">
        <f>IF('Données projet'!$A$140&gt;35,CT173+CS174-DB173,IF(A174&lt;'Données projet'!$A$140,$CQ$205^A174,IF(A174='Données projet'!$A$140,'Données projet'!$B$140,CT173+CS174-DB173)))</f>
        <v>265.74358974358995</v>
      </c>
      <c r="CU174" s="17">
        <f>CT174*VLOOKUP('Données projet'!$B$13,Paramètres!$A$1:$I$89,3,0)*VLOOKUP('Données projet'!$B$13,Paramètres!$A$1:$I$89,5,0)</f>
        <v>269.46400000000023</v>
      </c>
      <c r="CV174" s="13">
        <f t="shared" si="173"/>
        <v>64.735503407649688</v>
      </c>
      <c r="CW174" s="20">
        <f t="shared" si="174"/>
        <v>582.06413510165692</v>
      </c>
      <c r="CX174" s="59">
        <f t="shared" si="122"/>
        <v>875.39746843499029</v>
      </c>
      <c r="CY174" s="59">
        <f ca="1">AVERAGE(OFFSET($CX$3,0,0,'Données projet'!$E$13+1,1))-AVERAGE(OFFSET($H$3,0,0,'Données projet'!$E$13+1,1))</f>
        <v>342.82846711287749</v>
      </c>
      <c r="CZ174" s="59">
        <f t="shared" si="150"/>
        <v>152.87724741106297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54.992429776826285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54.992429776826285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208.48147873805715</v>
      </c>
      <c r="DU174" s="59">
        <f t="shared" si="152"/>
        <v>209.50570914630686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9.5948543586083108</v>
      </c>
      <c r="EB174" s="21">
        <f>EXP(-LN(2)/25)*EB173+(1-EXP(-LN(2)/25))/(LN(2)/25)*Calculateur!DW174*Calculateur!DY174*VLOOKUP('Données projet'!$B$14,Paramètres!$A$1:$I$89,3,0)*0.475*44/12</f>
        <v>1.5323852849305493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11.127239643538861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-1.7053025658242404E-13</v>
      </c>
      <c r="EK174" s="17">
        <f>EJ174*VLOOKUP('Données projet'!$B$15,Paramètres!$A$1:$I$89,3,0)*VLOOKUP('Données projet'!$B$15,Paramètres!$A$1:$I$89,5,0)</f>
        <v>-1.0197709343628959E-13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247.31680974612766</v>
      </c>
      <c r="EP174" s="59">
        <f t="shared" si="154"/>
        <v>257.13949761071882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14.398544564463139</v>
      </c>
      <c r="EW174" s="21">
        <f>EXP(-LN(2)/25)*EW173+(1-EXP(-LN(2)/25))/(LN(2)/25)*Calculateur!ER174*Calculateur!ET174*VLOOKUP('Données projet'!$B$15,Paramètres!$A$1:$I$89,3,0)*0.475*44/12</f>
        <v>1.6649190870871124</v>
      </c>
      <c r="EX174" s="21">
        <f>EXP(-LN(2)/2)*EX173+(1-EXP(-LN(2)/2))/(LN(2)/2)*ER174*EU174*VLOOKUP('Données projet'!$B$15,Paramètres!$A$1:$I$89,3,0)*0.475*44/12</f>
        <v>6.2730784215209067E-16</v>
      </c>
      <c r="EY174" s="22">
        <f t="shared" si="181"/>
        <v>16.063463651550251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30.588479999999965</v>
      </c>
      <c r="D175" s="11">
        <f t="shared" si="140"/>
        <v>9.4665345069839706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61.839320642361173</v>
      </c>
      <c r="H175" s="67">
        <f t="shared" si="110"/>
        <v>326.42915026633034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5.1159076974727213E-13</v>
      </c>
      <c r="O175" s="13">
        <f>N175*VLOOKUP('Données projet'!$B$9,Paramètres!$A$1:$I$89,3,0)*VLOOKUP('Données projet'!$B$9,Paramètres!$A$1:$I$89,5,0)</f>
        <v>2.3942448024172334E-13</v>
      </c>
      <c r="P175" s="13">
        <f t="shared" si="141"/>
        <v>3.2492669905861755E-12</v>
      </c>
      <c r="Q175" s="20">
        <f t="shared" si="162"/>
        <v>6.0761376450252565E-12</v>
      </c>
      <c r="R175" s="59">
        <f t="shared" si="109"/>
        <v>293.3333333333394</v>
      </c>
      <c r="S175" s="59">
        <f ca="1">AVERAGE(OFFSET($R$3,0,0,'Données projet'!$E$9+1,1))-AVERAGE(OFFSET($H$3,0,0,'Données projet'!$E$9+1,1))</f>
        <v>223.99456146593315</v>
      </c>
      <c r="T175" s="59">
        <f t="shared" si="142"/>
        <v>132.73290587325937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38.39943797548235</v>
      </c>
      <c r="AA175" s="21">
        <f>EXP(-LN(2)/25)*AA174+(1-EXP(-LN(2)/25))/(LN(2)/25)*Calculateur!V175*Calculateur!X175*VLOOKUP('Données projet'!$B$9,Paramètres!$A$1:$I$89,3,0)*0.475*44/12</f>
        <v>5.7964260100632261</v>
      </c>
      <c r="AB175" s="21">
        <f>EXP(-LN(2)/2)*AB174+(1-EXP(-LN(2)/2))/(LN(2)/2)*V175*Y175*VLOOKUP('Données projet'!$B$9,Paramètres!$A$1:$I$89,3,0)*0.475*44/12</f>
        <v>6.0417142917355661E-9</v>
      </c>
      <c r="AC175" s="22">
        <f t="shared" si="163"/>
        <v>44.195863991587295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8.5265128291212022E-14</v>
      </c>
      <c r="AJ175" s="13">
        <f>AI175*VLOOKUP('Données projet'!$B$10,Paramètres!$A$1:$I$89,3,0)*VLOOKUP('Données projet'!$B$10,Paramètres!$A$1:$I$89,5,0)</f>
        <v>5.5865712056402117E-14</v>
      </c>
      <c r="AK175" s="13">
        <f t="shared" si="164"/>
        <v>8.9811031843713517E-13</v>
      </c>
      <c r="AL175" s="20">
        <f t="shared" si="165"/>
        <v>1.6615082531095774E-12</v>
      </c>
      <c r="AM175" s="59">
        <f t="shared" si="113"/>
        <v>293.33333333333496</v>
      </c>
      <c r="AN175" s="59">
        <f ca="1">AVERAGE(OFFSET($AM$3,0,0,'Données projet'!$E$10+1,1))-AVERAGE(OFFSET($H$3,0,0,'Données projet'!$E$10+1,1))</f>
        <v>244.43587473734613</v>
      </c>
      <c r="AO175" s="59">
        <f t="shared" si="144"/>
        <v>256.80261402149375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3.6330720940419816</v>
      </c>
      <c r="AV175" s="21">
        <f>EXP(-LN(2)/25)*AV174+(1-EXP(-LN(2)/25))/(LN(2)/25)*Calculateur!AQ175*Calculateur!AS175*VLOOKUP('Données projet'!$B$10,Paramètres!$A$1:$I$89,3,0)*0.475*44/12</f>
        <v>5.2019202541349037</v>
      </c>
      <c r="AW175" s="21">
        <f>EXP(-LN(2)/2)*AW174+(1-EXP(-LN(2)/2))/(LN(2)/2)*AQ175*AT175*VLOOKUP('Données projet'!$B$10,Paramètres!$A$1:$I$89,3,0)*0.475*44/12</f>
        <v>1.4243726934884087E-11</v>
      </c>
      <c r="AX175" s="21">
        <f t="shared" si="166"/>
        <v>8.8349923481911308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-1.2710188457276673E-13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430.60186171079067</v>
      </c>
      <c r="BJ175" s="59">
        <f t="shared" si="146"/>
        <v>533.76627289533985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28.160517480448355</v>
      </c>
      <c r="BQ175" s="21">
        <f>EXP(-LN(2)/25)*BQ174+(1-EXP(-LN(2)/25))/(LN(2)/25)*Calculateur!BL175*Calculateur!BN175*VLOOKUP('Données projet'!$B$11,Paramètres!$A$1:$I$89,3,0)*0.475*44/12</f>
        <v>2.8869277081310418</v>
      </c>
      <c r="BR175" s="21">
        <f>EXP(-LN(2)/2)*BR174+(1-EXP(-LN(2)/2))/(LN(2)/2)*BL175*BO175*VLOOKUP('Données projet'!$B$11,Paramètres!$A$1:$I$89,3,0)*0.475*44/12</f>
        <v>7.8160881094176533E-16</v>
      </c>
      <c r="BS175" s="22">
        <f t="shared" si="169"/>
        <v>31.047445188579395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-1.69961822393816E-13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215.89467197072673</v>
      </c>
      <c r="CE175" s="59">
        <f t="shared" si="148"/>
        <v>188.21397398859534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18.465846064956317</v>
      </c>
      <c r="CL175" s="21">
        <f>EXP(-LN(2)/25)*CL174+(1-EXP(-LN(2)/25))/(LN(2)/25)*Calculateur!CG175*Calculateur!CI175*VLOOKUP('Données projet'!$B$12,Paramètres!$A$1:$I$89,3,0)*0.475*44/12</f>
        <v>2.1834007800885593</v>
      </c>
      <c r="CM175" s="21">
        <f>EXP(-LN(2)/2)*CM174+(1-EXP(-LN(2)/2))/(LN(2)/2)*CG175*CJ175*VLOOKUP('Données projet'!$B$12,Paramètres!$A$1:$I$89,3,0)*0.475*44/12</f>
        <v>3.9615567335216885E-13</v>
      </c>
      <c r="CN175" s="22">
        <f t="shared" si="172"/>
        <v>20.649246845045273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5.175213675213679</v>
      </c>
      <c r="CT175" s="12">
        <f>IF('Données projet'!$A$140&gt;35,CT174+CS175-DB174,IF(A175&lt;'Données projet'!$A$140,$CQ$205^A175,IF(A175='Données projet'!$A$140,'Données projet'!$B$140,CT174+CS175-DB174)))</f>
        <v>270.91880341880363</v>
      </c>
      <c r="CU175" s="17">
        <f>CT175*VLOOKUP('Données projet'!$B$13,Paramètres!$A$1:$I$89,3,0)*VLOOKUP('Données projet'!$B$13,Paramètres!$A$1:$I$89,5,0)</f>
        <v>274.71166666666693</v>
      </c>
      <c r="CV175" s="13">
        <f t="shared" si="173"/>
        <v>65.848194844268733</v>
      </c>
      <c r="CW175" s="20">
        <f t="shared" si="174"/>
        <v>593.14175879821289</v>
      </c>
      <c r="CX175" s="59">
        <f t="shared" si="122"/>
        <v>886.47509213154626</v>
      </c>
      <c r="CY175" s="59">
        <f ca="1">AVERAGE(OFFSET($CX$3,0,0,'Données projet'!$E$13+1,1))-AVERAGE(OFFSET($H$3,0,0,'Données projet'!$E$13+1,1))</f>
        <v>342.82846711287749</v>
      </c>
      <c r="CZ175" s="59">
        <f t="shared" si="150"/>
        <v>152.87724741106297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53.914061770972879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53.914061770972879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208.48147873805715</v>
      </c>
      <c r="DU175" s="59">
        <f t="shared" si="152"/>
        <v>209.50570914630686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9.4067051169192961</v>
      </c>
      <c r="EB175" s="21">
        <f>EXP(-LN(2)/25)*EB174+(1-EXP(-LN(2)/25))/(LN(2)/25)*Calculateur!DW175*Calculateur!DY175*VLOOKUP('Données projet'!$B$14,Paramètres!$A$1:$I$89,3,0)*0.475*44/12</f>
        <v>1.4904821287294836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10.89718724564878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-1.7053025658242404E-13</v>
      </c>
      <c r="EK175" s="17">
        <f>EJ175*VLOOKUP('Données projet'!$B$15,Paramètres!$A$1:$I$89,3,0)*VLOOKUP('Données projet'!$B$15,Paramètres!$A$1:$I$89,5,0)</f>
        <v>-1.0197709343628959E-13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247.31680974612766</v>
      </c>
      <c r="EP175" s="59">
        <f t="shared" si="154"/>
        <v>257.13949761071882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14.116197887799027</v>
      </c>
      <c r="EW175" s="21">
        <f>EXP(-LN(2)/25)*EW174+(1-EXP(-LN(2)/25))/(LN(2)/25)*Calculateur!ER175*Calculateur!ET175*VLOOKUP('Données projet'!$B$15,Paramètres!$A$1:$I$89,3,0)*0.475*44/12</f>
        <v>1.6193917870964258</v>
      </c>
      <c r="EX175" s="21">
        <f>EXP(-LN(2)/2)*EX174+(1-EXP(-LN(2)/2))/(LN(2)/2)*ER175*EU175*VLOOKUP('Données projet'!$B$15,Paramètres!$A$1:$I$89,3,0)*0.475*44/12</f>
        <v>4.4357362907724373E-16</v>
      </c>
      <c r="EY175" s="22">
        <f t="shared" si="181"/>
        <v>15.735589674895452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30.766319999999965</v>
      </c>
      <c r="D176" s="11">
        <f t="shared" si="140"/>
        <v>9.5151496560417783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62.188935609327615</v>
      </c>
      <c r="H176" s="67">
        <f t="shared" si="110"/>
        <v>326.82355965093939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5.1159076974727213E-13</v>
      </c>
      <c r="O176" s="13">
        <f>N176*VLOOKUP('Données projet'!$B$9,Paramètres!$A$1:$I$89,3,0)*VLOOKUP('Données projet'!$B$9,Paramètres!$A$1:$I$89,5,0)</f>
        <v>2.3942448024172334E-13</v>
      </c>
      <c r="P176" s="13">
        <f t="shared" si="141"/>
        <v>3.2492669905861755E-12</v>
      </c>
      <c r="Q176" s="20">
        <f t="shared" si="162"/>
        <v>6.0761376450252565E-12</v>
      </c>
      <c r="R176" s="59">
        <f t="shared" si="109"/>
        <v>293.3333333333394</v>
      </c>
      <c r="S176" s="59">
        <f ca="1">AVERAGE(OFFSET($R$3,0,0,'Données projet'!$E$9+1,1))-AVERAGE(OFFSET($H$3,0,0,'Données projet'!$E$9+1,1))</f>
        <v>223.99456146593315</v>
      </c>
      <c r="T176" s="59">
        <f t="shared" si="142"/>
        <v>132.73290587325937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37.64644841812764</v>
      </c>
      <c r="AA176" s="21">
        <f>EXP(-LN(2)/25)*AA175+(1-EXP(-LN(2)/25))/(LN(2)/25)*Calculateur!V176*Calculateur!X176*VLOOKUP('Données projet'!$B$9,Paramètres!$A$1:$I$89,3,0)*0.475*44/12</f>
        <v>5.6379224359972513</v>
      </c>
      <c r="AB176" s="21">
        <f>EXP(-LN(2)/2)*AB175+(1-EXP(-LN(2)/2))/(LN(2)/2)*V176*Y176*VLOOKUP('Données projet'!$B$9,Paramètres!$A$1:$I$89,3,0)*0.475*44/12</f>
        <v>4.2721371456778978E-9</v>
      </c>
      <c r="AC176" s="22">
        <f t="shared" si="163"/>
        <v>43.284370858397033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8.5265128291212022E-14</v>
      </c>
      <c r="AJ176" s="13">
        <f>AI176*VLOOKUP('Données projet'!$B$10,Paramètres!$A$1:$I$89,3,0)*VLOOKUP('Données projet'!$B$10,Paramètres!$A$1:$I$89,5,0)</f>
        <v>5.5865712056402117E-14</v>
      </c>
      <c r="AK176" s="13">
        <f t="shared" si="164"/>
        <v>8.9811031843713517E-13</v>
      </c>
      <c r="AL176" s="20">
        <f t="shared" si="165"/>
        <v>1.6615082531095774E-12</v>
      </c>
      <c r="AM176" s="59">
        <f t="shared" si="113"/>
        <v>293.33333333333496</v>
      </c>
      <c r="AN176" s="59">
        <f ca="1">AVERAGE(OFFSET($AM$3,0,0,'Données projet'!$E$10+1,1))-AVERAGE(OFFSET($H$3,0,0,'Données projet'!$E$10+1,1))</f>
        <v>244.43587473734613</v>
      </c>
      <c r="AO176" s="59">
        <f t="shared" si="144"/>
        <v>256.80261402149375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3.5618297662329885</v>
      </c>
      <c r="AV176" s="21">
        <f>EXP(-LN(2)/25)*AV175+(1-EXP(-LN(2)/25))/(LN(2)/25)*Calculateur!AQ176*Calculateur!AS176*VLOOKUP('Données projet'!$B$10,Paramètres!$A$1:$I$89,3,0)*0.475*44/12</f>
        <v>5.0596734712284874</v>
      </c>
      <c r="AW176" s="21">
        <f>EXP(-LN(2)/2)*AW175+(1-EXP(-LN(2)/2))/(LN(2)/2)*AQ176*AT176*VLOOKUP('Données projet'!$B$10,Paramètres!$A$1:$I$89,3,0)*0.475*44/12</f>
        <v>1.0071835905026016E-11</v>
      </c>
      <c r="AX176" s="21">
        <f t="shared" si="166"/>
        <v>8.621503237471547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-1.2710188457276673E-13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430.60186171079067</v>
      </c>
      <c r="BJ176" s="59">
        <f t="shared" si="146"/>
        <v>533.76627289533985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27.608306908876415</v>
      </c>
      <c r="BQ176" s="21">
        <f>EXP(-LN(2)/25)*BQ175+(1-EXP(-LN(2)/25))/(LN(2)/25)*Calculateur!BL176*Calculateur!BN176*VLOOKUP('Données projet'!$B$11,Paramètres!$A$1:$I$89,3,0)*0.475*44/12</f>
        <v>2.8079845181352683</v>
      </c>
      <c r="BR176" s="21">
        <f>EXP(-LN(2)/2)*BR175+(1-EXP(-LN(2)/2))/(LN(2)/2)*BL176*BO176*VLOOKUP('Données projet'!$B$11,Paramètres!$A$1:$I$89,3,0)*0.475*44/12</f>
        <v>5.5268089045207644E-16</v>
      </c>
      <c r="BS176" s="22">
        <f t="shared" si="169"/>
        <v>30.416291427011682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-1.69961822393816E-13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215.89467197072673</v>
      </c>
      <c r="CE176" s="59">
        <f t="shared" si="148"/>
        <v>188.21397398859534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18.10374208667649</v>
      </c>
      <c r="CL176" s="21">
        <f>EXP(-LN(2)/25)*CL175+(1-EXP(-LN(2)/25))/(LN(2)/25)*Calculateur!CG176*Calculateur!CI176*VLOOKUP('Données projet'!$B$12,Paramètres!$A$1:$I$89,3,0)*0.475*44/12</f>
        <v>2.1236955709369809</v>
      </c>
      <c r="CM176" s="21">
        <f>EXP(-LN(2)/2)*CM175+(1-EXP(-LN(2)/2))/(LN(2)/2)*CG176*CJ176*VLOOKUP('Données projet'!$B$12,Paramètres!$A$1:$I$89,3,0)*0.475*44/12</f>
        <v>2.8012436303284145E-13</v>
      </c>
      <c r="CN176" s="22">
        <f t="shared" si="172"/>
        <v>20.227437657613752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5.175213675213679</v>
      </c>
      <c r="CT176" s="12">
        <f>IF('Données projet'!$A$140&gt;35,CT175+CS176-DB175,IF(A176&lt;'Données projet'!$A$140,$CQ$205^A176,IF(A176='Données projet'!$A$140,'Données projet'!$B$140,CT175+CS176-DB175)))</f>
        <v>276.09401709401732</v>
      </c>
      <c r="CU176" s="17">
        <f>CT176*VLOOKUP('Données projet'!$B$13,Paramètres!$A$1:$I$89,3,0)*VLOOKUP('Données projet'!$B$13,Paramètres!$A$1:$I$89,5,0)</f>
        <v>279.95933333333357</v>
      </c>
      <c r="CV176" s="13">
        <f t="shared" si="173"/>
        <v>66.958414772764996</v>
      </c>
      <c r="CW176" s="20">
        <f t="shared" si="174"/>
        <v>604.21507795145487</v>
      </c>
      <c r="CX176" s="59">
        <f t="shared" si="122"/>
        <v>897.54841128478824</v>
      </c>
      <c r="CY176" s="59">
        <f ca="1">AVERAGE(OFFSET($CX$3,0,0,'Données projet'!$E$13+1,1))-AVERAGE(OFFSET($H$3,0,0,'Données projet'!$E$13+1,1))</f>
        <v>342.82846711287749</v>
      </c>
      <c r="CZ176" s="59">
        <f t="shared" si="150"/>
        <v>152.87724741106297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52.856839903974723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52.856839903974723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208.48147873805715</v>
      </c>
      <c r="DU176" s="59">
        <f t="shared" si="152"/>
        <v>209.50570914630686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9.222245367100097</v>
      </c>
      <c r="EB176" s="21">
        <f>EXP(-LN(2)/25)*EB175+(1-EXP(-LN(2)/25))/(LN(2)/25)*Calculateur!DW176*Calculateur!DY176*VLOOKUP('Données projet'!$B$14,Paramètres!$A$1:$I$89,3,0)*0.475*44/12</f>
        <v>1.4497248165383272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10.671970183638424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-1.7053025658242404E-13</v>
      </c>
      <c r="EK176" s="17">
        <f>EJ176*VLOOKUP('Données projet'!$B$15,Paramètres!$A$1:$I$89,3,0)*VLOOKUP('Données projet'!$B$15,Paramètres!$A$1:$I$89,5,0)</f>
        <v>-1.0197709343628959E-13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247.31680974612766</v>
      </c>
      <c r="EP176" s="59">
        <f t="shared" si="154"/>
        <v>257.13949761071882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13.839387857249829</v>
      </c>
      <c r="EW176" s="21">
        <f>EXP(-LN(2)/25)*EW175+(1-EXP(-LN(2)/25))/(LN(2)/25)*Calculateur!ER176*Calculateur!ET176*VLOOKUP('Données projet'!$B$15,Paramètres!$A$1:$I$89,3,0)*0.475*44/12</f>
        <v>1.5751094335181612</v>
      </c>
      <c r="EX176" s="21">
        <f>EXP(-LN(2)/2)*EX175+(1-EXP(-LN(2)/2))/(LN(2)/2)*ER176*EU176*VLOOKUP('Données projet'!$B$15,Paramètres!$A$1:$I$89,3,0)*0.475*44/12</f>
        <v>3.1365392107604539E-16</v>
      </c>
      <c r="EY176" s="22">
        <f t="shared" si="181"/>
        <v>15.41449729076799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30.944159999999965</v>
      </c>
      <c r="D177" s="11">
        <f t="shared" si="140"/>
        <v>9.5637321060626572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62.53850009357037</v>
      </c>
      <c r="H177" s="67">
        <f t="shared" si="110"/>
        <v>327.21791208472575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5.1159076974727213E-13</v>
      </c>
      <c r="O177" s="13">
        <f>N177*VLOOKUP('Données projet'!$B$9,Paramètres!$A$1:$I$89,3,0)*VLOOKUP('Données projet'!$B$9,Paramètres!$A$1:$I$89,5,0)</f>
        <v>2.3942448024172334E-13</v>
      </c>
      <c r="P177" s="13">
        <f t="shared" si="141"/>
        <v>3.2492669905861755E-12</v>
      </c>
      <c r="Q177" s="20">
        <f t="shared" si="162"/>
        <v>6.0761376450252565E-12</v>
      </c>
      <c r="R177" s="59">
        <f t="shared" si="109"/>
        <v>293.3333333333394</v>
      </c>
      <c r="S177" s="59">
        <f ca="1">AVERAGE(OFFSET($R$3,0,0,'Données projet'!$E$9+1,1))-AVERAGE(OFFSET($H$3,0,0,'Données projet'!$E$9+1,1))</f>
        <v>223.99456146593315</v>
      </c>
      <c r="T177" s="59">
        <f t="shared" si="142"/>
        <v>132.73290587325937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36.908224526714378</v>
      </c>
      <c r="AA177" s="21">
        <f>EXP(-LN(2)/25)*AA176+(1-EXP(-LN(2)/25))/(LN(2)/25)*Calculateur!V177*Calculateur!X177*VLOOKUP('Données projet'!$B$9,Paramètres!$A$1:$I$89,3,0)*0.475*44/12</f>
        <v>5.4837531504994512</v>
      </c>
      <c r="AB177" s="21">
        <f>EXP(-LN(2)/2)*AB176+(1-EXP(-LN(2)/2))/(LN(2)/2)*V177*Y177*VLOOKUP('Données projet'!$B$9,Paramètres!$A$1:$I$89,3,0)*0.475*44/12</f>
        <v>3.020857145867783E-9</v>
      </c>
      <c r="AC177" s="22">
        <f t="shared" si="163"/>
        <v>42.391977680234689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8.5265128291212022E-14</v>
      </c>
      <c r="AJ177" s="13">
        <f>AI177*VLOOKUP('Données projet'!$B$10,Paramètres!$A$1:$I$89,3,0)*VLOOKUP('Données projet'!$B$10,Paramètres!$A$1:$I$89,5,0)</f>
        <v>5.5865712056402117E-14</v>
      </c>
      <c r="AK177" s="13">
        <f t="shared" si="164"/>
        <v>8.9811031843713517E-13</v>
      </c>
      <c r="AL177" s="20">
        <f t="shared" si="165"/>
        <v>1.6615082531095774E-12</v>
      </c>
      <c r="AM177" s="59">
        <f t="shared" si="113"/>
        <v>293.33333333333496</v>
      </c>
      <c r="AN177" s="59">
        <f ca="1">AVERAGE(OFFSET($AM$3,0,0,'Données projet'!$E$10+1,1))-AVERAGE(OFFSET($H$3,0,0,'Données projet'!$E$10+1,1))</f>
        <v>244.43587473734613</v>
      </c>
      <c r="AO177" s="59">
        <f t="shared" si="144"/>
        <v>256.80261402149375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3.4919844570188001</v>
      </c>
      <c r="AV177" s="21">
        <f>EXP(-LN(2)/25)*AV176+(1-EXP(-LN(2)/25))/(LN(2)/25)*Calculateur!AQ177*Calculateur!AS177*VLOOKUP('Données projet'!$B$10,Paramètres!$A$1:$I$89,3,0)*0.475*44/12</f>
        <v>4.9213164340810804</v>
      </c>
      <c r="AW177" s="21">
        <f>EXP(-LN(2)/2)*AW176+(1-EXP(-LN(2)/2))/(LN(2)/2)*AQ177*AT177*VLOOKUP('Données projet'!$B$10,Paramètres!$A$1:$I$89,3,0)*0.475*44/12</f>
        <v>7.1218634674420444E-12</v>
      </c>
      <c r="AX177" s="21">
        <f t="shared" si="166"/>
        <v>8.4133008911070011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-1.2710188457276673E-13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430.60186171079067</v>
      </c>
      <c r="BJ177" s="59">
        <f t="shared" si="146"/>
        <v>533.76627289533985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27.066924849797811</v>
      </c>
      <c r="BQ177" s="21">
        <f>EXP(-LN(2)/25)*BQ176+(1-EXP(-LN(2)/25))/(LN(2)/25)*Calculateur!BL177*Calculateur!BN177*VLOOKUP('Données projet'!$B$11,Paramètres!$A$1:$I$89,3,0)*0.475*44/12</f>
        <v>2.7312000338213713</v>
      </c>
      <c r="BR177" s="21">
        <f>EXP(-LN(2)/2)*BR176+(1-EXP(-LN(2)/2))/(LN(2)/2)*BL177*BO177*VLOOKUP('Données projet'!$B$11,Paramètres!$A$1:$I$89,3,0)*0.475*44/12</f>
        <v>3.9080440547088267E-16</v>
      </c>
      <c r="BS177" s="22">
        <f t="shared" si="169"/>
        <v>29.798124883619181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-1.69961822393816E-13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215.89467197072673</v>
      </c>
      <c r="CE177" s="59">
        <f t="shared" si="148"/>
        <v>188.21397398859534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17.748738746549112</v>
      </c>
      <c r="CL177" s="21">
        <f>EXP(-LN(2)/25)*CL176+(1-EXP(-LN(2)/25))/(LN(2)/25)*Calculateur!CG177*Calculateur!CI177*VLOOKUP('Données projet'!$B$12,Paramètres!$A$1:$I$89,3,0)*0.475*44/12</f>
        <v>2.0656230038694128</v>
      </c>
      <c r="CM177" s="21">
        <f>EXP(-LN(2)/2)*CM176+(1-EXP(-LN(2)/2))/(LN(2)/2)*CG177*CJ177*VLOOKUP('Données projet'!$B$12,Paramètres!$A$1:$I$89,3,0)*0.475*44/12</f>
        <v>1.9807783667608443E-13</v>
      </c>
      <c r="CN177" s="22">
        <f t="shared" si="172"/>
        <v>19.814361750418723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5.175213675213679</v>
      </c>
      <c r="CT177" s="12">
        <f>IF('Données projet'!$A$140&gt;35,CT176+CS177-DB176,IF(A177&lt;'Données projet'!$A$140,$CQ$205^A177,IF(A177='Données projet'!$A$140,'Données projet'!$B$140,CT176+CS177-DB176)))</f>
        <v>281.269230769231</v>
      </c>
      <c r="CU177" s="17">
        <f>CT177*VLOOKUP('Données projet'!$B$13,Paramètres!$A$1:$I$89,3,0)*VLOOKUP('Données projet'!$B$13,Paramètres!$A$1:$I$89,5,0)</f>
        <v>285.20700000000028</v>
      </c>
      <c r="CV177" s="13">
        <f t="shared" si="173"/>
        <v>68.066214862222793</v>
      </c>
      <c r="CW177" s="20">
        <f t="shared" si="174"/>
        <v>615.28418255170516</v>
      </c>
      <c r="CX177" s="59">
        <f t="shared" si="122"/>
        <v>908.61751588503853</v>
      </c>
      <c r="CY177" s="59">
        <f ca="1">AVERAGE(OFFSET($CX$3,0,0,'Données projet'!$E$13+1,1))-AVERAGE(OFFSET($H$3,0,0,'Données projet'!$E$13+1,1))</f>
        <v>342.82846711287749</v>
      </c>
      <c r="CZ177" s="59">
        <f t="shared" si="150"/>
        <v>152.87724741106297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51.820349512946734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51.820349512946734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208.48147873805715</v>
      </c>
      <c r="DU177" s="59">
        <f t="shared" si="152"/>
        <v>209.50570914630686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9.0414027604655143</v>
      </c>
      <c r="EB177" s="21">
        <f>EXP(-LN(2)/25)*EB176+(1-EXP(-LN(2)/25))/(LN(2)/25)*Calculateur!DW177*Calculateur!DY177*VLOOKUP('Données projet'!$B$14,Paramètres!$A$1:$I$89,3,0)*0.475*44/12</f>
        <v>1.4100820151923719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10.451484775657885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-1.7053025658242404E-13</v>
      </c>
      <c r="EK177" s="17">
        <f>EJ177*VLOOKUP('Données projet'!$B$15,Paramètres!$A$1:$I$89,3,0)*VLOOKUP('Données projet'!$B$15,Paramètres!$A$1:$I$89,5,0)</f>
        <v>-1.0197709343628959E-13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247.31680974612766</v>
      </c>
      <c r="EP177" s="59">
        <f t="shared" si="154"/>
        <v>257.13949761071882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13.568005902562254</v>
      </c>
      <c r="EW177" s="21">
        <f>EXP(-LN(2)/25)*EW176+(1-EXP(-LN(2)/25))/(LN(2)/25)*Calculateur!ER177*Calculateur!ET177*VLOOKUP('Données projet'!$B$15,Paramètres!$A$1:$I$89,3,0)*0.475*44/12</f>
        <v>1.532037983227202</v>
      </c>
      <c r="EX177" s="21">
        <f>EXP(-LN(2)/2)*EX176+(1-EXP(-LN(2)/2))/(LN(2)/2)*ER177*EU177*VLOOKUP('Données projet'!$B$15,Paramètres!$A$1:$I$89,3,0)*0.475*44/12</f>
        <v>2.2178681453862189E-16</v>
      </c>
      <c r="EY177" s="22">
        <f t="shared" si="181"/>
        <v>15.100043885789455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31.121999999999964</v>
      </c>
      <c r="D178" s="11">
        <f t="shared" si="140"/>
        <v>9.6122820667787892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62.888014418886506</v>
      </c>
      <c r="H178" s="67">
        <f t="shared" si="110"/>
        <v>327.61220793297304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5.1159076974727213E-13</v>
      </c>
      <c r="O178" s="13">
        <f>N178*VLOOKUP('Données projet'!$B$9,Paramètres!$A$1:$I$89,3,0)*VLOOKUP('Données projet'!$B$9,Paramètres!$A$1:$I$89,5,0)</f>
        <v>2.3942448024172334E-13</v>
      </c>
      <c r="P178" s="13">
        <f t="shared" si="141"/>
        <v>3.2492669905861755E-12</v>
      </c>
      <c r="Q178" s="20">
        <f t="shared" si="162"/>
        <v>6.0761376450252565E-12</v>
      </c>
      <c r="R178" s="59">
        <f t="shared" si="109"/>
        <v>293.3333333333394</v>
      </c>
      <c r="S178" s="59">
        <f ca="1">AVERAGE(OFFSET($R$3,0,0,'Données projet'!$E$9+1,1))-AVERAGE(OFFSET($H$3,0,0,'Données projet'!$E$9+1,1))</f>
        <v>223.99456146593315</v>
      </c>
      <c r="T178" s="59">
        <f t="shared" si="142"/>
        <v>132.73290587325937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36.184476755539613</v>
      </c>
      <c r="AA178" s="21">
        <f>EXP(-LN(2)/25)*AA177+(1-EXP(-LN(2)/25))/(LN(2)/25)*Calculateur!V178*Calculateur!X178*VLOOKUP('Données projet'!$B$9,Paramètres!$A$1:$I$89,3,0)*0.475*44/12</f>
        <v>5.3337996322209991</v>
      </c>
      <c r="AB178" s="21">
        <f>EXP(-LN(2)/2)*AB177+(1-EXP(-LN(2)/2))/(LN(2)/2)*V178*Y178*VLOOKUP('Données projet'!$B$9,Paramètres!$A$1:$I$89,3,0)*0.475*44/12</f>
        <v>2.1360685728389489E-9</v>
      </c>
      <c r="AC178" s="22">
        <f t="shared" si="163"/>
        <v>41.518276389896684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8.5265128291212022E-14</v>
      </c>
      <c r="AJ178" s="13">
        <f>AI178*VLOOKUP('Données projet'!$B$10,Paramètres!$A$1:$I$89,3,0)*VLOOKUP('Données projet'!$B$10,Paramètres!$A$1:$I$89,5,0)</f>
        <v>5.5865712056402117E-14</v>
      </c>
      <c r="AK178" s="13">
        <f t="shared" si="164"/>
        <v>8.9811031843713517E-13</v>
      </c>
      <c r="AL178" s="20">
        <f t="shared" si="165"/>
        <v>1.6615082531095774E-12</v>
      </c>
      <c r="AM178" s="59">
        <f t="shared" si="113"/>
        <v>293.33333333333496</v>
      </c>
      <c r="AN178" s="59">
        <f ca="1">AVERAGE(OFFSET($AM$3,0,0,'Données projet'!$E$10+1,1))-AVERAGE(OFFSET($H$3,0,0,'Données projet'!$E$10+1,1))</f>
        <v>244.43587473734613</v>
      </c>
      <c r="AO178" s="59">
        <f t="shared" si="144"/>
        <v>256.80261402149375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3.42350877171687</v>
      </c>
      <c r="AV178" s="21">
        <f>EXP(-LN(2)/25)*AV177+(1-EXP(-LN(2)/25))/(LN(2)/25)*Calculateur!AQ178*Calculateur!AS178*VLOOKUP('Données projet'!$B$10,Paramètres!$A$1:$I$89,3,0)*0.475*44/12</f>
        <v>4.7867427773903497</v>
      </c>
      <c r="AW178" s="21">
        <f>EXP(-LN(2)/2)*AW177+(1-EXP(-LN(2)/2))/(LN(2)/2)*AQ178*AT178*VLOOKUP('Données projet'!$B$10,Paramètres!$A$1:$I$89,3,0)*0.475*44/12</f>
        <v>5.0359179525130089E-12</v>
      </c>
      <c r="AX178" s="21">
        <f t="shared" si="166"/>
        <v>8.2102515491122556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-1.2710188457276673E-13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430.60186171079067</v>
      </c>
      <c r="BJ178" s="59">
        <f t="shared" si="146"/>
        <v>533.76627289533985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26.536158962687288</v>
      </c>
      <c r="BQ178" s="21">
        <f>EXP(-LN(2)/25)*BQ177+(1-EXP(-LN(2)/25))/(LN(2)/25)*Calculateur!BL178*Calculateur!BN178*VLOOKUP('Données projet'!$B$11,Paramètres!$A$1:$I$89,3,0)*0.475*44/12</f>
        <v>2.6565152252689583</v>
      </c>
      <c r="BR178" s="21">
        <f>EXP(-LN(2)/2)*BR177+(1-EXP(-LN(2)/2))/(LN(2)/2)*BL178*BO178*VLOOKUP('Données projet'!$B$11,Paramètres!$A$1:$I$89,3,0)*0.475*44/12</f>
        <v>2.7634044522603822E-16</v>
      </c>
      <c r="BS178" s="22">
        <f t="shared" si="169"/>
        <v>29.192674187956246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-1.69961822393816E-13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215.89467197072673</v>
      </c>
      <c r="CE178" s="59">
        <f t="shared" si="148"/>
        <v>188.21397398859534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17.400696805390975</v>
      </c>
      <c r="CL178" s="21">
        <f>EXP(-LN(2)/25)*CL177+(1-EXP(-LN(2)/25))/(LN(2)/25)*Calculateur!CG178*Calculateur!CI178*VLOOKUP('Données projet'!$B$12,Paramètres!$A$1:$I$89,3,0)*0.475*44/12</f>
        <v>2.0091384342022112</v>
      </c>
      <c r="CM178" s="21">
        <f>EXP(-LN(2)/2)*CM177+(1-EXP(-LN(2)/2))/(LN(2)/2)*CG178*CJ178*VLOOKUP('Données projet'!$B$12,Paramètres!$A$1:$I$89,3,0)*0.475*44/12</f>
        <v>1.4006218151642073E-13</v>
      </c>
      <c r="CN178" s="22">
        <f t="shared" si="172"/>
        <v>19.409835239593324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5.175213675213679</v>
      </c>
      <c r="CT178" s="12">
        <f>IF('Données projet'!$A$140&gt;35,CT177+CS178-DB177,IF(A178&lt;'Données projet'!$A$140,$CQ$205^A178,IF(A178='Données projet'!$A$140,'Données projet'!$B$140,CT177+CS178-DB177)))</f>
        <v>286.44444444444468</v>
      </c>
      <c r="CU178" s="17">
        <f>CT178*VLOOKUP('Données projet'!$B$13,Paramètres!$A$1:$I$89,3,0)*VLOOKUP('Données projet'!$B$13,Paramètres!$A$1:$I$89,5,0)</f>
        <v>290.45466666666692</v>
      </c>
      <c r="CV178" s="13">
        <f t="shared" si="173"/>
        <v>69.171644771509136</v>
      </c>
      <c r="CW178" s="20">
        <f t="shared" si="174"/>
        <v>626.34915908815663</v>
      </c>
      <c r="CX178" s="59">
        <f t="shared" si="122"/>
        <v>919.68249242149</v>
      </c>
      <c r="CY178" s="59">
        <f ca="1">AVERAGE(OFFSET($CX$3,0,0,'Données projet'!$E$13+1,1))-AVERAGE(OFFSET($H$3,0,0,'Données projet'!$E$13+1,1))</f>
        <v>342.82846711287749</v>
      </c>
      <c r="CZ178" s="59">
        <f t="shared" si="150"/>
        <v>152.87724741106297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50.804184066290091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50.804184066290091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208.48147873805715</v>
      </c>
      <c r="DU178" s="59">
        <f t="shared" si="152"/>
        <v>209.50570914630686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8.8641063670439362</v>
      </c>
      <c r="EB178" s="21">
        <f>EXP(-LN(2)/25)*EB177+(1-EXP(-LN(2)/25))/(LN(2)/25)*Calculateur!DW178*Calculateur!DY178*VLOOKUP('Données projet'!$B$14,Paramètres!$A$1:$I$89,3,0)*0.475*44/12</f>
        <v>1.3715232483339461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10.235629615377881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-1.7053025658242404E-13</v>
      </c>
      <c r="EK178" s="17">
        <f>EJ178*VLOOKUP('Données projet'!$B$15,Paramètres!$A$1:$I$89,3,0)*VLOOKUP('Données projet'!$B$15,Paramètres!$A$1:$I$89,5,0)</f>
        <v>-1.0197709343628959E-13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247.31680974612766</v>
      </c>
      <c r="EP178" s="59">
        <f t="shared" si="154"/>
        <v>257.13949761071882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13.301945582479455</v>
      </c>
      <c r="EW178" s="21">
        <f>EXP(-LN(2)/25)*EW177+(1-EXP(-LN(2)/25))/(LN(2)/25)*Calculateur!ER178*Calculateur!ET178*VLOOKUP('Données projet'!$B$15,Paramètres!$A$1:$I$89,3,0)*0.475*44/12</f>
        <v>1.490144324009478</v>
      </c>
      <c r="EX178" s="21">
        <f>EXP(-LN(2)/2)*EX177+(1-EXP(-LN(2)/2))/(LN(2)/2)*ER178*EU178*VLOOKUP('Données projet'!$B$15,Paramètres!$A$1:$I$89,3,0)*0.475*44/12</f>
        <v>1.5682696053802272E-16</v>
      </c>
      <c r="EY178" s="22">
        <f t="shared" si="181"/>
        <v>14.792089906488933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31.299839999999964</v>
      </c>
      <c r="D179" s="11">
        <f t="shared" si="140"/>
        <v>9.6607997453867274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63.237478905158405</v>
      </c>
      <c r="H179" s="67">
        <f t="shared" si="110"/>
        <v>328.00644755654849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5.1159076974727213E-13</v>
      </c>
      <c r="O179" s="13">
        <f>N179*VLOOKUP('Données projet'!$B$9,Paramètres!$A$1:$I$89,3,0)*VLOOKUP('Données projet'!$B$9,Paramètres!$A$1:$I$89,5,0)</f>
        <v>2.3942448024172334E-13</v>
      </c>
      <c r="P179" s="13">
        <f t="shared" si="141"/>
        <v>3.2492669905861755E-12</v>
      </c>
      <c r="Q179" s="20">
        <f t="shared" si="162"/>
        <v>6.0761376450252565E-12</v>
      </c>
      <c r="R179" s="59">
        <f t="shared" si="109"/>
        <v>293.3333333333394</v>
      </c>
      <c r="S179" s="59">
        <f ca="1">AVERAGE(OFFSET($R$3,0,0,'Données projet'!$E$9+1,1))-AVERAGE(OFFSET($H$3,0,0,'Données projet'!$E$9+1,1))</f>
        <v>223.99456146593315</v>
      </c>
      <c r="T179" s="59">
        <f t="shared" si="142"/>
        <v>132.73290587325937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35.474921236715034</v>
      </c>
      <c r="AA179" s="21">
        <f>EXP(-LN(2)/25)*AA178+(1-EXP(-LN(2)/25))/(LN(2)/25)*Calculateur!V179*Calculateur!X179*VLOOKUP('Données projet'!$B$9,Paramètres!$A$1:$I$89,3,0)*0.475*44/12</f>
        <v>5.1879466007855841</v>
      </c>
      <c r="AB179" s="21">
        <f>EXP(-LN(2)/2)*AB178+(1-EXP(-LN(2)/2))/(LN(2)/2)*V179*Y179*VLOOKUP('Données projet'!$B$9,Paramètres!$A$1:$I$89,3,0)*0.475*44/12</f>
        <v>1.5104285729338915E-9</v>
      </c>
      <c r="AC179" s="22">
        <f t="shared" si="163"/>
        <v>40.662867839011049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8.5265128291212022E-14</v>
      </c>
      <c r="AJ179" s="13">
        <f>AI179*VLOOKUP('Données projet'!$B$10,Paramètres!$A$1:$I$89,3,0)*VLOOKUP('Données projet'!$B$10,Paramètres!$A$1:$I$89,5,0)</f>
        <v>5.5865712056402117E-14</v>
      </c>
      <c r="AK179" s="13">
        <f t="shared" si="164"/>
        <v>8.9811031843713517E-13</v>
      </c>
      <c r="AL179" s="20">
        <f t="shared" si="165"/>
        <v>1.6615082531095774E-12</v>
      </c>
      <c r="AM179" s="59">
        <f t="shared" si="113"/>
        <v>293.33333333333496</v>
      </c>
      <c r="AN179" s="59">
        <f ca="1">AVERAGE(OFFSET($AM$3,0,0,'Données projet'!$E$10+1,1))-AVERAGE(OFFSET($H$3,0,0,'Données projet'!$E$10+1,1))</f>
        <v>244.43587473734613</v>
      </c>
      <c r="AO179" s="59">
        <f t="shared" si="144"/>
        <v>256.80261402149375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3.3563758528376666</v>
      </c>
      <c r="AV179" s="21">
        <f>EXP(-LN(2)/25)*AV178+(1-EXP(-LN(2)/25))/(LN(2)/25)*Calculateur!AQ179*Calculateur!AS179*VLOOKUP('Données projet'!$B$10,Paramètres!$A$1:$I$89,3,0)*0.475*44/12</f>
        <v>4.6558490444187486</v>
      </c>
      <c r="AW179" s="21">
        <f>EXP(-LN(2)/2)*AW178+(1-EXP(-LN(2)/2))/(LN(2)/2)*AQ179*AT179*VLOOKUP('Données projet'!$B$10,Paramètres!$A$1:$I$89,3,0)*0.475*44/12</f>
        <v>3.560931733721023E-12</v>
      </c>
      <c r="AX179" s="21">
        <f t="shared" si="166"/>
        <v>8.0122248972599763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-1.2710188457276673E-13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430.60186171079067</v>
      </c>
      <c r="BJ179" s="59">
        <f t="shared" si="146"/>
        <v>533.76627289533985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26.015801070887775</v>
      </c>
      <c r="BQ179" s="21">
        <f>EXP(-LN(2)/25)*BQ178+(1-EXP(-LN(2)/25))/(LN(2)/25)*Calculateur!BL179*Calculateur!BN179*VLOOKUP('Données projet'!$B$11,Paramètres!$A$1:$I$89,3,0)*0.475*44/12</f>
        <v>2.5838726767339146</v>
      </c>
      <c r="BR179" s="21">
        <f>EXP(-LN(2)/2)*BR178+(1-EXP(-LN(2)/2))/(LN(2)/2)*BL179*BO179*VLOOKUP('Données projet'!$B$11,Paramètres!$A$1:$I$89,3,0)*0.475*44/12</f>
        <v>1.9540220273544133E-16</v>
      </c>
      <c r="BS179" s="22">
        <f t="shared" si="169"/>
        <v>28.59967374762169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-1.69961822393816E-13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215.89467197072673</v>
      </c>
      <c r="CE179" s="59">
        <f t="shared" si="148"/>
        <v>188.21397398859534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17.059479754414326</v>
      </c>
      <c r="CL179" s="21">
        <f>EXP(-LN(2)/25)*CL178+(1-EXP(-LN(2)/25))/(LN(2)/25)*Calculateur!CG179*Calculateur!CI179*VLOOKUP('Données projet'!$B$12,Paramètres!$A$1:$I$89,3,0)*0.475*44/12</f>
        <v>1.9541984380629533</v>
      </c>
      <c r="CM179" s="21">
        <f>EXP(-LN(2)/2)*CM178+(1-EXP(-LN(2)/2))/(LN(2)/2)*CG179*CJ179*VLOOKUP('Données projet'!$B$12,Paramètres!$A$1:$I$89,3,0)*0.475*44/12</f>
        <v>9.9038918338042214E-14</v>
      </c>
      <c r="CN179" s="22">
        <f t="shared" si="172"/>
        <v>19.013678192477379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5.175213675213679</v>
      </c>
      <c r="CT179" s="12">
        <f>IF('Données projet'!$A$140&gt;35,CT178+CS179-DB178,IF(A179&lt;'Données projet'!$A$140,$CQ$205^A179,IF(A179='Données projet'!$A$140,'Données projet'!$B$140,CT178+CS179-DB178)))</f>
        <v>291.61965811965837</v>
      </c>
      <c r="CU179" s="17">
        <f>CT179*VLOOKUP('Données projet'!$B$13,Paramètres!$A$1:$I$89,3,0)*VLOOKUP('Données projet'!$B$13,Paramètres!$A$1:$I$89,5,0)</f>
        <v>295.70233333333363</v>
      </c>
      <c r="CV179" s="13">
        <f t="shared" si="173"/>
        <v>70.274752262363265</v>
      </c>
      <c r="CW179" s="20">
        <f t="shared" si="174"/>
        <v>637.41009074583883</v>
      </c>
      <c r="CX179" s="59">
        <f t="shared" si="122"/>
        <v>930.7434240791722</v>
      </c>
      <c r="CY179" s="59">
        <f ca="1">AVERAGE(OFFSET($CX$3,0,0,'Données projet'!$E$13+1,1))-AVERAGE(OFFSET($H$3,0,0,'Données projet'!$E$13+1,1))</f>
        <v>342.82846711287749</v>
      </c>
      <c r="CZ179" s="59">
        <f t="shared" si="150"/>
        <v>152.87724741106297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49.807945004242661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49.807945004242661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208.48147873805715</v>
      </c>
      <c r="DU179" s="59">
        <f t="shared" si="152"/>
        <v>209.50570914630686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8.6902866477572331</v>
      </c>
      <c r="EB179" s="21">
        <f>EXP(-LN(2)/25)*EB178+(1-EXP(-LN(2)/25))/(LN(2)/25)*Calculateur!DW179*Calculateur!DY179*VLOOKUP('Données projet'!$B$14,Paramètres!$A$1:$I$89,3,0)*0.475*44/12</f>
        <v>1.3340188729829814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10.024305520740214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-1.7053025658242404E-13</v>
      </c>
      <c r="EK179" s="17">
        <f>EJ179*VLOOKUP('Données projet'!$B$15,Paramètres!$A$1:$I$89,3,0)*VLOOKUP('Données projet'!$B$15,Paramètres!$A$1:$I$89,5,0)</f>
        <v>-1.0197709343628959E-13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247.31680974612766</v>
      </c>
      <c r="EP179" s="59">
        <f t="shared" si="154"/>
        <v>257.13949761071882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13.041102542992707</v>
      </c>
      <c r="EW179" s="21">
        <f>EXP(-LN(2)/25)*EW178+(1-EXP(-LN(2)/25))/(LN(2)/25)*Calculateur!ER179*Calculateur!ET179*VLOOKUP('Données projet'!$B$15,Paramètres!$A$1:$I$89,3,0)*0.475*44/12</f>
        <v>1.4493962491061547</v>
      </c>
      <c r="EX179" s="21">
        <f>EXP(-LN(2)/2)*EX178+(1-EXP(-LN(2)/2))/(LN(2)/2)*ER179*EU179*VLOOKUP('Données projet'!$B$15,Paramètres!$A$1:$I$89,3,0)*0.475*44/12</f>
        <v>1.1089340726931096E-16</v>
      </c>
      <c r="EY179" s="22">
        <f t="shared" si="181"/>
        <v>14.490498792098862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31.477679999999964</v>
      </c>
      <c r="D180" s="11">
        <f t="shared" si="140"/>
        <v>9.7092853465922513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63.586893868423068</v>
      </c>
      <c r="H180" s="67">
        <f t="shared" si="110"/>
        <v>328.40063131198144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5.1159076974727213E-13</v>
      </c>
      <c r="O180" s="13">
        <f>N180*VLOOKUP('Données projet'!$B$9,Paramètres!$A$1:$I$89,3,0)*VLOOKUP('Données projet'!$B$9,Paramètres!$A$1:$I$89,5,0)</f>
        <v>2.3942448024172334E-13</v>
      </c>
      <c r="P180" s="13">
        <f t="shared" si="141"/>
        <v>3.2492669905861755E-12</v>
      </c>
      <c r="Q180" s="20">
        <f t="shared" si="162"/>
        <v>6.0761376450252565E-12</v>
      </c>
      <c r="R180" s="59">
        <f t="shared" si="109"/>
        <v>293.3333333333394</v>
      </c>
      <c r="S180" s="59">
        <f ca="1">AVERAGE(OFFSET($R$3,0,0,'Données projet'!$E$9+1,1))-AVERAGE(OFFSET($H$3,0,0,'Données projet'!$E$9+1,1))</f>
        <v>223.99456146593315</v>
      </c>
      <c r="T180" s="59">
        <f t="shared" si="142"/>
        <v>132.73290587325937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34.779279668828472</v>
      </c>
      <c r="AA180" s="21">
        <f>EXP(-LN(2)/25)*AA179+(1-EXP(-LN(2)/25))/(LN(2)/25)*Calculateur!V180*Calculateur!X180*VLOOKUP('Données projet'!$B$9,Paramètres!$A$1:$I$89,3,0)*0.475*44/12</f>
        <v>5.0460819281648481</v>
      </c>
      <c r="AB180" s="21">
        <f>EXP(-LN(2)/2)*AB179+(1-EXP(-LN(2)/2))/(LN(2)/2)*V180*Y180*VLOOKUP('Données projet'!$B$9,Paramètres!$A$1:$I$89,3,0)*0.475*44/12</f>
        <v>1.0680342864194744E-9</v>
      </c>
      <c r="AC180" s="22">
        <f t="shared" si="163"/>
        <v>39.825361598061349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8.5265128291212022E-14</v>
      </c>
      <c r="AJ180" s="13">
        <f>AI180*VLOOKUP('Données projet'!$B$10,Paramètres!$A$1:$I$89,3,0)*VLOOKUP('Données projet'!$B$10,Paramètres!$A$1:$I$89,5,0)</f>
        <v>5.5865712056402117E-14</v>
      </c>
      <c r="AK180" s="13">
        <f t="shared" si="164"/>
        <v>8.9811031843713517E-13</v>
      </c>
      <c r="AL180" s="20">
        <f t="shared" si="165"/>
        <v>1.6615082531095774E-12</v>
      </c>
      <c r="AM180" s="59">
        <f t="shared" si="113"/>
        <v>293.33333333333496</v>
      </c>
      <c r="AN180" s="59">
        <f ca="1">AVERAGE(OFFSET($AM$3,0,0,'Données projet'!$E$10+1,1))-AVERAGE(OFFSET($H$3,0,0,'Données projet'!$E$10+1,1))</f>
        <v>244.43587473734613</v>
      </c>
      <c r="AO180" s="59">
        <f t="shared" si="144"/>
        <v>256.80261402149375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3.2905593695506474</v>
      </c>
      <c r="AV180" s="21">
        <f>EXP(-LN(2)/25)*AV179+(1-EXP(-LN(2)/25))/(LN(2)/25)*Calculateur!AQ180*Calculateur!AS180*VLOOKUP('Données projet'!$B$10,Paramètres!$A$1:$I$89,3,0)*0.475*44/12</f>
        <v>4.5285346074586581</v>
      </c>
      <c r="AW180" s="21">
        <f>EXP(-LN(2)/2)*AW179+(1-EXP(-LN(2)/2))/(LN(2)/2)*AQ180*AT180*VLOOKUP('Données projet'!$B$10,Paramètres!$A$1:$I$89,3,0)*0.475*44/12</f>
        <v>2.5179589762565048E-12</v>
      </c>
      <c r="AX180" s="21">
        <f t="shared" si="166"/>
        <v>7.819093977011824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-1.2710188457276673E-13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430.60186171079067</v>
      </c>
      <c r="BJ180" s="59">
        <f t="shared" si="146"/>
        <v>533.76627289533985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25.505647079959477</v>
      </c>
      <c r="BQ180" s="21">
        <f>EXP(-LN(2)/25)*BQ179+(1-EXP(-LN(2)/25))/(LN(2)/25)*Calculateur!BL180*Calculateur!BN180*VLOOKUP('Données projet'!$B$11,Paramètres!$A$1:$I$89,3,0)*0.475*44/12</f>
        <v>2.5132165425086672</v>
      </c>
      <c r="BR180" s="21">
        <f>EXP(-LN(2)/2)*BR179+(1-EXP(-LN(2)/2))/(LN(2)/2)*BL180*BO180*VLOOKUP('Données projet'!$B$11,Paramètres!$A$1:$I$89,3,0)*0.475*44/12</f>
        <v>1.3817022261301911E-16</v>
      </c>
      <c r="BS180" s="22">
        <f t="shared" si="169"/>
        <v>28.018863622468146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-1.69961822393816E-13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215.89467197072673</v>
      </c>
      <c r="CE180" s="59">
        <f t="shared" si="148"/>
        <v>188.21397398859534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16.724953761685477</v>
      </c>
      <c r="CL180" s="21">
        <f>EXP(-LN(2)/25)*CL179+(1-EXP(-LN(2)/25))/(LN(2)/25)*Calculateur!CG180*Calculateur!CI180*VLOOKUP('Données projet'!$B$12,Paramètres!$A$1:$I$89,3,0)*0.475*44/12</f>
        <v>1.9007607790072925</v>
      </c>
      <c r="CM180" s="21">
        <f>EXP(-LN(2)/2)*CM179+(1-EXP(-LN(2)/2))/(LN(2)/2)*CG180*CJ180*VLOOKUP('Données projet'!$B$12,Paramètres!$A$1:$I$89,3,0)*0.475*44/12</f>
        <v>7.0031090758210363E-14</v>
      </c>
      <c r="CN180" s="22">
        <f t="shared" si="172"/>
        <v>18.62571454069284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5.175213675213679</v>
      </c>
      <c r="CT180" s="12">
        <f>IF('Données projet'!$A$140&gt;35,CT179+CS180-DB179,IF(A180&lt;'Données projet'!$A$140,$CQ$205^A180,IF(A180='Données projet'!$A$140,'Données projet'!$B$140,CT179+CS180-DB179)))</f>
        <v>296.79487179487205</v>
      </c>
      <c r="CU180" s="17">
        <f>CT180*VLOOKUP('Données projet'!$B$13,Paramètres!$A$1:$I$89,3,0)*VLOOKUP('Données projet'!$B$13,Paramètres!$A$1:$I$89,5,0)</f>
        <v>300.95000000000027</v>
      </c>
      <c r="CV180" s="13">
        <f t="shared" si="173"/>
        <v>71.375583304230915</v>
      </c>
      <c r="CW180" s="20">
        <f t="shared" si="174"/>
        <v>648.46705758820269</v>
      </c>
      <c r="CX180" s="59">
        <f t="shared" si="122"/>
        <v>941.80039092153606</v>
      </c>
      <c r="CY180" s="59">
        <f ca="1">AVERAGE(OFFSET($CX$3,0,0,'Données projet'!$E$13+1,1))-AVERAGE(OFFSET($H$3,0,0,'Données projet'!$E$13+1,1))</f>
        <v>342.82846711287749</v>
      </c>
      <c r="CZ180" s="59">
        <f t="shared" si="150"/>
        <v>152.87724741106297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48.831241582556153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48.831241582556153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208.48147873805715</v>
      </c>
      <c r="DU180" s="59">
        <f t="shared" si="152"/>
        <v>209.50570914630686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8.5198754271461823</v>
      </c>
      <c r="EB180" s="21">
        <f>EXP(-LN(2)/25)*EB179+(1-EXP(-LN(2)/25))/(LN(2)/25)*Calculateur!DW180*Calculateur!DY180*VLOOKUP('Données projet'!$B$14,Paramètres!$A$1:$I$89,3,0)*0.475*44/12</f>
        <v>1.2975400567482582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9.8174154838944396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-1.7053025658242404E-13</v>
      </c>
      <c r="EK180" s="17">
        <f>EJ180*VLOOKUP('Données projet'!$B$15,Paramètres!$A$1:$I$89,3,0)*VLOOKUP('Données projet'!$B$15,Paramètres!$A$1:$I$89,5,0)</f>
        <v>-1.0197709343628959E-13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247.31680974612766</v>
      </c>
      <c r="EP180" s="59">
        <f t="shared" si="154"/>
        <v>257.13949761071882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12.78537447641175</v>
      </c>
      <c r="EW180" s="21">
        <f>EXP(-LN(2)/25)*EW179+(1-EXP(-LN(2)/25))/(LN(2)/25)*Calculateur!ER180*Calculateur!ET180*VLOOKUP('Données projet'!$B$15,Paramètres!$A$1:$I$89,3,0)*0.475*44/12</f>
        <v>1.4097624324539109</v>
      </c>
      <c r="EX180" s="21">
        <f>EXP(-LN(2)/2)*EX179+(1-EXP(-LN(2)/2))/(LN(2)/2)*ER180*EU180*VLOOKUP('Données projet'!$B$15,Paramètres!$A$1:$I$89,3,0)*0.475*44/12</f>
        <v>7.8413480269011371E-17</v>
      </c>
      <c r="EY180" s="22">
        <f t="shared" si="181"/>
        <v>14.195136908865662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31.655519999999964</v>
      </c>
      <c r="D181" s="11">
        <f t="shared" si="140"/>
        <v>9.7577390726542532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63.936259620939836</v>
      </c>
      <c r="H181" s="67">
        <f t="shared" si="110"/>
        <v>328.79475955153941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5.1159076974727213E-13</v>
      </c>
      <c r="O181" s="13">
        <f>N181*VLOOKUP('Données projet'!$B$9,Paramètres!$A$1:$I$89,3,0)*VLOOKUP('Données projet'!$B$9,Paramètres!$A$1:$I$89,5,0)</f>
        <v>2.3942448024172334E-13</v>
      </c>
      <c r="P181" s="13">
        <f t="shared" si="141"/>
        <v>3.2492669905861755E-12</v>
      </c>
      <c r="Q181" s="20">
        <f t="shared" si="162"/>
        <v>6.0761376450252565E-12</v>
      </c>
      <c r="R181" s="59">
        <f t="shared" si="109"/>
        <v>293.3333333333394</v>
      </c>
      <c r="S181" s="59">
        <f ca="1">AVERAGE(OFFSET($R$3,0,0,'Données projet'!$E$9+1,1))-AVERAGE(OFFSET($H$3,0,0,'Données projet'!$E$9+1,1))</f>
        <v>223.99456146593315</v>
      </c>
      <c r="T181" s="59">
        <f t="shared" si="142"/>
        <v>132.73290587325937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34.097279207788709</v>
      </c>
      <c r="AA181" s="21">
        <f>EXP(-LN(2)/25)*AA180+(1-EXP(-LN(2)/25))/(LN(2)/25)*Calculateur!V181*Calculateur!X181*VLOOKUP('Données projet'!$B$9,Paramètres!$A$1:$I$89,3,0)*0.475*44/12</f>
        <v>4.9080965524772644</v>
      </c>
      <c r="AB181" s="21">
        <f>EXP(-LN(2)/2)*AB180+(1-EXP(-LN(2)/2))/(LN(2)/2)*V181*Y181*VLOOKUP('Données projet'!$B$9,Paramètres!$A$1:$I$89,3,0)*0.475*44/12</f>
        <v>7.5521428646694576E-10</v>
      </c>
      <c r="AC181" s="22">
        <f t="shared" si="163"/>
        <v>39.005375761021192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8.5265128291212022E-14</v>
      </c>
      <c r="AJ181" s="13">
        <f>AI181*VLOOKUP('Données projet'!$B$10,Paramètres!$A$1:$I$89,3,0)*VLOOKUP('Données projet'!$B$10,Paramètres!$A$1:$I$89,5,0)</f>
        <v>5.5865712056402117E-14</v>
      </c>
      <c r="AK181" s="13">
        <f t="shared" si="164"/>
        <v>8.9811031843713517E-13</v>
      </c>
      <c r="AL181" s="20">
        <f t="shared" si="165"/>
        <v>1.6615082531095774E-12</v>
      </c>
      <c r="AM181" s="59">
        <f t="shared" si="113"/>
        <v>293.33333333333496</v>
      </c>
      <c r="AN181" s="59">
        <f ca="1">AVERAGE(OFFSET($AM$3,0,0,'Données projet'!$E$10+1,1))-AVERAGE(OFFSET($H$3,0,0,'Données projet'!$E$10+1,1))</f>
        <v>244.43587473734613</v>
      </c>
      <c r="AO181" s="59">
        <f t="shared" si="144"/>
        <v>256.80261402149375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3.2260335073567958</v>
      </c>
      <c r="AV181" s="21">
        <f>EXP(-LN(2)/25)*AV180+(1-EXP(-LN(2)/25))/(LN(2)/25)*Calculateur!AQ181*Calculateur!AS181*VLOOKUP('Données projet'!$B$10,Paramètres!$A$1:$I$89,3,0)*0.475*44/12</f>
        <v>4.4047015904724161</v>
      </c>
      <c r="AW181" s="21">
        <f>EXP(-LN(2)/2)*AW180+(1-EXP(-LN(2)/2))/(LN(2)/2)*AQ181*AT181*VLOOKUP('Données projet'!$B$10,Paramètres!$A$1:$I$89,3,0)*0.475*44/12</f>
        <v>1.7804658668605117E-12</v>
      </c>
      <c r="AX181" s="21">
        <f t="shared" si="166"/>
        <v>7.6307350978309927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-1.2710188457276673E-13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430.60186171079067</v>
      </c>
      <c r="BJ181" s="59">
        <f t="shared" si="146"/>
        <v>533.76627289533985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25.005496897630074</v>
      </c>
      <c r="BQ181" s="21">
        <f>EXP(-LN(2)/25)*BQ180+(1-EXP(-LN(2)/25))/(LN(2)/25)*Calculateur!BL181*Calculateur!BN181*VLOOKUP('Données projet'!$B$11,Paramètres!$A$1:$I$89,3,0)*0.475*44/12</f>
        <v>2.4444925039894536</v>
      </c>
      <c r="BR181" s="21">
        <f>EXP(-LN(2)/2)*BR180+(1-EXP(-LN(2)/2))/(LN(2)/2)*BL181*BO181*VLOOKUP('Données projet'!$B$11,Paramètres!$A$1:$I$89,3,0)*0.475*44/12</f>
        <v>9.7701101367720667E-17</v>
      </c>
      <c r="BS181" s="22">
        <f t="shared" si="169"/>
        <v>27.449989401619529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-1.69961822393816E-13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215.89467197072673</v>
      </c>
      <c r="CE181" s="59">
        <f t="shared" si="148"/>
        <v>188.21397398859534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16.396987619633332</v>
      </c>
      <c r="CL181" s="21">
        <f>EXP(-LN(2)/25)*CL180+(1-EXP(-LN(2)/25))/(LN(2)/25)*Calculateur!CG181*Calculateur!CI181*VLOOKUP('Données projet'!$B$12,Paramètres!$A$1:$I$89,3,0)*0.475*44/12</f>
        <v>1.848784375548673</v>
      </c>
      <c r="CM181" s="21">
        <f>EXP(-LN(2)/2)*CM180+(1-EXP(-LN(2)/2))/(LN(2)/2)*CG181*CJ181*VLOOKUP('Données projet'!$B$12,Paramètres!$A$1:$I$89,3,0)*0.475*44/12</f>
        <v>4.9519459169021107E-14</v>
      </c>
      <c r="CN181" s="22">
        <f t="shared" si="172"/>
        <v>18.245771995182054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5.175213675213679</v>
      </c>
      <c r="CT181" s="12">
        <f>IF('Données projet'!$A$140&gt;35,CT180+CS181-DB180,IF(A181&lt;'Données projet'!$A$140,$CQ$205^A181,IF(A181='Données projet'!$A$140,'Données projet'!$B$140,CT180+CS181-DB180)))</f>
        <v>301.97008547008573</v>
      </c>
      <c r="CU181" s="17">
        <f>CT181*VLOOKUP('Données projet'!$B$13,Paramètres!$A$1:$I$89,3,0)*VLOOKUP('Données projet'!$B$13,Paramètres!$A$1:$I$89,5,0)</f>
        <v>306.19766666666698</v>
      </c>
      <c r="CV181" s="13">
        <f t="shared" si="173"/>
        <v>72.474182171579685</v>
      </c>
      <c r="CW181" s="20">
        <f t="shared" si="174"/>
        <v>659.5201367266128</v>
      </c>
      <c r="CX181" s="59">
        <f t="shared" si="122"/>
        <v>952.85347005994618</v>
      </c>
      <c r="CY181" s="59">
        <f ca="1">AVERAGE(OFFSET($CX$3,0,0,'Données projet'!$E$13+1,1))-AVERAGE(OFFSET($H$3,0,0,'Données projet'!$E$13+1,1))</f>
        <v>342.82846711287749</v>
      </c>
      <c r="CZ181" s="59">
        <f t="shared" si="150"/>
        <v>152.87724741106297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47.873690719238652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47.873690719238652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208.48147873805715</v>
      </c>
      <c r="DU181" s="59">
        <f t="shared" si="152"/>
        <v>209.50570914630686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8.3528058666307334</v>
      </c>
      <c r="EB181" s="21">
        <f>EXP(-LN(2)/25)*EB180+(1-EXP(-LN(2)/25))/(LN(2)/25)*Calculateur!DW181*Calculateur!DY181*VLOOKUP('Données projet'!$B$14,Paramètres!$A$1:$I$89,3,0)*0.475*44/12</f>
        <v>1.262058755661811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9.6148646222925436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-1.7053025658242404E-13</v>
      </c>
      <c r="EK181" s="17">
        <f>EJ181*VLOOKUP('Données projet'!$B$15,Paramètres!$A$1:$I$89,3,0)*VLOOKUP('Données projet'!$B$15,Paramètres!$A$1:$I$89,5,0)</f>
        <v>-1.0197709343628959E-13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247.31680974612766</v>
      </c>
      <c r="EP181" s="59">
        <f t="shared" si="154"/>
        <v>257.13949761071882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12.534661081237727</v>
      </c>
      <c r="EW181" s="21">
        <f>EXP(-LN(2)/25)*EW180+(1-EXP(-LN(2)/25))/(LN(2)/25)*Calculateur!ER181*Calculateur!ET181*VLOOKUP('Données projet'!$B$15,Paramètres!$A$1:$I$89,3,0)*0.475*44/12</f>
        <v>1.3712124046022744</v>
      </c>
      <c r="EX181" s="21">
        <f>EXP(-LN(2)/2)*EX180+(1-EXP(-LN(2)/2))/(LN(2)/2)*ER181*EU181*VLOOKUP('Données projet'!$B$15,Paramètres!$A$1:$I$89,3,0)*0.475*44/12</f>
        <v>5.544670363465549E-17</v>
      </c>
      <c r="EY181" s="22">
        <f t="shared" si="181"/>
        <v>13.905873485840003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31.833359999999963</v>
      </c>
      <c r="D182" s="11">
        <f t="shared" si="140"/>
        <v>9.8061611234275041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64.285576471256448</v>
      </c>
      <c r="H182" s="67">
        <f t="shared" si="110"/>
        <v>329.18883262330286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5.1159076974727213E-13</v>
      </c>
      <c r="O182" s="13">
        <f>N182*VLOOKUP('Données projet'!$B$9,Paramètres!$A$1:$I$89,3,0)*VLOOKUP('Données projet'!$B$9,Paramètres!$A$1:$I$89,5,0)</f>
        <v>2.3942448024172334E-13</v>
      </c>
      <c r="P182" s="13">
        <f t="shared" si="141"/>
        <v>3.2492669905861755E-12</v>
      </c>
      <c r="Q182" s="20">
        <f t="shared" si="162"/>
        <v>6.0761376450252565E-12</v>
      </c>
      <c r="R182" s="59">
        <f t="shared" si="109"/>
        <v>293.3333333333394</v>
      </c>
      <c r="S182" s="59">
        <f ca="1">AVERAGE(OFFSET($R$3,0,0,'Données projet'!$E$9+1,1))-AVERAGE(OFFSET($H$3,0,0,'Données projet'!$E$9+1,1))</f>
        <v>223.99456146593315</v>
      </c>
      <c r="T182" s="59">
        <f t="shared" si="142"/>
        <v>132.73290587325937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33.428652359810727</v>
      </c>
      <c r="AA182" s="21">
        <f>EXP(-LN(2)/25)*AA181+(1-EXP(-LN(2)/25))/(LN(2)/25)*Calculateur!V182*Calculateur!X182*VLOOKUP('Données projet'!$B$9,Paramètres!$A$1:$I$89,3,0)*0.475*44/12</f>
        <v>4.7738843941441935</v>
      </c>
      <c r="AB182" s="21">
        <f>EXP(-LN(2)/2)*AB181+(1-EXP(-LN(2)/2))/(LN(2)/2)*V182*Y182*VLOOKUP('Données projet'!$B$9,Paramètres!$A$1:$I$89,3,0)*0.475*44/12</f>
        <v>5.3401714320973722E-10</v>
      </c>
      <c r="AC182" s="22">
        <f t="shared" si="163"/>
        <v>38.202536754488932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8.5265128291212022E-14</v>
      </c>
      <c r="AJ182" s="13">
        <f>AI182*VLOOKUP('Données projet'!$B$10,Paramètres!$A$1:$I$89,3,0)*VLOOKUP('Données projet'!$B$10,Paramètres!$A$1:$I$89,5,0)</f>
        <v>5.5865712056402117E-14</v>
      </c>
      <c r="AK182" s="13">
        <f t="shared" si="164"/>
        <v>8.9811031843713517E-13</v>
      </c>
      <c r="AL182" s="20">
        <f t="shared" si="165"/>
        <v>1.6615082531095774E-12</v>
      </c>
      <c r="AM182" s="59">
        <f t="shared" si="113"/>
        <v>293.33333333333496</v>
      </c>
      <c r="AN182" s="59">
        <f ca="1">AVERAGE(OFFSET($AM$3,0,0,'Données projet'!$E$10+1,1))-AVERAGE(OFFSET($H$3,0,0,'Données projet'!$E$10+1,1))</f>
        <v>244.43587473734613</v>
      </c>
      <c r="AO182" s="59">
        <f t="shared" si="144"/>
        <v>256.80261402149375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3.1627729579636759</v>
      </c>
      <c r="AV182" s="21">
        <f>EXP(-LN(2)/25)*AV181+(1-EXP(-LN(2)/25))/(LN(2)/25)*Calculateur!AQ182*Calculateur!AS182*VLOOKUP('Données projet'!$B$10,Paramètres!$A$1:$I$89,3,0)*0.475*44/12</f>
        <v>4.284254793847758</v>
      </c>
      <c r="AW182" s="21">
        <f>EXP(-LN(2)/2)*AW181+(1-EXP(-LN(2)/2))/(LN(2)/2)*AQ182*AT182*VLOOKUP('Données projet'!$B$10,Paramètres!$A$1:$I$89,3,0)*0.475*44/12</f>
        <v>1.2589794881282526E-12</v>
      </c>
      <c r="AX182" s="21">
        <f t="shared" si="166"/>
        <v>7.4470277518126924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-1.2710188457276673E-13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430.60186171079067</v>
      </c>
      <c r="BJ182" s="59">
        <f t="shared" si="146"/>
        <v>533.76627289533985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24.51515435531466</v>
      </c>
      <c r="BQ182" s="21">
        <f>EXP(-LN(2)/25)*BQ181+(1-EXP(-LN(2)/25))/(LN(2)/25)*Calculateur!BL182*Calculateur!BN182*VLOOKUP('Données projet'!$B$11,Paramètres!$A$1:$I$89,3,0)*0.475*44/12</f>
        <v>2.377647727917588</v>
      </c>
      <c r="BR182" s="21">
        <f>EXP(-LN(2)/2)*BR181+(1-EXP(-LN(2)/2))/(LN(2)/2)*BL182*BO182*VLOOKUP('Données projet'!$B$11,Paramètres!$A$1:$I$89,3,0)*0.475*44/12</f>
        <v>6.9085111306509555E-17</v>
      </c>
      <c r="BS182" s="22">
        <f t="shared" si="169"/>
        <v>26.892802083232247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-1.69961822393816E-13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215.89467197072673</v>
      </c>
      <c r="CE182" s="59">
        <f t="shared" si="148"/>
        <v>188.21397398859534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16.075452693587238</v>
      </c>
      <c r="CL182" s="21">
        <f>EXP(-LN(2)/25)*CL181+(1-EXP(-LN(2)/25))/(LN(2)/25)*Calculateur!CG182*Calculateur!CI182*VLOOKUP('Données projet'!$B$12,Paramètres!$A$1:$I$89,3,0)*0.475*44/12</f>
        <v>1.7982292695759496</v>
      </c>
      <c r="CM182" s="21">
        <f>EXP(-LN(2)/2)*CM181+(1-EXP(-LN(2)/2))/(LN(2)/2)*CG182*CJ182*VLOOKUP('Données projet'!$B$12,Paramètres!$A$1:$I$89,3,0)*0.475*44/12</f>
        <v>3.5015545379105182E-14</v>
      </c>
      <c r="CN182" s="22">
        <f t="shared" si="172"/>
        <v>17.873681963163222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5.175213675213679</v>
      </c>
      <c r="CT182" s="12">
        <f>IF('Données projet'!$A$140&gt;35,CT181+CS182-DB181,IF(A182&lt;'Données projet'!$A$140,$CQ$205^A182,IF(A182='Données projet'!$A$140,'Données projet'!$B$140,CT181+CS182-DB181)))</f>
        <v>307.14529914529942</v>
      </c>
      <c r="CU182" s="17">
        <f>CT182*VLOOKUP('Données projet'!$B$13,Paramètres!$A$1:$I$89,3,0)*VLOOKUP('Données projet'!$B$13,Paramètres!$A$1:$I$89,5,0)</f>
        <v>311.44533333333362</v>
      </c>
      <c r="CV182" s="13">
        <f t="shared" si="173"/>
        <v>73.570591534354321</v>
      </c>
      <c r="CW182" s="20">
        <f t="shared" si="174"/>
        <v>670.56940247788987</v>
      </c>
      <c r="CX182" s="59">
        <f t="shared" si="122"/>
        <v>963.90273581122324</v>
      </c>
      <c r="CY182" s="59">
        <f ca="1">AVERAGE(OFFSET($CX$3,0,0,'Données projet'!$E$13+1,1))-AVERAGE(OFFSET($H$3,0,0,'Données projet'!$E$13+1,1))</f>
        <v>342.82846711287749</v>
      </c>
      <c r="CZ182" s="59">
        <f t="shared" si="150"/>
        <v>152.87724741106297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46.934916844302457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46.934916844302457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208.48147873805715</v>
      </c>
      <c r="DU182" s="59">
        <f t="shared" si="152"/>
        <v>209.50570914630686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8.1890124382946219</v>
      </c>
      <c r="EB182" s="21">
        <f>EXP(-LN(2)/25)*EB181+(1-EXP(-LN(2)/25))/(LN(2)/25)*Calculateur!DW182*Calculateur!DY182*VLOOKUP('Données projet'!$B$14,Paramètres!$A$1:$I$89,3,0)*0.475*44/12</f>
        <v>1.2275476926194533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9.4165601309140747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-1.7053025658242404E-13</v>
      </c>
      <c r="EK182" s="17">
        <f>EJ182*VLOOKUP('Données projet'!$B$15,Paramètres!$A$1:$I$89,3,0)*VLOOKUP('Données projet'!$B$15,Paramètres!$A$1:$I$89,5,0)</f>
        <v>-1.0197709343628959E-13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247.31680974612766</v>
      </c>
      <c r="EP182" s="59">
        <f t="shared" si="154"/>
        <v>257.13949761071882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12.288864022822995</v>
      </c>
      <c r="EW182" s="21">
        <f>EXP(-LN(2)/25)*EW181+(1-EXP(-LN(2)/25))/(LN(2)/25)*Calculateur!ER182*Calculateur!ET182*VLOOKUP('Données projet'!$B$15,Paramètres!$A$1:$I$89,3,0)*0.475*44/12</f>
        <v>1.3337165292894988</v>
      </c>
      <c r="EX182" s="21">
        <f>EXP(-LN(2)/2)*EX181+(1-EXP(-LN(2)/2))/(LN(2)/2)*ER182*EU182*VLOOKUP('Données projet'!$B$15,Paramètres!$A$1:$I$89,3,0)*0.475*44/12</f>
        <v>3.9206740134505692E-17</v>
      </c>
      <c r="EY182" s="22">
        <f t="shared" si="181"/>
        <v>13.622580552112494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32.011199999999967</v>
      </c>
      <c r="D183" s="11">
        <f t="shared" si="140"/>
        <v>9.8545516964045667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64.634844724273663</v>
      </c>
      <c r="H183" s="67">
        <f t="shared" si="110"/>
        <v>329.58285087123789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5.1159076974727213E-13</v>
      </c>
      <c r="O183" s="13">
        <f>N183*VLOOKUP('Données projet'!$B$9,Paramètres!$A$1:$I$89,3,0)*VLOOKUP('Données projet'!$B$9,Paramètres!$A$1:$I$89,5,0)</f>
        <v>2.3942448024172334E-13</v>
      </c>
      <c r="P183" s="13">
        <f t="shared" si="141"/>
        <v>3.2492669905861755E-12</v>
      </c>
      <c r="Q183" s="20">
        <f t="shared" si="162"/>
        <v>6.0761376450252565E-12</v>
      </c>
      <c r="R183" s="59">
        <f t="shared" si="109"/>
        <v>293.3333333333394</v>
      </c>
      <c r="S183" s="59">
        <f ca="1">AVERAGE(OFFSET($R$3,0,0,'Données projet'!$E$9+1,1))-AVERAGE(OFFSET($H$3,0,0,'Données projet'!$E$9+1,1))</f>
        <v>223.99456146593315</v>
      </c>
      <c r="T183" s="59">
        <f t="shared" si="142"/>
        <v>132.73290587325937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32.773136876499485</v>
      </c>
      <c r="AA183" s="21">
        <f>EXP(-LN(2)/25)*AA182+(1-EXP(-LN(2)/25))/(LN(2)/25)*Calculateur!V183*Calculateur!X183*VLOOKUP('Données projet'!$B$9,Paramètres!$A$1:$I$89,3,0)*0.475*44/12</f>
        <v>4.643342274338651</v>
      </c>
      <c r="AB183" s="21">
        <f>EXP(-LN(2)/2)*AB182+(1-EXP(-LN(2)/2))/(LN(2)/2)*V183*Y183*VLOOKUP('Données projet'!$B$9,Paramètres!$A$1:$I$89,3,0)*0.475*44/12</f>
        <v>3.7760714323347288E-10</v>
      </c>
      <c r="AC183" s="22">
        <f t="shared" si="163"/>
        <v>37.416479151215739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8.5265128291212022E-14</v>
      </c>
      <c r="AJ183" s="13">
        <f>AI183*VLOOKUP('Données projet'!$B$10,Paramètres!$A$1:$I$89,3,0)*VLOOKUP('Données projet'!$B$10,Paramètres!$A$1:$I$89,5,0)</f>
        <v>5.5865712056402117E-14</v>
      </c>
      <c r="AK183" s="13">
        <f t="shared" si="164"/>
        <v>8.9811031843713517E-13</v>
      </c>
      <c r="AL183" s="20">
        <f t="shared" si="165"/>
        <v>1.6615082531095774E-12</v>
      </c>
      <c r="AM183" s="59">
        <f t="shared" si="113"/>
        <v>293.33333333333496</v>
      </c>
      <c r="AN183" s="59">
        <f ca="1">AVERAGE(OFFSET($AM$3,0,0,'Données projet'!$E$10+1,1))-AVERAGE(OFFSET($H$3,0,0,'Données projet'!$E$10+1,1))</f>
        <v>244.43587473734613</v>
      </c>
      <c r="AO183" s="59">
        <f t="shared" si="144"/>
        <v>256.80261402149375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3.1007529093590298</v>
      </c>
      <c r="AV183" s="21">
        <f>EXP(-LN(2)/25)*AV182+(1-EXP(-LN(2)/25))/(LN(2)/25)*Calculateur!AQ183*Calculateur!AS183*VLOOKUP('Données projet'!$B$10,Paramètres!$A$1:$I$89,3,0)*0.475*44/12</f>
        <v>4.1671016212108229</v>
      </c>
      <c r="AW183" s="21">
        <f>EXP(-LN(2)/2)*AW182+(1-EXP(-LN(2)/2))/(LN(2)/2)*AQ183*AT183*VLOOKUP('Données projet'!$B$10,Paramètres!$A$1:$I$89,3,0)*0.475*44/12</f>
        <v>8.9023293343025595E-13</v>
      </c>
      <c r="AX183" s="21">
        <f t="shared" si="166"/>
        <v>7.2678545305707427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-1.2710188457276673E-13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430.60186171079067</v>
      </c>
      <c r="BJ183" s="59">
        <f t="shared" si="146"/>
        <v>533.76627289533985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24.034427131174635</v>
      </c>
      <c r="BQ183" s="21">
        <f>EXP(-LN(2)/25)*BQ182+(1-EXP(-LN(2)/25))/(LN(2)/25)*Calculateur!BL183*Calculateur!BN183*VLOOKUP('Données projet'!$B$11,Paramètres!$A$1:$I$89,3,0)*0.475*44/12</f>
        <v>2.3126308257626218</v>
      </c>
      <c r="BR183" s="21">
        <f>EXP(-LN(2)/2)*BR182+(1-EXP(-LN(2)/2))/(LN(2)/2)*BL183*BO183*VLOOKUP('Données projet'!$B$11,Paramètres!$A$1:$I$89,3,0)*0.475*44/12</f>
        <v>4.8850550683860333E-17</v>
      </c>
      <c r="BS183" s="22">
        <f t="shared" si="169"/>
        <v>26.347057956937256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-1.69961822393816E-13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215.89467197072673</v>
      </c>
      <c r="CE183" s="59">
        <f t="shared" si="148"/>
        <v>188.21397398859534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15.760222871323966</v>
      </c>
      <c r="CL183" s="21">
        <f>EXP(-LN(2)/25)*CL182+(1-EXP(-LN(2)/25))/(LN(2)/25)*Calculateur!CG183*Calculateur!CI183*VLOOKUP('Données projet'!$B$12,Paramètres!$A$1:$I$89,3,0)*0.475*44/12</f>
        <v>1.749056595634628</v>
      </c>
      <c r="CM183" s="21">
        <f>EXP(-LN(2)/2)*CM182+(1-EXP(-LN(2)/2))/(LN(2)/2)*CG183*CJ183*VLOOKUP('Données projet'!$B$12,Paramètres!$A$1:$I$89,3,0)*0.475*44/12</f>
        <v>2.4759729584510553E-14</v>
      </c>
      <c r="CN183" s="22">
        <f t="shared" si="172"/>
        <v>17.50927946695862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312.32051282051282</v>
      </c>
      <c r="CR183" s="12">
        <f>VLOOKUP(A183,'Données projet'!$A$139:$I$159,9,0)</f>
        <v>5.175213675213679</v>
      </c>
      <c r="CS183" s="12">
        <f t="array" ref="CS183">INDEX(CR:CR,MIN(IF(ISNUMBER(CR183:CR379),ROW(CR183:CR379),"")))</f>
        <v>5.175213675213679</v>
      </c>
      <c r="CT183" s="12">
        <f>IF('Données projet'!$A$140&gt;35,CT182+CS183-DB182,IF(A183&lt;'Données projet'!$A$140,$CQ$205^A183,IF(A183='Données projet'!$A$140,'Données projet'!$B$140,CT182+CS183-DB182)))</f>
        <v>312.3205128205131</v>
      </c>
      <c r="CU183" s="17">
        <f>CT183*VLOOKUP('Données projet'!$B$13,Paramètres!$A$1:$I$89,3,0)*VLOOKUP('Données projet'!$B$13,Paramètres!$A$1:$I$89,5,0)</f>
        <v>316.69300000000032</v>
      </c>
      <c r="CV183" s="13">
        <f t="shared" si="173"/>
        <v>74.664852542162308</v>
      </c>
      <c r="CW183" s="20">
        <f t="shared" si="174"/>
        <v>681.61492651093317</v>
      </c>
      <c r="CX183" s="59">
        <f t="shared" si="122"/>
        <v>974.94825984426643</v>
      </c>
      <c r="CY183" s="59">
        <f ca="1">AVERAGE(OFFSET($CX$3,0,0,'Données projet'!$E$13+1,1))-AVERAGE(OFFSET($H$3,0,0,'Données projet'!$E$13+1,1))</f>
        <v>342.82846711287749</v>
      </c>
      <c r="CZ183" s="59">
        <f t="shared" si="150"/>
        <v>152.87724741106297</v>
      </c>
      <c r="DA183" s="15">
        <f>IF(ISNA(VLOOKUP(A183,'Données projet'!$A$139:$I$159,3,0)),0,VLOOKUP(A183,'Données projet'!$A$139:$I$159,3,0))</f>
        <v>13</v>
      </c>
      <c r="DB183" s="15">
        <f>IF(ISNA(VLOOKUP(A183,'Données projet'!$A$139:$I$159,4,0)),0,VLOOKUP(A183,'Données projet'!$A$139:$I$159,4,0))</f>
        <v>120.15384615384615</v>
      </c>
      <c r="DC183" s="16">
        <f>IF(ISNA(VLOOKUP(A183,'Données projet'!$A$139:$I$159,5,0)),0%,VLOOKUP(A183,'Données projet'!$A$139:$I$159,5,0)*VLOOKUP('Données projet'!$B$13,Paramètres!$A$1:$I$89,7,0))</f>
        <v>0.38700000000000001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98.138068257678754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98.138068257678754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208.48147873805715</v>
      </c>
      <c r="DU183" s="59">
        <f t="shared" si="152"/>
        <v>209.50570914630686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8.0284308991840554</v>
      </c>
      <c r="EB183" s="21">
        <f>EXP(-LN(2)/25)*EB182+(1-EXP(-LN(2)/25))/(LN(2)/25)*Calculateur!DW183*Calculateur!DY183*VLOOKUP('Données projet'!$B$14,Paramètres!$A$1:$I$89,3,0)*0.475*44/12</f>
        <v>1.1939803364108468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9.2224112355949028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-1.7053025658242404E-13</v>
      </c>
      <c r="EK183" s="17">
        <f>EJ183*VLOOKUP('Données projet'!$B$15,Paramètres!$A$1:$I$89,3,0)*VLOOKUP('Données projet'!$B$15,Paramètres!$A$1:$I$89,5,0)</f>
        <v>-1.0197709343628959E-13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247.31680974612766</v>
      </c>
      <c r="EP183" s="59">
        <f t="shared" si="154"/>
        <v>257.13949761071882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12.047886894802375</v>
      </c>
      <c r="EW183" s="21">
        <f>EXP(-LN(2)/25)*EW182+(1-EXP(-LN(2)/25))/(LN(2)/25)*Calculateur!ER183*Calculateur!ET183*VLOOKUP('Données projet'!$B$15,Paramètres!$A$1:$I$89,3,0)*0.475*44/12</f>
        <v>1.2972459806589733</v>
      </c>
      <c r="EX183" s="21">
        <f>EXP(-LN(2)/2)*EX182+(1-EXP(-LN(2)/2))/(LN(2)/2)*ER183*EU183*VLOOKUP('Données projet'!$B$15,Paramètres!$A$1:$I$89,3,0)*0.475*44/12</f>
        <v>2.7723351817327748E-17</v>
      </c>
      <c r="EY183" s="22">
        <f t="shared" si="181"/>
        <v>13.345132875461347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32.18903999999997</v>
      </c>
      <c r="D184" s="11">
        <f t="shared" si="140"/>
        <v>9.9029109867566252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64.984064681308425</v>
      </c>
      <c r="H184" s="67">
        <f t="shared" si="110"/>
        <v>329.97681463526777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5.1159076974727213E-13</v>
      </c>
      <c r="O184" s="13">
        <f>N184*VLOOKUP('Données projet'!$B$9,Paramètres!$A$1:$I$89,3,0)*VLOOKUP('Données projet'!$B$9,Paramètres!$A$1:$I$89,5,0)</f>
        <v>2.3942448024172334E-13</v>
      </c>
      <c r="P184" s="13">
        <f t="shared" si="141"/>
        <v>3.2492669905861755E-12</v>
      </c>
      <c r="Q184" s="20">
        <f t="shared" si="162"/>
        <v>6.0761376450252565E-12</v>
      </c>
      <c r="R184" s="59">
        <f t="shared" si="109"/>
        <v>293.3333333333394</v>
      </c>
      <c r="S184" s="59">
        <f ca="1">AVERAGE(OFFSET($R$3,0,0,'Données projet'!$E$9+1,1))-AVERAGE(OFFSET($H$3,0,0,'Données projet'!$E$9+1,1))</f>
        <v>223.99456146593315</v>
      </c>
      <c r="T184" s="59">
        <f t="shared" si="142"/>
        <v>132.73290587325937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32.130475651991013</v>
      </c>
      <c r="AA184" s="21">
        <f>EXP(-LN(2)/25)*AA183+(1-EXP(-LN(2)/25))/(LN(2)/25)*Calculateur!V184*Calculateur!X184*VLOOKUP('Données projet'!$B$9,Paramètres!$A$1:$I$89,3,0)*0.475*44/12</f>
        <v>4.5163698356641024</v>
      </c>
      <c r="AB184" s="21">
        <f>EXP(-LN(2)/2)*AB183+(1-EXP(-LN(2)/2))/(LN(2)/2)*V184*Y184*VLOOKUP('Données projet'!$B$9,Paramètres!$A$1:$I$89,3,0)*0.475*44/12</f>
        <v>2.6700857160486861E-10</v>
      </c>
      <c r="AC184" s="22">
        <f t="shared" si="163"/>
        <v>36.646845487922121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8.5265128291212022E-14</v>
      </c>
      <c r="AJ184" s="13">
        <f>AI184*VLOOKUP('Données projet'!$B$10,Paramètres!$A$1:$I$89,3,0)*VLOOKUP('Données projet'!$B$10,Paramètres!$A$1:$I$89,5,0)</f>
        <v>5.5865712056402117E-14</v>
      </c>
      <c r="AK184" s="13">
        <f t="shared" si="164"/>
        <v>8.9811031843713517E-13</v>
      </c>
      <c r="AL184" s="20">
        <f t="shared" si="165"/>
        <v>1.6615082531095774E-12</v>
      </c>
      <c r="AM184" s="59">
        <f t="shared" si="113"/>
        <v>293.33333333333496</v>
      </c>
      <c r="AN184" s="59">
        <f ca="1">AVERAGE(OFFSET($AM$3,0,0,'Données projet'!$E$10+1,1))-AVERAGE(OFFSET($H$3,0,0,'Données projet'!$E$10+1,1))</f>
        <v>244.43587473734613</v>
      </c>
      <c r="AO184" s="59">
        <f t="shared" si="144"/>
        <v>256.80261402149375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3.0399490360790264</v>
      </c>
      <c r="AV184" s="21">
        <f>EXP(-LN(2)/25)*AV183+(1-EXP(-LN(2)/25))/(LN(2)/25)*Calculateur!AQ184*Calculateur!AS184*VLOOKUP('Données projet'!$B$10,Paramètres!$A$1:$I$89,3,0)*0.475*44/12</f>
        <v>4.0531520082404624</v>
      </c>
      <c r="AW184" s="21">
        <f>EXP(-LN(2)/2)*AW183+(1-EXP(-LN(2)/2))/(LN(2)/2)*AQ184*AT184*VLOOKUP('Données projet'!$B$10,Paramètres!$A$1:$I$89,3,0)*0.475*44/12</f>
        <v>6.2948974406412641E-13</v>
      </c>
      <c r="AX184" s="21">
        <f t="shared" si="166"/>
        <v>7.093101044320119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-1.2710188457276673E-13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430.60186171079067</v>
      </c>
      <c r="BJ184" s="59">
        <f t="shared" si="146"/>
        <v>533.76627289533985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23.563126674685339</v>
      </c>
      <c r="BQ184" s="21">
        <f>EXP(-LN(2)/25)*BQ183+(1-EXP(-LN(2)/25))/(LN(2)/25)*Calculateur!BL184*Calculateur!BN184*VLOOKUP('Données projet'!$B$11,Paramètres!$A$1:$I$89,3,0)*0.475*44/12</f>
        <v>2.2493918142161733</v>
      </c>
      <c r="BR184" s="21">
        <f>EXP(-LN(2)/2)*BR183+(1-EXP(-LN(2)/2))/(LN(2)/2)*BL184*BO184*VLOOKUP('Données projet'!$B$11,Paramètres!$A$1:$I$89,3,0)*0.475*44/12</f>
        <v>3.4542555653254778E-17</v>
      </c>
      <c r="BS184" s="22">
        <f t="shared" si="169"/>
        <v>25.812518488901514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-1.69961822393816E-13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215.89467197072673</v>
      </c>
      <c r="CE184" s="59">
        <f t="shared" si="148"/>
        <v>188.21397398859534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15.451174513604071</v>
      </c>
      <c r="CL184" s="21">
        <f>EXP(-LN(2)/25)*CL183+(1-EXP(-LN(2)/25))/(LN(2)/25)*Calculateur!CG184*Calculateur!CI184*VLOOKUP('Données projet'!$B$12,Paramètres!$A$1:$I$89,3,0)*0.475*44/12</f>
        <v>1.7012285510481102</v>
      </c>
      <c r="CM184" s="21">
        <f>EXP(-LN(2)/2)*CM183+(1-EXP(-LN(2)/2))/(LN(2)/2)*CG184*CJ184*VLOOKUP('Données projet'!$B$12,Paramètres!$A$1:$I$89,3,0)*0.475*44/12</f>
        <v>1.7507772689552591E-14</v>
      </c>
      <c r="CN184" s="22">
        <f t="shared" si="172"/>
        <v>17.152403064652198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3.2339743583333274</v>
      </c>
      <c r="CT184" s="12">
        <f>IF('Données projet'!$A$140&gt;35,CT183+CS184-DB183,IF(A184&lt;'Données projet'!$A$140,$CQ$205^A184,IF(A184='Données projet'!$A$140,'Données projet'!$B$140,CT183+CS184-DB183)))</f>
        <v>195.40064102500031</v>
      </c>
      <c r="CU184" s="17">
        <f>CT184*VLOOKUP('Données projet'!$B$13,Paramètres!$A$1:$I$89,3,0)*VLOOKUP('Données projet'!$B$13,Paramètres!$A$1:$I$89,5,0)</f>
        <v>198.13624999935033</v>
      </c>
      <c r="CV184" s="13">
        <f t="shared" si="173"/>
        <v>49.334348966347548</v>
      </c>
      <c r="CW184" s="20">
        <f t="shared" si="174"/>
        <v>431.01129319859047</v>
      </c>
      <c r="CX184" s="59">
        <f t="shared" si="122"/>
        <v>724.34462653192372</v>
      </c>
      <c r="CY184" s="59">
        <f ca="1">AVERAGE(OFFSET($CX$3,0,0,'Données projet'!$E$13+1,1))-AVERAGE(OFFSET($H$3,0,0,'Données projet'!$E$13+1,1))</f>
        <v>342.82846711287749</v>
      </c>
      <c r="CZ184" s="59">
        <f t="shared" si="150"/>
        <v>152.87724741106297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96.213640597456788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96.213640597456788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208.48147873805715</v>
      </c>
      <c r="DU184" s="59">
        <f t="shared" si="152"/>
        <v>209.50570914630686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7.8709982661103801</v>
      </c>
      <c r="EB184" s="21">
        <f>EXP(-LN(2)/25)*EB183+(1-EXP(-LN(2)/25))/(LN(2)/25)*Calculateur!DW184*Calculateur!DY184*VLOOKUP('Données projet'!$B$14,Paramètres!$A$1:$I$89,3,0)*0.475*44/12</f>
        <v>1.1613308813229952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9.0323291474333747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-1.7053025658242404E-13</v>
      </c>
      <c r="EK184" s="17">
        <f>EJ184*VLOOKUP('Données projet'!$B$15,Paramètres!$A$1:$I$89,3,0)*VLOOKUP('Données projet'!$B$15,Paramètres!$A$1:$I$89,5,0)</f>
        <v>-1.0197709343628959E-13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247.31680974612766</v>
      </c>
      <c r="EP184" s="59">
        <f t="shared" si="154"/>
        <v>257.13949761071882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11.811635181280703</v>
      </c>
      <c r="EW184" s="21">
        <f>EXP(-LN(2)/25)*EW183+(1-EXP(-LN(2)/25))/(LN(2)/25)*Calculateur!ER184*Calculateur!ET184*VLOOKUP('Données projet'!$B$15,Paramètres!$A$1:$I$89,3,0)*0.475*44/12</f>
        <v>1.2617727210986525</v>
      </c>
      <c r="EX184" s="21">
        <f>EXP(-LN(2)/2)*EX183+(1-EXP(-LN(2)/2))/(LN(2)/2)*ER184*EU184*VLOOKUP('Données projet'!$B$15,Paramètres!$A$1:$I$89,3,0)*0.475*44/12</f>
        <v>1.9603370067252849E-17</v>
      </c>
      <c r="EY184" s="22">
        <f t="shared" si="181"/>
        <v>13.073407902379355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32.366879999999973</v>
      </c>
      <c r="D185" s="11">
        <f t="shared" si="140"/>
        <v>9.9512391873734636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65.333236640155505</v>
      </c>
      <c r="H185" s="67">
        <f t="shared" si="110"/>
        <v>330.3707242513421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5.1159076974727213E-13</v>
      </c>
      <c r="O185" s="13">
        <f>N185*VLOOKUP('Données projet'!$B$9,Paramètres!$A$1:$I$89,3,0)*VLOOKUP('Données projet'!$B$9,Paramètres!$A$1:$I$89,5,0)</f>
        <v>2.3942448024172334E-13</v>
      </c>
      <c r="P185" s="13">
        <f t="shared" si="141"/>
        <v>3.2492669905861755E-12</v>
      </c>
      <c r="Q185" s="20">
        <f t="shared" si="162"/>
        <v>6.0761376450252565E-12</v>
      </c>
      <c r="R185" s="59">
        <f t="shared" si="109"/>
        <v>293.3333333333394</v>
      </c>
      <c r="S185" s="59">
        <f ca="1">AVERAGE(OFFSET($R$3,0,0,'Données projet'!$E$9+1,1))-AVERAGE(OFFSET($H$3,0,0,'Données projet'!$E$9+1,1))</f>
        <v>223.99456146593315</v>
      </c>
      <c r="T185" s="59">
        <f t="shared" si="142"/>
        <v>132.73290587325937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31.50041662211051</v>
      </c>
      <c r="AA185" s="21">
        <f>EXP(-LN(2)/25)*AA184+(1-EXP(-LN(2)/25))/(LN(2)/25)*Calculateur!V185*Calculateur!X185*VLOOKUP('Données projet'!$B$9,Paramètres!$A$1:$I$89,3,0)*0.475*44/12</f>
        <v>4.3928694650022999</v>
      </c>
      <c r="AB185" s="21">
        <f>EXP(-LN(2)/2)*AB184+(1-EXP(-LN(2)/2))/(LN(2)/2)*V185*Y185*VLOOKUP('Données projet'!$B$9,Paramètres!$A$1:$I$89,3,0)*0.475*44/12</f>
        <v>1.8880357161673644E-10</v>
      </c>
      <c r="AC185" s="22">
        <f t="shared" si="163"/>
        <v>35.893286087301618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8.5265128291212022E-14</v>
      </c>
      <c r="AJ185" s="13">
        <f>AI185*VLOOKUP('Données projet'!$B$10,Paramètres!$A$1:$I$89,3,0)*VLOOKUP('Données projet'!$B$10,Paramètres!$A$1:$I$89,5,0)</f>
        <v>5.5865712056402117E-14</v>
      </c>
      <c r="AK185" s="13">
        <f t="shared" si="164"/>
        <v>8.9811031843713517E-13</v>
      </c>
      <c r="AL185" s="20">
        <f t="shared" si="165"/>
        <v>1.6615082531095774E-12</v>
      </c>
      <c r="AM185" s="59">
        <f t="shared" si="113"/>
        <v>293.33333333333496</v>
      </c>
      <c r="AN185" s="59">
        <f ca="1">AVERAGE(OFFSET($AM$3,0,0,'Données projet'!$E$10+1,1))-AVERAGE(OFFSET($H$3,0,0,'Données projet'!$E$10+1,1))</f>
        <v>244.43587473734613</v>
      </c>
      <c r="AO185" s="59">
        <f t="shared" si="144"/>
        <v>256.80261402149375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2.9803374896673431</v>
      </c>
      <c r="AV185" s="21">
        <f>EXP(-LN(2)/25)*AV184+(1-EXP(-LN(2)/25))/(LN(2)/25)*Calculateur!AQ185*Calculateur!AS185*VLOOKUP('Données projet'!$B$10,Paramètres!$A$1:$I$89,3,0)*0.475*44/12</f>
        <v>3.9423183534291266</v>
      </c>
      <c r="AW185" s="21">
        <f>EXP(-LN(2)/2)*AW184+(1-EXP(-LN(2)/2))/(LN(2)/2)*AQ185*AT185*VLOOKUP('Données projet'!$B$10,Paramètres!$A$1:$I$89,3,0)*0.475*44/12</f>
        <v>4.4511646671512808E-13</v>
      </c>
      <c r="AX185" s="21">
        <f t="shared" si="166"/>
        <v>6.9226558430969147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-1.2710188457276673E-13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430.60186171079067</v>
      </c>
      <c r="BJ185" s="59">
        <f t="shared" si="146"/>
        <v>533.76627289533985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23.101068132682904</v>
      </c>
      <c r="BQ185" s="21">
        <f>EXP(-LN(2)/25)*BQ184+(1-EXP(-LN(2)/25))/(LN(2)/25)*Calculateur!BL185*Calculateur!BN185*VLOOKUP('Données projet'!$B$11,Paramètres!$A$1:$I$89,3,0)*0.475*44/12</f>
        <v>2.1878820767660576</v>
      </c>
      <c r="BR185" s="21">
        <f>EXP(-LN(2)/2)*BR184+(1-EXP(-LN(2)/2))/(LN(2)/2)*BL185*BO185*VLOOKUP('Données projet'!$B$11,Paramètres!$A$1:$I$89,3,0)*0.475*44/12</f>
        <v>2.4425275341930167E-17</v>
      </c>
      <c r="BS185" s="22">
        <f t="shared" si="169"/>
        <v>25.288950209448963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-1.69961822393816E-13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215.89467197072673</v>
      </c>
      <c r="CE185" s="59">
        <f t="shared" si="148"/>
        <v>188.21397398859534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15.148186405678178</v>
      </c>
      <c r="CL185" s="21">
        <f>EXP(-LN(2)/25)*CL184+(1-EXP(-LN(2)/25))/(LN(2)/25)*Calculateur!CG185*Calculateur!CI185*VLOOKUP('Données projet'!$B$12,Paramètres!$A$1:$I$89,3,0)*0.475*44/12</f>
        <v>1.6547083668559783</v>
      </c>
      <c r="CM185" s="21">
        <f>EXP(-LN(2)/2)*CM184+(1-EXP(-LN(2)/2))/(LN(2)/2)*CG185*CJ185*VLOOKUP('Données projet'!$B$12,Paramètres!$A$1:$I$89,3,0)*0.475*44/12</f>
        <v>1.2379864792255277E-14</v>
      </c>
      <c r="CN185" s="22">
        <f t="shared" si="172"/>
        <v>16.802894772534167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3.2339743583333274</v>
      </c>
      <c r="CT185" s="12">
        <f>IF('Données projet'!$A$140&gt;35,CT184+CS185-DB184,IF(A185&lt;'Données projet'!$A$140,$CQ$205^A185,IF(A185='Données projet'!$A$140,'Données projet'!$B$140,CT184+CS185-DB184)))</f>
        <v>198.63461538333365</v>
      </c>
      <c r="CU185" s="17">
        <f>CT185*VLOOKUP('Données projet'!$B$13,Paramètres!$A$1:$I$89,3,0)*VLOOKUP('Données projet'!$B$13,Paramètres!$A$1:$I$89,5,0)</f>
        <v>201.41549999870034</v>
      </c>
      <c r="CV185" s="13">
        <f t="shared" si="173"/>
        <v>50.055123979615324</v>
      </c>
      <c r="CW185" s="20">
        <f t="shared" si="174"/>
        <v>437.97800342889974</v>
      </c>
      <c r="CX185" s="59">
        <f t="shared" si="122"/>
        <v>731.31133676223305</v>
      </c>
      <c r="CY185" s="59">
        <f ca="1">AVERAGE(OFFSET($CX$3,0,0,'Données projet'!$E$13+1,1))-AVERAGE(OFFSET($H$3,0,0,'Données projet'!$E$13+1,1))</f>
        <v>342.82846711287749</v>
      </c>
      <c r="CZ185" s="59">
        <f t="shared" si="150"/>
        <v>152.87724741106297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94.326949789866802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94.326949789866802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208.48147873805715</v>
      </c>
      <c r="DU185" s="59">
        <f t="shared" si="152"/>
        <v>209.50570914630686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7.7166527909468545</v>
      </c>
      <c r="EB185" s="21">
        <f>EXP(-LN(2)/25)*EB184+(1-EXP(-LN(2)/25))/(LN(2)/25)*Calculateur!DW185*Calculateur!DY185*VLOOKUP('Données projet'!$B$14,Paramètres!$A$1:$I$89,3,0)*0.475*44/12</f>
        <v>1.129574227301481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8.8462270182483351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-1.7053025658242404E-13</v>
      </c>
      <c r="EK185" s="17">
        <f>EJ185*VLOOKUP('Données projet'!$B$15,Paramètres!$A$1:$I$89,3,0)*VLOOKUP('Données projet'!$B$15,Paramètres!$A$1:$I$89,5,0)</f>
        <v>-1.0197709343628959E-13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247.31680974612766</v>
      </c>
      <c r="EP185" s="59">
        <f t="shared" si="154"/>
        <v>257.13949761071882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11.580016219761875</v>
      </c>
      <c r="EW185" s="21">
        <f>EXP(-LN(2)/25)*EW184+(1-EXP(-LN(2)/25))/(LN(2)/25)*Calculateur!ER185*Calculateur!ET185*VLOOKUP('Données projet'!$B$15,Paramètres!$A$1:$I$89,3,0)*0.475*44/12</f>
        <v>1.2272694796864663</v>
      </c>
      <c r="EX185" s="21">
        <f>EXP(-LN(2)/2)*EX184+(1-EXP(-LN(2)/2))/(LN(2)/2)*ER185*EU185*VLOOKUP('Données projet'!$B$15,Paramètres!$A$1:$I$89,3,0)*0.475*44/12</f>
        <v>1.3861675908663877E-17</v>
      </c>
      <c r="EY185" s="22">
        <f t="shared" si="181"/>
        <v>12.807285699448341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32.544719999999977</v>
      </c>
      <c r="D186" s="11">
        <f t="shared" si="140"/>
        <v>9.9995364889025229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65.682360895147738</v>
      </c>
      <c r="H186" s="67">
        <f t="shared" si="110"/>
        <v>330.76458005150522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5.1159076974727213E-13</v>
      </c>
      <c r="O186" s="13">
        <f>N186*VLOOKUP('Données projet'!$B$9,Paramètres!$A$1:$I$89,3,0)*VLOOKUP('Données projet'!$B$9,Paramètres!$A$1:$I$89,5,0)</f>
        <v>2.3942448024172334E-13</v>
      </c>
      <c r="P186" s="13">
        <f t="shared" si="141"/>
        <v>3.2492669905861755E-12</v>
      </c>
      <c r="Q186" s="20">
        <f t="shared" si="162"/>
        <v>6.0761376450252565E-12</v>
      </c>
      <c r="R186" s="59">
        <f t="shared" si="109"/>
        <v>293.3333333333394</v>
      </c>
      <c r="S186" s="59">
        <f ca="1">AVERAGE(OFFSET($R$3,0,0,'Données projet'!$E$9+1,1))-AVERAGE(OFFSET($H$3,0,0,'Données projet'!$E$9+1,1))</f>
        <v>223.99456146593315</v>
      </c>
      <c r="T186" s="59">
        <f t="shared" si="142"/>
        <v>132.73290587325937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30.882712665507903</v>
      </c>
      <c r="AA186" s="21">
        <f>EXP(-LN(2)/25)*AA185+(1-EXP(-LN(2)/25))/(LN(2)/25)*Calculateur!V186*Calculateur!X186*VLOOKUP('Données projet'!$B$9,Paramètres!$A$1:$I$89,3,0)*0.475*44/12</f>
        <v>4.2727462184708465</v>
      </c>
      <c r="AB186" s="21">
        <f>EXP(-LN(2)/2)*AB185+(1-EXP(-LN(2)/2))/(LN(2)/2)*V186*Y186*VLOOKUP('Données projet'!$B$9,Paramètres!$A$1:$I$89,3,0)*0.475*44/12</f>
        <v>1.3350428580243431E-10</v>
      </c>
      <c r="AC186" s="22">
        <f t="shared" si="163"/>
        <v>35.155458884112257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8.5265128291212022E-14</v>
      </c>
      <c r="AJ186" s="13">
        <f>AI186*VLOOKUP('Données projet'!$B$10,Paramètres!$A$1:$I$89,3,0)*VLOOKUP('Données projet'!$B$10,Paramètres!$A$1:$I$89,5,0)</f>
        <v>5.5865712056402117E-14</v>
      </c>
      <c r="AK186" s="13">
        <f t="shared" si="164"/>
        <v>8.9811031843713517E-13</v>
      </c>
      <c r="AL186" s="20">
        <f t="shared" si="165"/>
        <v>1.6615082531095774E-12</v>
      </c>
      <c r="AM186" s="59">
        <f t="shared" si="113"/>
        <v>293.33333333333496</v>
      </c>
      <c r="AN186" s="59">
        <f ca="1">AVERAGE(OFFSET($AM$3,0,0,'Données projet'!$E$10+1,1))-AVERAGE(OFFSET($H$3,0,0,'Données projet'!$E$10+1,1))</f>
        <v>244.43587473734613</v>
      </c>
      <c r="AO186" s="59">
        <f t="shared" si="144"/>
        <v>256.80261402149375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2.9218948893213397</v>
      </c>
      <c r="AV186" s="21">
        <f>EXP(-LN(2)/25)*AV185+(1-EXP(-LN(2)/25))/(LN(2)/25)*Calculateur!AQ186*Calculateur!AS186*VLOOKUP('Données projet'!$B$10,Paramètres!$A$1:$I$89,3,0)*0.475*44/12</f>
        <v>3.8345154507370953</v>
      </c>
      <c r="AW186" s="21">
        <f>EXP(-LN(2)/2)*AW185+(1-EXP(-LN(2)/2))/(LN(2)/2)*AQ186*AT186*VLOOKUP('Données projet'!$B$10,Paramètres!$A$1:$I$89,3,0)*0.475*44/12</f>
        <v>3.1474487203206326E-13</v>
      </c>
      <c r="AX186" s="21">
        <f t="shared" si="166"/>
        <v>6.7564103400587499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-1.2710188457276673E-13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430.60186171079067</v>
      </c>
      <c r="BJ186" s="59">
        <f t="shared" si="146"/>
        <v>533.76627289533985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22.648070276861255</v>
      </c>
      <c r="BQ186" s="21">
        <f>EXP(-LN(2)/25)*BQ185+(1-EXP(-LN(2)/25))/(LN(2)/25)*Calculateur!BL186*Calculateur!BN186*VLOOKUP('Données projet'!$B$11,Paramètres!$A$1:$I$89,3,0)*0.475*44/12</f>
        <v>2.128054326321172</v>
      </c>
      <c r="BR186" s="21">
        <f>EXP(-LN(2)/2)*BR185+(1-EXP(-LN(2)/2))/(LN(2)/2)*BL186*BO186*VLOOKUP('Données projet'!$B$11,Paramètres!$A$1:$I$89,3,0)*0.475*44/12</f>
        <v>1.7271277826627389E-17</v>
      </c>
      <c r="BS186" s="22">
        <f t="shared" si="169"/>
        <v>24.776124603182428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-1.69961822393816E-13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215.89467197072673</v>
      </c>
      <c r="CE186" s="59">
        <f t="shared" si="148"/>
        <v>188.21397398859534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14.851139709744213</v>
      </c>
      <c r="CL186" s="21">
        <f>EXP(-LN(2)/25)*CL185+(1-EXP(-LN(2)/25))/(LN(2)/25)*Calculateur!CG186*Calculateur!CI186*VLOOKUP('Données projet'!$B$12,Paramètres!$A$1:$I$89,3,0)*0.475*44/12</f>
        <v>1.6094602795469706</v>
      </c>
      <c r="CM186" s="21">
        <f>EXP(-LN(2)/2)*CM185+(1-EXP(-LN(2)/2))/(LN(2)/2)*CG186*CJ186*VLOOKUP('Données projet'!$B$12,Paramètres!$A$1:$I$89,3,0)*0.475*44/12</f>
        <v>8.7538863447762954E-15</v>
      </c>
      <c r="CN186" s="22">
        <f t="shared" si="172"/>
        <v>16.46059998929119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3.2339743583333274</v>
      </c>
      <c r="CT186" s="12">
        <f>IF('Données projet'!$A$140&gt;35,CT185+CS186-DB185,IF(A186&lt;'Données projet'!$A$140,$CQ$205^A186,IF(A186='Données projet'!$A$140,'Données projet'!$B$140,CT185+CS186-DB185)))</f>
        <v>201.86858974166699</v>
      </c>
      <c r="CU186" s="17">
        <f>CT186*VLOOKUP('Données projet'!$B$13,Paramètres!$A$1:$I$89,3,0)*VLOOKUP('Données projet'!$B$13,Paramètres!$A$1:$I$89,5,0)</f>
        <v>204.69474999805036</v>
      </c>
      <c r="CV186" s="13">
        <f t="shared" si="173"/>
        <v>50.774534274083919</v>
      </c>
      <c r="CW186" s="20">
        <f t="shared" si="174"/>
        <v>444.94233677396716</v>
      </c>
      <c r="CX186" s="59">
        <f t="shared" si="122"/>
        <v>738.27567010730047</v>
      </c>
      <c r="CY186" s="59">
        <f ca="1">AVERAGE(OFFSET($CX$3,0,0,'Données projet'!$E$13+1,1))-AVERAGE(OFFSET($H$3,0,0,'Données projet'!$E$13+1,1))</f>
        <v>342.82846711287749</v>
      </c>
      <c r="CZ186" s="59">
        <f t="shared" si="150"/>
        <v>152.87724741106297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92.477255838245895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92.477255838245895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208.48147873805715</v>
      </c>
      <c r="DU186" s="59">
        <f t="shared" si="152"/>
        <v>209.50570914630686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7.565333936409842</v>
      </c>
      <c r="EB186" s="21">
        <f>EXP(-LN(2)/25)*EB185+(1-EXP(-LN(2)/25))/(LN(2)/25)*Calculateur!DW186*Calculateur!DY186*VLOOKUP('Données projet'!$B$14,Paramètres!$A$1:$I$89,3,0)*0.475*44/12</f>
        <v>1.0986859606541952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8.664019897064037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-1.7053025658242404E-13</v>
      </c>
      <c r="EK186" s="17">
        <f>EJ186*VLOOKUP('Données projet'!$B$15,Paramètres!$A$1:$I$89,3,0)*VLOOKUP('Données projet'!$B$15,Paramètres!$A$1:$I$89,5,0)</f>
        <v>-1.0197709343628959E-13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247.31680974612766</v>
      </c>
      <c r="EP186" s="59">
        <f t="shared" si="154"/>
        <v>257.13949761071882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11.352939164804814</v>
      </c>
      <c r="EW186" s="21">
        <f>EXP(-LN(2)/25)*EW185+(1-EXP(-LN(2)/25))/(LN(2)/25)*Calculateur!ER186*Calculateur!ET186*VLOOKUP('Données projet'!$B$15,Paramètres!$A$1:$I$89,3,0)*0.475*44/12</f>
        <v>1.1937097312251428</v>
      </c>
      <c r="EX186" s="21">
        <f>EXP(-LN(2)/2)*EX185+(1-EXP(-LN(2)/2))/(LN(2)/2)*ER186*EU186*VLOOKUP('Données projet'!$B$15,Paramètres!$A$1:$I$89,3,0)*0.475*44/12</f>
        <v>9.801685033626426E-18</v>
      </c>
      <c r="EY186" s="22">
        <f t="shared" si="181"/>
        <v>12.546648896029957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32.72255999999998</v>
      </c>
      <c r="D187" s="11">
        <f t="shared" si="140"/>
        <v>10.047803079787064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66.031437737215086</v>
      </c>
      <c r="H187" s="67">
        <f t="shared" si="110"/>
        <v>331.15838236396246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5.1159076974727213E-13</v>
      </c>
      <c r="O187" s="13">
        <f>N187*VLOOKUP('Données projet'!$B$9,Paramètres!$A$1:$I$89,3,0)*VLOOKUP('Données projet'!$B$9,Paramètres!$A$1:$I$89,5,0)</f>
        <v>2.3942448024172334E-13</v>
      </c>
      <c r="P187" s="13">
        <f t="shared" si="141"/>
        <v>3.2492669905861755E-12</v>
      </c>
      <c r="Q187" s="20">
        <f t="shared" si="162"/>
        <v>6.0761376450252565E-12</v>
      </c>
      <c r="R187" s="59">
        <f t="shared" si="109"/>
        <v>293.3333333333394</v>
      </c>
      <c r="S187" s="59">
        <f ca="1">AVERAGE(OFFSET($R$3,0,0,'Données projet'!$E$9+1,1))-AVERAGE(OFFSET($H$3,0,0,'Données projet'!$E$9+1,1))</f>
        <v>223.99456146593315</v>
      </c>
      <c r="T187" s="59">
        <f t="shared" si="142"/>
        <v>132.73290587325937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30.277121506732058</v>
      </c>
      <c r="AA187" s="21">
        <f>EXP(-LN(2)/25)*AA186+(1-EXP(-LN(2)/25))/(LN(2)/25)*Calculateur!V187*Calculateur!X187*VLOOKUP('Données projet'!$B$9,Paramètres!$A$1:$I$89,3,0)*0.475*44/12</f>
        <v>4.1559077484328029</v>
      </c>
      <c r="AB187" s="21">
        <f>EXP(-LN(2)/2)*AB186+(1-EXP(-LN(2)/2))/(LN(2)/2)*V187*Y187*VLOOKUP('Données projet'!$B$9,Paramètres!$A$1:$I$89,3,0)*0.475*44/12</f>
        <v>9.440178580836822E-11</v>
      </c>
      <c r="AC187" s="22">
        <f t="shared" si="163"/>
        <v>34.433029255259264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8.5265128291212022E-14</v>
      </c>
      <c r="AJ187" s="13">
        <f>AI187*VLOOKUP('Données projet'!$B$10,Paramètres!$A$1:$I$89,3,0)*VLOOKUP('Données projet'!$B$10,Paramètres!$A$1:$I$89,5,0)</f>
        <v>5.5865712056402117E-14</v>
      </c>
      <c r="AK187" s="13">
        <f t="shared" si="164"/>
        <v>8.9811031843713517E-13</v>
      </c>
      <c r="AL187" s="20">
        <f t="shared" si="165"/>
        <v>1.6615082531095774E-12</v>
      </c>
      <c r="AM187" s="59">
        <f t="shared" si="113"/>
        <v>293.33333333333496</v>
      </c>
      <c r="AN187" s="59">
        <f ca="1">AVERAGE(OFFSET($AM$3,0,0,'Données projet'!$E$10+1,1))-AVERAGE(OFFSET($H$3,0,0,'Données projet'!$E$10+1,1))</f>
        <v>244.43587473734613</v>
      </c>
      <c r="AO187" s="59">
        <f t="shared" si="144"/>
        <v>256.80261402149375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2.8645983127216552</v>
      </c>
      <c r="AV187" s="21">
        <f>EXP(-LN(2)/25)*AV186+(1-EXP(-LN(2)/25))/(LN(2)/25)*Calculateur!AQ187*Calculateur!AS187*VLOOKUP('Données projet'!$B$10,Paramètres!$A$1:$I$89,3,0)*0.475*44/12</f>
        <v>3.7296604240882858</v>
      </c>
      <c r="AW187" s="21">
        <f>EXP(-LN(2)/2)*AW186+(1-EXP(-LN(2)/2))/(LN(2)/2)*AQ187*AT187*VLOOKUP('Données projet'!$B$10,Paramètres!$A$1:$I$89,3,0)*0.475*44/12</f>
        <v>2.2255823335756406E-13</v>
      </c>
      <c r="AX187" s="21">
        <f t="shared" si="166"/>
        <v>6.5942587368101639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-1.2710188457276673E-13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430.60186171079067</v>
      </c>
      <c r="BJ187" s="59">
        <f t="shared" si="146"/>
        <v>533.76627289533985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22.203955432690858</v>
      </c>
      <c r="BQ187" s="21">
        <f>EXP(-LN(2)/25)*BQ186+(1-EXP(-LN(2)/25))/(LN(2)/25)*Calculateur!BL187*Calculateur!BN187*VLOOKUP('Données projet'!$B$11,Paramètres!$A$1:$I$89,3,0)*0.475*44/12</f>
        <v>2.0698625688584062</v>
      </c>
      <c r="BR187" s="21">
        <f>EXP(-LN(2)/2)*BR186+(1-EXP(-LN(2)/2))/(LN(2)/2)*BL187*BO187*VLOOKUP('Données projet'!$B$11,Paramètres!$A$1:$I$89,3,0)*0.475*44/12</f>
        <v>1.2212637670965083E-17</v>
      </c>
      <c r="BS187" s="22">
        <f t="shared" si="169"/>
        <v>24.273818001549266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-1.69961822393816E-13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215.89467197072673</v>
      </c>
      <c r="CE187" s="59">
        <f t="shared" si="148"/>
        <v>188.21397398859534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14.55991791833692</v>
      </c>
      <c r="CL187" s="21">
        <f>EXP(-LN(2)/25)*CL186+(1-EXP(-LN(2)/25))/(LN(2)/25)*Calculateur!CG187*Calculateur!CI187*VLOOKUP('Données projet'!$B$12,Paramètres!$A$1:$I$89,3,0)*0.475*44/12</f>
        <v>1.565449503564921</v>
      </c>
      <c r="CM187" s="21">
        <f>EXP(-LN(2)/2)*CM186+(1-EXP(-LN(2)/2))/(LN(2)/2)*CG187*CJ187*VLOOKUP('Données projet'!$B$12,Paramètres!$A$1:$I$89,3,0)*0.475*44/12</f>
        <v>6.1899323961276384E-15</v>
      </c>
      <c r="CN187" s="22">
        <f t="shared" si="172"/>
        <v>16.125367421901849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>
        <f>VLOOKUP(A187,'Données projet'!$A$139:$I$159,2,0)</f>
        <v>205.1025641</v>
      </c>
      <c r="CR187" s="12">
        <f>VLOOKUP(A187,'Données projet'!$A$139:$I$159,9,0)</f>
        <v>3.2339743583333274</v>
      </c>
      <c r="CS187" s="12">
        <f t="array" ref="CS187">INDEX(CR:CR,MIN(IF(ISNUMBER(CR187:CR383),ROW(CR187:CR383),"")))</f>
        <v>3.2339743583333274</v>
      </c>
      <c r="CT187" s="12">
        <f>IF('Données projet'!$A$140&gt;35,CT186+CS187-DB186,IF(A187&lt;'Données projet'!$A$140,$CQ$205^A187,IF(A187='Données projet'!$A$140,'Données projet'!$B$140,CT186+CS187-DB186)))</f>
        <v>205.10256410000034</v>
      </c>
      <c r="CU187" s="17">
        <f>CT187*VLOOKUP('Données projet'!$B$13,Paramètres!$A$1:$I$89,3,0)*VLOOKUP('Données projet'!$B$13,Paramètres!$A$1:$I$89,5,0)</f>
        <v>207.97399999740034</v>
      </c>
      <c r="CV187" s="13">
        <f t="shared" si="173"/>
        <v>51.49260423703462</v>
      </c>
      <c r="CW187" s="20">
        <f t="shared" si="174"/>
        <v>451.90433570830754</v>
      </c>
      <c r="CX187" s="59">
        <f t="shared" si="122"/>
        <v>745.23766904164086</v>
      </c>
      <c r="CY187" s="59">
        <f ca="1">AVERAGE(OFFSET($CX$3,0,0,'Données projet'!$E$13+1,1))-AVERAGE(OFFSET($H$3,0,0,'Données projet'!$E$13+1,1))</f>
        <v>342.82846711287749</v>
      </c>
      <c r="CZ187" s="59">
        <f t="shared" si="150"/>
        <v>152.87724741106297</v>
      </c>
      <c r="DA187" s="15">
        <f>IF(ISNA(VLOOKUP(A187,'Données projet'!$A$139:$I$159,3,0)),0,VLOOKUP(A187,'Données projet'!$A$139:$I$159,3,0))</f>
        <v>14</v>
      </c>
      <c r="DB187" s="15">
        <f>IF(ISNA(VLOOKUP(A187,'Données projet'!$A$139:$I$159,4,0)),0,VLOOKUP(A187,'Données projet'!$A$139:$I$159,4,0))</f>
        <v>69.160256410256409</v>
      </c>
      <c r="DC187" s="16">
        <f>IF(ISNA(VLOOKUP(A187,'Données projet'!$A$139:$I$159,5,0)),0%,VLOOKUP(A187,'Données projet'!$A$139:$I$159,5,0)*VLOOKUP('Données projet'!$B$13,Paramètres!$A$1:$I$89,7,0))</f>
        <v>0.38700000000000001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120.66600032760098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120.66600032760098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208.48147873805715</v>
      </c>
      <c r="DU187" s="59">
        <f t="shared" si="152"/>
        <v>209.50570914630686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7.4169823523149123</v>
      </c>
      <c r="EB187" s="21">
        <f>EXP(-LN(2)/25)*EB186+(1-EXP(-LN(2)/25))/(LN(2)/25)*Calculateur!DW187*Calculateur!DY187*VLOOKUP('Données projet'!$B$14,Paramètres!$A$1:$I$89,3,0)*0.475*44/12</f>
        <v>1.0686423352827226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8.4856246875976353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-1.7053025658242404E-13</v>
      </c>
      <c r="EK187" s="17">
        <f>EJ187*VLOOKUP('Données projet'!$B$15,Paramètres!$A$1:$I$89,3,0)*VLOOKUP('Données projet'!$B$15,Paramètres!$A$1:$I$89,5,0)</f>
        <v>-1.0197709343628959E-13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247.31680974612766</v>
      </c>
      <c r="EP187" s="59">
        <f t="shared" si="154"/>
        <v>257.13949761071882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11.130314952392133</v>
      </c>
      <c r="EW187" s="21">
        <f>EXP(-LN(2)/25)*EW186+(1-EXP(-LN(2)/25))/(LN(2)/25)*Calculateur!ER187*Calculateur!ET187*VLOOKUP('Données projet'!$B$15,Paramètres!$A$1:$I$89,3,0)*0.475*44/12</f>
        <v>1.1610676758503247</v>
      </c>
      <c r="EX187" s="21">
        <f>EXP(-LN(2)/2)*EX186+(1-EXP(-LN(2)/2))/(LN(2)/2)*ER187*EU187*VLOOKUP('Données projet'!$B$15,Paramètres!$A$1:$I$89,3,0)*0.475*44/12</f>
        <v>6.9308379543319394E-18</v>
      </c>
      <c r="EY187" s="22">
        <f t="shared" si="181"/>
        <v>12.291382628242458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32.900399999999983</v>
      </c>
      <c r="D188" s="11">
        <f t="shared" si="140"/>
        <v>10.096039146303498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66.380467453942217</v>
      </c>
      <c r="H188" s="67">
        <f t="shared" si="110"/>
        <v>331.55213151314524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5.1159076974727213E-13</v>
      </c>
      <c r="O188" s="13">
        <f>N188*VLOOKUP('Données projet'!$B$9,Paramètres!$A$1:$I$89,3,0)*VLOOKUP('Données projet'!$B$9,Paramètres!$A$1:$I$89,5,0)</f>
        <v>2.3942448024172334E-13</v>
      </c>
      <c r="P188" s="13">
        <f t="shared" si="141"/>
        <v>3.2492669905861755E-12</v>
      </c>
      <c r="Q188" s="20">
        <f t="shared" si="162"/>
        <v>6.0761376450252565E-12</v>
      </c>
      <c r="R188" s="59">
        <f t="shared" si="109"/>
        <v>293.3333333333394</v>
      </c>
      <c r="S188" s="59">
        <f ca="1">AVERAGE(OFFSET($R$3,0,0,'Données projet'!$E$9+1,1))-AVERAGE(OFFSET($H$3,0,0,'Données projet'!$E$9+1,1))</f>
        <v>223.99456146593315</v>
      </c>
      <c r="T188" s="59">
        <f t="shared" si="142"/>
        <v>132.73290587325937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29.683405621205676</v>
      </c>
      <c r="AA188" s="21">
        <f>EXP(-LN(2)/25)*AA187+(1-EXP(-LN(2)/25))/(LN(2)/25)*Calculateur!V188*Calculateur!X188*VLOOKUP('Données projet'!$B$9,Paramètres!$A$1:$I$89,3,0)*0.475*44/12</f>
        <v>4.0422642325022178</v>
      </c>
      <c r="AB188" s="21">
        <f>EXP(-LN(2)/2)*AB187+(1-EXP(-LN(2)/2))/(LN(2)/2)*V188*Y188*VLOOKUP('Données projet'!$B$9,Paramètres!$A$1:$I$89,3,0)*0.475*44/12</f>
        <v>6.6752142901217153E-11</v>
      </c>
      <c r="AC188" s="22">
        <f t="shared" si="163"/>
        <v>33.725669853774647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8.5265128291212022E-14</v>
      </c>
      <c r="AJ188" s="13">
        <f>AI188*VLOOKUP('Données projet'!$B$10,Paramètres!$A$1:$I$89,3,0)*VLOOKUP('Données projet'!$B$10,Paramètres!$A$1:$I$89,5,0)</f>
        <v>5.5865712056402117E-14</v>
      </c>
      <c r="AK188" s="13">
        <f t="shared" si="164"/>
        <v>8.9811031843713517E-13</v>
      </c>
      <c r="AL188" s="20">
        <f t="shared" si="165"/>
        <v>1.6615082531095774E-12</v>
      </c>
      <c r="AM188" s="59">
        <f t="shared" si="113"/>
        <v>293.33333333333496</v>
      </c>
      <c r="AN188" s="59">
        <f ca="1">AVERAGE(OFFSET($AM$3,0,0,'Données projet'!$E$10+1,1))-AVERAGE(OFFSET($H$3,0,0,'Données projet'!$E$10+1,1))</f>
        <v>244.43587473734613</v>
      </c>
      <c r="AO188" s="59">
        <f t="shared" si="144"/>
        <v>256.80261402149375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2.8084252870416293</v>
      </c>
      <c r="AV188" s="21">
        <f>EXP(-LN(2)/25)*AV187+(1-EXP(-LN(2)/25))/(LN(2)/25)*Calculateur!AQ188*Calculateur!AS188*VLOOKUP('Données projet'!$B$10,Paramètres!$A$1:$I$89,3,0)*0.475*44/12</f>
        <v>3.627672663657274</v>
      </c>
      <c r="AW188" s="21">
        <f>EXP(-LN(2)/2)*AW187+(1-EXP(-LN(2)/2))/(LN(2)/2)*AQ188*AT188*VLOOKUP('Données projet'!$B$10,Paramètres!$A$1:$I$89,3,0)*0.475*44/12</f>
        <v>1.5737243601603165E-13</v>
      </c>
      <c r="AX188" s="21">
        <f t="shared" si="166"/>
        <v>6.4360979506990601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-1.2710188457276673E-13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430.60186171079067</v>
      </c>
      <c r="BJ188" s="59">
        <f t="shared" si="146"/>
        <v>533.76627289533985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21.768549409731335</v>
      </c>
      <c r="BQ188" s="21">
        <f>EXP(-LN(2)/25)*BQ187+(1-EXP(-LN(2)/25))/(LN(2)/25)*Calculateur!BL188*Calculateur!BN188*VLOOKUP('Données projet'!$B$11,Paramètres!$A$1:$I$89,3,0)*0.475*44/12</f>
        <v>2.0132620680636313</v>
      </c>
      <c r="BR188" s="21">
        <f>EXP(-LN(2)/2)*BR187+(1-EXP(-LN(2)/2))/(LN(2)/2)*BL188*BO188*VLOOKUP('Données projet'!$B$11,Paramètres!$A$1:$I$89,3,0)*0.475*44/12</f>
        <v>8.6356389133136944E-18</v>
      </c>
      <c r="BS188" s="22">
        <f t="shared" si="169"/>
        <v>23.781811477794967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-1.69961822393816E-13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215.89467197072673</v>
      </c>
      <c r="CE188" s="59">
        <f t="shared" si="148"/>
        <v>188.21397398859534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14.274406808631369</v>
      </c>
      <c r="CL188" s="21">
        <f>EXP(-LN(2)/25)*CL187+(1-EXP(-LN(2)/25))/(LN(2)/25)*Calculateur!CG188*Calculateur!CI188*VLOOKUP('Données projet'!$B$12,Paramètres!$A$1:$I$89,3,0)*0.475*44/12</f>
        <v>1.5226422045665267</v>
      </c>
      <c r="CM188" s="21">
        <f>EXP(-LN(2)/2)*CM187+(1-EXP(-LN(2)/2))/(LN(2)/2)*CG188*CJ188*VLOOKUP('Données projet'!$B$12,Paramètres!$A$1:$I$89,3,0)*0.475*44/12</f>
        <v>4.3769431723881477E-15</v>
      </c>
      <c r="CN188" s="22">
        <f t="shared" si="172"/>
        <v>15.797049013197899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2.0801282057692347</v>
      </c>
      <c r="CT188" s="12">
        <f>IF('Données projet'!$A$140&gt;35,CT187+CS188-DB187,IF(A188&lt;'Données projet'!$A$140,$CQ$205^A188,IF(A188='Données projet'!$A$140,'Données projet'!$B$140,CT187+CS188-DB187)))</f>
        <v>138.02243589551315</v>
      </c>
      <c r="CU188" s="17">
        <f>CT188*VLOOKUP('Données projet'!$B$13,Paramètres!$A$1:$I$89,3,0)*VLOOKUP('Données projet'!$B$13,Paramètres!$A$1:$I$89,5,0)</f>
        <v>139.95474999805035</v>
      </c>
      <c r="CV188" s="13">
        <f t="shared" si="173"/>
        <v>36.286639159961069</v>
      </c>
      <c r="CW188" s="20">
        <f t="shared" si="174"/>
        <v>306.95375278353657</v>
      </c>
      <c r="CX188" s="59">
        <f t="shared" si="122"/>
        <v>600.28708611686989</v>
      </c>
      <c r="CY188" s="59">
        <f ca="1">AVERAGE(OFFSET($CX$3,0,0,'Données projet'!$E$13+1,1))-AVERAGE(OFFSET($H$3,0,0,'Données projet'!$E$13+1,1))</f>
        <v>342.82846711287749</v>
      </c>
      <c r="CZ188" s="59">
        <f t="shared" si="150"/>
        <v>152.87724741106297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118.29981366016963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118.29981366016963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208.48147873805715</v>
      </c>
      <c r="DU188" s="59">
        <f t="shared" si="152"/>
        <v>209.50570914630686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7.2715398522985524</v>
      </c>
      <c r="EB188" s="21">
        <f>EXP(-LN(2)/25)*EB187+(1-EXP(-LN(2)/25))/(LN(2)/25)*Calculateur!DW188*Calculateur!DY188*VLOOKUP('Données projet'!$B$14,Paramètres!$A$1:$I$89,3,0)*0.475*44/12</f>
        <v>1.0394202544269586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8.3109601067255117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-1.7053025658242404E-13</v>
      </c>
      <c r="EK188" s="17">
        <f>EJ188*VLOOKUP('Données projet'!$B$15,Paramètres!$A$1:$I$89,3,0)*VLOOKUP('Données projet'!$B$15,Paramètres!$A$1:$I$89,5,0)</f>
        <v>-1.0197709343628959E-13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247.31680974612766</v>
      </c>
      <c r="EP188" s="59">
        <f t="shared" si="154"/>
        <v>257.13949761071882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10.912056264997505</v>
      </c>
      <c r="EW188" s="21">
        <f>EXP(-LN(2)/25)*EW187+(1-EXP(-LN(2)/25))/(LN(2)/25)*Calculateur!ER188*Calculateur!ET188*VLOOKUP('Données projet'!$B$15,Paramètres!$A$1:$I$89,3,0)*0.475*44/12</f>
        <v>1.129318219196302</v>
      </c>
      <c r="EX188" s="21">
        <f>EXP(-LN(2)/2)*EX187+(1-EXP(-LN(2)/2))/(LN(2)/2)*ER188*EU188*VLOOKUP('Données projet'!$B$15,Paramètres!$A$1:$I$89,3,0)*0.475*44/12</f>
        <v>4.9008425168132138E-18</v>
      </c>
      <c r="EY188" s="22">
        <f t="shared" si="181"/>
        <v>12.041374484193806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33.078239999999987</v>
      </c>
      <c r="D189" s="11">
        <f t="shared" si="140"/>
        <v>10.144244872597875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66.729450329624783</v>
      </c>
      <c r="H189" s="67">
        <f t="shared" si="110"/>
        <v>331.94582781977465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5.1159076974727213E-13</v>
      </c>
      <c r="O189" s="13">
        <f>N189*VLOOKUP('Données projet'!$B$9,Paramètres!$A$1:$I$89,3,0)*VLOOKUP('Données projet'!$B$9,Paramètres!$A$1:$I$89,5,0)</f>
        <v>2.3942448024172334E-13</v>
      </c>
      <c r="P189" s="13">
        <f t="shared" si="141"/>
        <v>3.2492669905861755E-12</v>
      </c>
      <c r="Q189" s="20">
        <f t="shared" si="162"/>
        <v>6.0761376450252565E-12</v>
      </c>
      <c r="R189" s="59">
        <f t="shared" si="109"/>
        <v>293.3333333333394</v>
      </c>
      <c r="S189" s="59">
        <f ca="1">AVERAGE(OFFSET($R$3,0,0,'Données projet'!$E$9+1,1))-AVERAGE(OFFSET($H$3,0,0,'Données projet'!$E$9+1,1))</f>
        <v>223.99456146593315</v>
      </c>
      <c r="T189" s="59">
        <f t="shared" si="142"/>
        <v>132.73290587325937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29.101332142063534</v>
      </c>
      <c r="AA189" s="21">
        <f>EXP(-LN(2)/25)*AA188+(1-EXP(-LN(2)/25))/(LN(2)/25)*Calculateur!V189*Calculateur!X189*VLOOKUP('Données projet'!$B$9,Paramètres!$A$1:$I$89,3,0)*0.475*44/12</f>
        <v>3.9317283044910072</v>
      </c>
      <c r="AB189" s="21">
        <f>EXP(-LN(2)/2)*AB188+(1-EXP(-LN(2)/2))/(LN(2)/2)*V189*Y189*VLOOKUP('Données projet'!$B$9,Paramètres!$A$1:$I$89,3,0)*0.475*44/12</f>
        <v>4.720089290418411E-11</v>
      </c>
      <c r="AC189" s="22">
        <f t="shared" si="163"/>
        <v>33.033060446601745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8.5265128291212022E-14</v>
      </c>
      <c r="AJ189" s="13">
        <f>AI189*VLOOKUP('Données projet'!$B$10,Paramètres!$A$1:$I$89,3,0)*VLOOKUP('Données projet'!$B$10,Paramètres!$A$1:$I$89,5,0)</f>
        <v>5.5865712056402117E-14</v>
      </c>
      <c r="AK189" s="13">
        <f t="shared" si="164"/>
        <v>8.9811031843713517E-13</v>
      </c>
      <c r="AL189" s="20">
        <f t="shared" si="165"/>
        <v>1.6615082531095774E-12</v>
      </c>
      <c r="AM189" s="59">
        <f t="shared" si="113"/>
        <v>293.33333333333496</v>
      </c>
      <c r="AN189" s="59">
        <f ca="1">AVERAGE(OFFSET($AM$3,0,0,'Données projet'!$E$10+1,1))-AVERAGE(OFFSET($H$3,0,0,'Données projet'!$E$10+1,1))</f>
        <v>244.43587473734613</v>
      </c>
      <c r="AO189" s="59">
        <f t="shared" si="144"/>
        <v>256.80261402149375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2.7533537801330263</v>
      </c>
      <c r="AV189" s="21">
        <f>EXP(-LN(2)/25)*AV188+(1-EXP(-LN(2)/25))/(LN(2)/25)*Calculateur!AQ189*Calculateur!AS189*VLOOKUP('Données projet'!$B$10,Paramètres!$A$1:$I$89,3,0)*0.475*44/12</f>
        <v>3.5284737638985515</v>
      </c>
      <c r="AW189" s="21">
        <f>EXP(-LN(2)/2)*AW188+(1-EXP(-LN(2)/2))/(LN(2)/2)*AQ189*AT189*VLOOKUP('Données projet'!$B$10,Paramètres!$A$1:$I$89,3,0)*0.475*44/12</f>
        <v>1.1127911667878206E-13</v>
      </c>
      <c r="AX189" s="21">
        <f t="shared" si="166"/>
        <v>6.2818275440316889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-1.2710188457276673E-13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430.60186171079067</v>
      </c>
      <c r="BJ189" s="59">
        <f t="shared" si="146"/>
        <v>533.76627289533985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21.341681433310598</v>
      </c>
      <c r="BQ189" s="21">
        <f>EXP(-LN(2)/25)*BQ188+(1-EXP(-LN(2)/25))/(LN(2)/25)*Calculateur!BL189*Calculateur!BN189*VLOOKUP('Données projet'!$B$11,Paramètres!$A$1:$I$89,3,0)*0.475*44/12</f>
        <v>1.9582093109395804</v>
      </c>
      <c r="BR189" s="21">
        <f>EXP(-LN(2)/2)*BR188+(1-EXP(-LN(2)/2))/(LN(2)/2)*BL189*BO189*VLOOKUP('Données projet'!$B$11,Paramètres!$A$1:$I$89,3,0)*0.475*44/12</f>
        <v>6.1063188354825417E-18</v>
      </c>
      <c r="BS189" s="22">
        <f t="shared" si="169"/>
        <v>23.299890744250177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-1.69961822393816E-13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215.89467197072673</v>
      </c>
      <c r="CE189" s="59">
        <f t="shared" si="148"/>
        <v>188.21397398859534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13.994494397642562</v>
      </c>
      <c r="CL189" s="21">
        <f>EXP(-LN(2)/25)*CL188+(1-EXP(-LN(2)/25))/(LN(2)/25)*Calculateur!CG189*Calculateur!CI189*VLOOKUP('Données projet'!$B$12,Paramètres!$A$1:$I$89,3,0)*0.475*44/12</f>
        <v>1.4810054734103815</v>
      </c>
      <c r="CM189" s="21">
        <f>EXP(-LN(2)/2)*CM188+(1-EXP(-LN(2)/2))/(LN(2)/2)*CG189*CJ189*VLOOKUP('Données projet'!$B$12,Paramètres!$A$1:$I$89,3,0)*0.475*44/12</f>
        <v>3.0949661980638192E-15</v>
      </c>
      <c r="CN189" s="22">
        <f t="shared" si="172"/>
        <v>15.475499871052946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2.0801282057692347</v>
      </c>
      <c r="CT189" s="12">
        <f>IF('Données projet'!$A$140&gt;35,CT188+CS189-DB188,IF(A189&lt;'Données projet'!$A$140,$CQ$205^A189,IF(A189='Données projet'!$A$140,'Données projet'!$B$140,CT188+CS189-DB188)))</f>
        <v>140.10256410128238</v>
      </c>
      <c r="CU189" s="17">
        <f>CT189*VLOOKUP('Données projet'!$B$13,Paramètres!$A$1:$I$89,3,0)*VLOOKUP('Données projet'!$B$13,Paramètres!$A$1:$I$89,5,0)</f>
        <v>142.06399999870035</v>
      </c>
      <c r="CV189" s="13">
        <f t="shared" si="173"/>
        <v>36.769435412418332</v>
      </c>
      <c r="CW189" s="20">
        <f t="shared" si="174"/>
        <v>311.46823334103169</v>
      </c>
      <c r="CX189" s="59">
        <f t="shared" si="122"/>
        <v>604.80156667436495</v>
      </c>
      <c r="CY189" s="59">
        <f ca="1">AVERAGE(OFFSET($CX$3,0,0,'Données projet'!$E$13+1,1))-AVERAGE(OFFSET($H$3,0,0,'Données projet'!$E$13+1,1))</f>
        <v>342.82846711287749</v>
      </c>
      <c r="CZ189" s="59">
        <f t="shared" si="150"/>
        <v>152.87724741106297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115.98002647005525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115.98002647005525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208.48147873805715</v>
      </c>
      <c r="DU189" s="59">
        <f t="shared" si="152"/>
        <v>209.50570914630686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7.1289493909963477</v>
      </c>
      <c r="EB189" s="21">
        <f>EXP(-LN(2)/25)*EB188+(1-EXP(-LN(2)/25))/(LN(2)/25)*Calculateur!DW189*Calculateur!DY189*VLOOKUP('Données projet'!$B$14,Paramètres!$A$1:$I$89,3,0)*0.475*44/12</f>
        <v>1.010997252908918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8.1399466439052652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-1.7053025658242404E-13</v>
      </c>
      <c r="EK189" s="17">
        <f>EJ189*VLOOKUP('Données projet'!$B$15,Paramètres!$A$1:$I$89,3,0)*VLOOKUP('Données projet'!$B$15,Paramètres!$A$1:$I$89,5,0)</f>
        <v>-1.0197709343628959E-13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247.31680974612766</v>
      </c>
      <c r="EP189" s="59">
        <f t="shared" si="154"/>
        <v>257.13949761071882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10.69807749733803</v>
      </c>
      <c r="EW189" s="21">
        <f>EXP(-LN(2)/25)*EW188+(1-EXP(-LN(2)/25))/(LN(2)/25)*Calculateur!ER189*Calculateur!ET189*VLOOKUP('Données projet'!$B$15,Paramètres!$A$1:$I$89,3,0)*0.475*44/12</f>
        <v>1.0984369531041152</v>
      </c>
      <c r="EX189" s="21">
        <f>EXP(-LN(2)/2)*EX188+(1-EXP(-LN(2)/2))/(LN(2)/2)*ER189*EU189*VLOOKUP('Données projet'!$B$15,Paramètres!$A$1:$I$89,3,0)*0.475*44/12</f>
        <v>3.4654189771659701E-18</v>
      </c>
      <c r="EY189" s="22">
        <f t="shared" si="181"/>
        <v>11.796514450442146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33.25607999999999</v>
      </c>
      <c r="D190" s="11">
        <f t="shared" si="140"/>
        <v>10.192420440721561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67.078386645324514</v>
      </c>
      <c r="H190" s="67">
        <f t="shared" si="110"/>
        <v>332.33947160092339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5.1159076974727213E-13</v>
      </c>
      <c r="O190" s="13">
        <f>N190*VLOOKUP('Données projet'!$B$9,Paramètres!$A$1:$I$89,3,0)*VLOOKUP('Données projet'!$B$9,Paramètres!$A$1:$I$89,5,0)</f>
        <v>2.3942448024172334E-13</v>
      </c>
      <c r="P190" s="13">
        <f t="shared" si="141"/>
        <v>3.2492669905861755E-12</v>
      </c>
      <c r="Q190" s="20">
        <f t="shared" si="162"/>
        <v>6.0761376450252565E-12</v>
      </c>
      <c r="R190" s="59">
        <f t="shared" si="109"/>
        <v>293.3333333333394</v>
      </c>
      <c r="S190" s="59">
        <f ca="1">AVERAGE(OFFSET($R$3,0,0,'Données projet'!$E$9+1,1))-AVERAGE(OFFSET($H$3,0,0,'Données projet'!$E$9+1,1))</f>
        <v>223.99456146593315</v>
      </c>
      <c r="T190" s="59">
        <f t="shared" si="142"/>
        <v>132.73290587325937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28.530672768817603</v>
      </c>
      <c r="AA190" s="21">
        <f>EXP(-LN(2)/25)*AA189+(1-EXP(-LN(2)/25))/(LN(2)/25)*Calculateur!V190*Calculateur!X190*VLOOKUP('Données projet'!$B$9,Paramètres!$A$1:$I$89,3,0)*0.475*44/12</f>
        <v>3.8242149872440954</v>
      </c>
      <c r="AB190" s="21">
        <f>EXP(-LN(2)/2)*AB189+(1-EXP(-LN(2)/2))/(LN(2)/2)*V190*Y190*VLOOKUP('Données projet'!$B$9,Paramètres!$A$1:$I$89,3,0)*0.475*44/12</f>
        <v>3.3376071450608576E-11</v>
      </c>
      <c r="AC190" s="22">
        <f t="shared" si="163"/>
        <v>32.354887756095074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8.5265128291212022E-14</v>
      </c>
      <c r="AJ190" s="13">
        <f>AI190*VLOOKUP('Données projet'!$B$10,Paramètres!$A$1:$I$89,3,0)*VLOOKUP('Données projet'!$B$10,Paramètres!$A$1:$I$89,5,0)</f>
        <v>5.5865712056402117E-14</v>
      </c>
      <c r="AK190" s="13">
        <f t="shared" si="164"/>
        <v>8.9811031843713517E-13</v>
      </c>
      <c r="AL190" s="20">
        <f t="shared" si="165"/>
        <v>1.6615082531095774E-12</v>
      </c>
      <c r="AM190" s="59">
        <f t="shared" si="113"/>
        <v>293.33333333333496</v>
      </c>
      <c r="AN190" s="59">
        <f ca="1">AVERAGE(OFFSET($AM$3,0,0,'Données projet'!$E$10+1,1))-AVERAGE(OFFSET($H$3,0,0,'Données projet'!$E$10+1,1))</f>
        <v>244.43587473734613</v>
      </c>
      <c r="AO190" s="59">
        <f t="shared" si="144"/>
        <v>256.80261402149375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2.6993621918845987</v>
      </c>
      <c r="AV190" s="21">
        <f>EXP(-LN(2)/25)*AV189+(1-EXP(-LN(2)/25))/(LN(2)/25)*Calculateur!AQ190*Calculateur!AS190*VLOOKUP('Données projet'!$B$10,Paramètres!$A$1:$I$89,3,0)*0.475*44/12</f>
        <v>3.4319874632703748</v>
      </c>
      <c r="AW190" s="21">
        <f>EXP(-LN(2)/2)*AW189+(1-EXP(-LN(2)/2))/(LN(2)/2)*AQ190*AT190*VLOOKUP('Données projet'!$B$10,Paramètres!$A$1:$I$89,3,0)*0.475*44/12</f>
        <v>7.8686218008015839E-14</v>
      </c>
      <c r="AX190" s="21">
        <f t="shared" si="166"/>
        <v>6.131349655155053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-1.2710188457276673E-13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430.60186171079067</v>
      </c>
      <c r="BJ190" s="59">
        <f t="shared" si="146"/>
        <v>533.76627289533985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20.923184077543716</v>
      </c>
      <c r="BQ190" s="21">
        <f>EXP(-LN(2)/25)*BQ189+(1-EXP(-LN(2)/25))/(LN(2)/25)*Calculateur!BL190*Calculateur!BN190*VLOOKUP('Données projet'!$B$11,Paramètres!$A$1:$I$89,3,0)*0.475*44/12</f>
        <v>1.9046619743541855</v>
      </c>
      <c r="BR190" s="21">
        <f>EXP(-LN(2)/2)*BR189+(1-EXP(-LN(2)/2))/(LN(2)/2)*BL190*BO190*VLOOKUP('Données projet'!$B$11,Paramètres!$A$1:$I$89,3,0)*0.475*44/12</f>
        <v>4.3178194566568472E-18</v>
      </c>
      <c r="BS190" s="22">
        <f t="shared" si="169"/>
        <v>22.8278460518979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-1.69961822393816E-13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215.89467197072673</v>
      </c>
      <c r="CE190" s="59">
        <f t="shared" si="148"/>
        <v>188.21397398859534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13.720070898303534</v>
      </c>
      <c r="CL190" s="21">
        <f>EXP(-LN(2)/25)*CL189+(1-EXP(-LN(2)/25))/(LN(2)/25)*Calculateur!CG190*Calculateur!CI190*VLOOKUP('Données projet'!$B$12,Paramètres!$A$1:$I$89,3,0)*0.475*44/12</f>
        <v>1.4405073008572815</v>
      </c>
      <c r="CM190" s="21">
        <f>EXP(-LN(2)/2)*CM189+(1-EXP(-LN(2)/2))/(LN(2)/2)*CG190*CJ190*VLOOKUP('Données projet'!$B$12,Paramètres!$A$1:$I$89,3,0)*0.475*44/12</f>
        <v>2.1884715861940739E-15</v>
      </c>
      <c r="CN190" s="22">
        <f t="shared" si="172"/>
        <v>15.160578199160819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2.0801282057692347</v>
      </c>
      <c r="CT190" s="12">
        <f>IF('Données projet'!$A$140&gt;35,CT189+CS190-DB189,IF(A190&lt;'Données projet'!$A$140,$CQ$205^A190,IF(A190='Données projet'!$A$140,'Données projet'!$B$140,CT189+CS190-DB189)))</f>
        <v>142.18269230705161</v>
      </c>
      <c r="CU190" s="17">
        <f>CT190*VLOOKUP('Données projet'!$B$13,Paramètres!$A$1:$I$89,3,0)*VLOOKUP('Données projet'!$B$13,Paramètres!$A$1:$I$89,5,0)</f>
        <v>144.17324999935036</v>
      </c>
      <c r="CV190" s="13">
        <f t="shared" si="173"/>
        <v>37.25139797881755</v>
      </c>
      <c r="CW190" s="20">
        <f t="shared" si="174"/>
        <v>315.9812618953091</v>
      </c>
      <c r="CX190" s="59">
        <f t="shared" si="122"/>
        <v>609.31459522864247</v>
      </c>
      <c r="CY190" s="59">
        <f ca="1">AVERAGE(OFFSET($CX$3,0,0,'Données projet'!$E$13+1,1))-AVERAGE(OFFSET($H$3,0,0,'Données projet'!$E$13+1,1))</f>
        <v>342.82846711287749</v>
      </c>
      <c r="CZ190" s="59">
        <f t="shared" si="150"/>
        <v>152.87724741106297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113.70572889180853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113.70572889180853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208.48147873805715</v>
      </c>
      <c r="DU190" s="59">
        <f t="shared" si="152"/>
        <v>209.50570914630686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6.9891550416686856</v>
      </c>
      <c r="EB190" s="21">
        <f>EXP(-LN(2)/25)*EB189+(1-EXP(-LN(2)/25))/(LN(2)/25)*Calculateur!DW190*Calculateur!DY190*VLOOKUP('Données projet'!$B$14,Paramètres!$A$1:$I$89,3,0)*0.475*44/12</f>
        <v>0.98335147986208871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7.9725065215307742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-1.7053025658242404E-13</v>
      </c>
      <c r="EK190" s="17">
        <f>EJ190*VLOOKUP('Données projet'!$B$15,Paramètres!$A$1:$I$89,3,0)*VLOOKUP('Données projet'!$B$15,Paramètres!$A$1:$I$89,5,0)</f>
        <v>-1.0197709343628959E-13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247.31680974612766</v>
      </c>
      <c r="EP190" s="59">
        <f t="shared" si="154"/>
        <v>257.13949761071882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10.488294722798196</v>
      </c>
      <c r="EW190" s="21">
        <f>EXP(-LN(2)/25)*EW189+(1-EXP(-LN(2)/25))/(LN(2)/25)*Calculateur!ER190*Calculateur!ET190*VLOOKUP('Données projet'!$B$15,Paramètres!$A$1:$I$89,3,0)*0.475*44/12</f>
        <v>1.0684001368571943</v>
      </c>
      <c r="EX190" s="21">
        <f>EXP(-LN(2)/2)*EX189+(1-EXP(-LN(2)/2))/(LN(2)/2)*ER190*EU190*VLOOKUP('Données projet'!$B$15,Paramètres!$A$1:$I$89,3,0)*0.475*44/12</f>
        <v>2.4504212584066073E-18</v>
      </c>
      <c r="EY190" s="22">
        <f t="shared" si="181"/>
        <v>11.556694859655391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33.433919999999993</v>
      </c>
      <c r="D191" s="11">
        <f t="shared" si="140"/>
        <v>10.240566030666137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67.42727667892315</v>
      </c>
      <c r="H191" s="67">
        <f t="shared" si="110"/>
        <v>332.73306317007689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5.1159076974727213E-13</v>
      </c>
      <c r="O191" s="13">
        <f>N191*VLOOKUP('Données projet'!$B$9,Paramètres!$A$1:$I$89,3,0)*VLOOKUP('Données projet'!$B$9,Paramètres!$A$1:$I$89,5,0)</f>
        <v>2.3942448024172334E-13</v>
      </c>
      <c r="P191" s="13">
        <f t="shared" si="141"/>
        <v>3.2492669905861755E-12</v>
      </c>
      <c r="Q191" s="20">
        <f t="shared" si="162"/>
        <v>6.0761376450252565E-12</v>
      </c>
      <c r="R191" s="59">
        <f t="shared" si="109"/>
        <v>293.3333333333394</v>
      </c>
      <c r="S191" s="59">
        <f ca="1">AVERAGE(OFFSET($R$3,0,0,'Données projet'!$E$9+1,1))-AVERAGE(OFFSET($H$3,0,0,'Données projet'!$E$9+1,1))</f>
        <v>223.99456146593315</v>
      </c>
      <c r="T191" s="59">
        <f t="shared" si="142"/>
        <v>132.73290587325937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27.971203677813175</v>
      </c>
      <c r="AA191" s="21">
        <f>EXP(-LN(2)/25)*AA190+(1-EXP(-LN(2)/25))/(LN(2)/25)*Calculateur!V191*Calculateur!X191*VLOOKUP('Données projet'!$B$9,Paramètres!$A$1:$I$89,3,0)*0.475*44/12</f>
        <v>3.7196416273111796</v>
      </c>
      <c r="AB191" s="21">
        <f>EXP(-LN(2)/2)*AB190+(1-EXP(-LN(2)/2))/(LN(2)/2)*V191*Y191*VLOOKUP('Données projet'!$B$9,Paramètres!$A$1:$I$89,3,0)*0.475*44/12</f>
        <v>2.3600446452092055E-11</v>
      </c>
      <c r="AC191" s="22">
        <f t="shared" si="163"/>
        <v>31.690845305147956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8.5265128291212022E-14</v>
      </c>
      <c r="AJ191" s="13">
        <f>AI191*VLOOKUP('Données projet'!$B$10,Paramètres!$A$1:$I$89,3,0)*VLOOKUP('Données projet'!$B$10,Paramètres!$A$1:$I$89,5,0)</f>
        <v>5.5865712056402117E-14</v>
      </c>
      <c r="AK191" s="13">
        <f t="shared" si="164"/>
        <v>8.9811031843713517E-13</v>
      </c>
      <c r="AL191" s="20">
        <f t="shared" si="165"/>
        <v>1.6615082531095774E-12</v>
      </c>
      <c r="AM191" s="59">
        <f t="shared" si="113"/>
        <v>293.33333333333496</v>
      </c>
      <c r="AN191" s="59">
        <f ca="1">AVERAGE(OFFSET($AM$3,0,0,'Données projet'!$E$10+1,1))-AVERAGE(OFFSET($H$3,0,0,'Données projet'!$E$10+1,1))</f>
        <v>244.43587473734613</v>
      </c>
      <c r="AO191" s="59">
        <f t="shared" si="144"/>
        <v>256.80261402149375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2.6464293457501054</v>
      </c>
      <c r="AV191" s="21">
        <f>EXP(-LN(2)/25)*AV190+(1-EXP(-LN(2)/25))/(LN(2)/25)*Calculateur!AQ191*Calculateur!AS191*VLOOKUP('Données projet'!$B$10,Paramètres!$A$1:$I$89,3,0)*0.475*44/12</f>
        <v>3.3381395856068696</v>
      </c>
      <c r="AW191" s="21">
        <f>EXP(-LN(2)/2)*AW190+(1-EXP(-LN(2)/2))/(LN(2)/2)*AQ191*AT191*VLOOKUP('Données projet'!$B$10,Paramètres!$A$1:$I$89,3,0)*0.475*44/12</f>
        <v>5.5639558339391035E-14</v>
      </c>
      <c r="AX191" s="21">
        <f t="shared" si="166"/>
        <v>5.9845689313570309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-1.2710188457276673E-13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430.60186171079067</v>
      </c>
      <c r="BJ191" s="59">
        <f t="shared" si="146"/>
        <v>533.76627289533985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20.512893199665239</v>
      </c>
      <c r="BQ191" s="21">
        <f>EXP(-LN(2)/25)*BQ190+(1-EXP(-LN(2)/25))/(LN(2)/25)*Calculateur!BL191*Calculateur!BN191*VLOOKUP('Données projet'!$B$11,Paramètres!$A$1:$I$89,3,0)*0.475*44/12</f>
        <v>1.8525788925036502</v>
      </c>
      <c r="BR191" s="21">
        <f>EXP(-LN(2)/2)*BR190+(1-EXP(-LN(2)/2))/(LN(2)/2)*BL191*BO191*VLOOKUP('Données projet'!$B$11,Paramètres!$A$1:$I$89,3,0)*0.475*44/12</f>
        <v>3.0531594177412708E-18</v>
      </c>
      <c r="BS191" s="22">
        <f t="shared" si="169"/>
        <v>22.36547209216889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-1.69961822393816E-13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215.89467197072673</v>
      </c>
      <c r="CE191" s="59">
        <f t="shared" si="148"/>
        <v>188.21397398859534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13.451028676404738</v>
      </c>
      <c r="CL191" s="21">
        <f>EXP(-LN(2)/25)*CL190+(1-EXP(-LN(2)/25))/(LN(2)/25)*Calculateur!CG191*Calculateur!CI191*VLOOKUP('Données projet'!$B$12,Paramètres!$A$1:$I$89,3,0)*0.475*44/12</f>
        <v>1.4011165529623526</v>
      </c>
      <c r="CM191" s="21">
        <f>EXP(-LN(2)/2)*CM190+(1-EXP(-LN(2)/2))/(LN(2)/2)*CG191*CJ191*VLOOKUP('Données projet'!$B$12,Paramètres!$A$1:$I$89,3,0)*0.475*44/12</f>
        <v>1.5474830990319096E-15</v>
      </c>
      <c r="CN191" s="22">
        <f t="shared" si="172"/>
        <v>14.852145229367093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>
        <f>VLOOKUP(A191,'Données projet'!$A$139:$I$159,2,0)</f>
        <v>144.26282051282053</v>
      </c>
      <c r="CR191" s="12">
        <f>VLOOKUP(A191,'Données projet'!$A$139:$I$159,9,0)</f>
        <v>2.0801282057692347</v>
      </c>
      <c r="CS191" s="12">
        <f t="array" ref="CS191">INDEX(CR:CR,MIN(IF(ISNUMBER(CR191:CR387),ROW(CR191:CR387),"")))</f>
        <v>2.0801282057692347</v>
      </c>
      <c r="CT191" s="12">
        <f>IF('Données projet'!$A$140&gt;35,CT190+CS191-DB190,IF(A191&lt;'Données projet'!$A$140,$CQ$205^A191,IF(A191='Données projet'!$A$140,'Données projet'!$B$140,CT190+CS191-DB190)))</f>
        <v>144.26282051282084</v>
      </c>
      <c r="CU191" s="17">
        <f>CT191*VLOOKUP('Données projet'!$B$13,Paramètres!$A$1:$I$89,3,0)*VLOOKUP('Données projet'!$B$13,Paramètres!$A$1:$I$89,5,0)</f>
        <v>146.28250000000034</v>
      </c>
      <c r="CV191" s="13">
        <f t="shared" si="173"/>
        <v>37.732540465056239</v>
      </c>
      <c r="CW191" s="20">
        <f t="shared" si="174"/>
        <v>320.49286214330687</v>
      </c>
      <c r="CX191" s="59">
        <f t="shared" si="122"/>
        <v>613.82619547664012</v>
      </c>
      <c r="CY191" s="59">
        <f ca="1">AVERAGE(OFFSET($CX$3,0,0,'Données projet'!$E$13+1,1))-AVERAGE(OFFSET($H$3,0,0,'Données projet'!$E$13+1,1))</f>
        <v>342.82846711287749</v>
      </c>
      <c r="CZ191" s="59">
        <f t="shared" si="150"/>
        <v>152.87724741106297</v>
      </c>
      <c r="DA191" s="15">
        <f>IF(ISNA(VLOOKUP(A191,'Données projet'!$A$139:$I$159,3,0)),0,VLOOKUP(A191,'Données projet'!$A$139:$I$159,3,0))</f>
        <v>15</v>
      </c>
      <c r="DB191" s="15">
        <f>IF(ISNA(VLOOKUP(A191,'Données projet'!$A$139:$I$159,4,0)),0,VLOOKUP(A191,'Données projet'!$A$139:$I$159,4,0))</f>
        <v>49.307692307692307</v>
      </c>
      <c r="DC191" s="16">
        <f>IF(ISNA(VLOOKUP(A191,'Données projet'!$A$139:$I$159,5,0)),0%,VLOOKUP(A191,'Données projet'!$A$139:$I$159,5,0)*VLOOKUP('Données projet'!$B$13,Paramètres!$A$1:$I$89,7,0))</f>
        <v>0.38700000000000001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132.86602511177551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132.86602511177551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208.48147873805715</v>
      </c>
      <c r="DU191" s="59">
        <f t="shared" si="152"/>
        <v>209.50570914630686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6.8521019742652056</v>
      </c>
      <c r="EB191" s="21">
        <f>EXP(-LN(2)/25)*EB190+(1-EXP(-LN(2)/25))/(LN(2)/25)*Calculateur!DW191*Calculateur!DY191*VLOOKUP('Données projet'!$B$14,Paramètres!$A$1:$I$89,3,0)*0.475*44/12</f>
        <v>0.95646168193305303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7.8085636561982588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-1.7053025658242404E-13</v>
      </c>
      <c r="EK191" s="17">
        <f>EJ191*VLOOKUP('Données projet'!$B$15,Paramètres!$A$1:$I$89,3,0)*VLOOKUP('Données projet'!$B$15,Paramètres!$A$1:$I$89,5,0)</f>
        <v>-1.0197709343628959E-13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247.31680974612766</v>
      </c>
      <c r="EP191" s="59">
        <f t="shared" si="154"/>
        <v>257.13949761071882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10.282625660512231</v>
      </c>
      <c r="EW191" s="21">
        <f>EXP(-LN(2)/25)*EW190+(1-EXP(-LN(2)/25))/(LN(2)/25)*Calculateur!ER191*Calculateur!ET191*VLOOKUP('Données projet'!$B$15,Paramètres!$A$1:$I$89,3,0)*0.475*44/12</f>
        <v>1.0391846789301129</v>
      </c>
      <c r="EX191" s="21">
        <f>EXP(-LN(2)/2)*EX190+(1-EXP(-LN(2)/2))/(LN(2)/2)*ER191*EU191*VLOOKUP('Données projet'!$B$15,Paramètres!$A$1:$I$89,3,0)*0.475*44/12</f>
        <v>1.7327094885829854E-18</v>
      </c>
      <c r="EY191" s="22">
        <f t="shared" si="181"/>
        <v>11.321810339442344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33.611759999999997</v>
      </c>
      <c r="D192" s="11">
        <f t="shared" si="140"/>
        <v>10.288681820397557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67.776120705175174</v>
      </c>
      <c r="H192" s="67">
        <f t="shared" si="110"/>
        <v>333.12660283719242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5.1159076974727213E-13</v>
      </c>
      <c r="O192" s="13">
        <f>N192*VLOOKUP('Données projet'!$B$9,Paramètres!$A$1:$I$89,3,0)*VLOOKUP('Données projet'!$B$9,Paramètres!$A$1:$I$89,5,0)</f>
        <v>2.3942448024172334E-13</v>
      </c>
      <c r="P192" s="13">
        <f t="shared" si="141"/>
        <v>3.2492669905861755E-12</v>
      </c>
      <c r="Q192" s="20">
        <f t="shared" si="162"/>
        <v>6.0761376450252565E-12</v>
      </c>
      <c r="R192" s="59">
        <f t="shared" si="109"/>
        <v>293.3333333333394</v>
      </c>
      <c r="S192" s="59">
        <f ca="1">AVERAGE(OFFSET($R$3,0,0,'Données projet'!$E$9+1,1))-AVERAGE(OFFSET($H$3,0,0,'Données projet'!$E$9+1,1))</f>
        <v>223.99456146593315</v>
      </c>
      <c r="T192" s="59">
        <f t="shared" si="142"/>
        <v>132.73290587325937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27.422705434440893</v>
      </c>
      <c r="AA192" s="21">
        <f>EXP(-LN(2)/25)*AA191+(1-EXP(-LN(2)/25))/(LN(2)/25)*Calculateur!V192*Calculateur!X192*VLOOKUP('Données projet'!$B$9,Paramètres!$A$1:$I$89,3,0)*0.475*44/12</f>
        <v>3.6179278314049035</v>
      </c>
      <c r="AB192" s="21">
        <f>EXP(-LN(2)/2)*AB191+(1-EXP(-LN(2)/2))/(LN(2)/2)*V192*Y192*VLOOKUP('Données projet'!$B$9,Paramètres!$A$1:$I$89,3,0)*0.475*44/12</f>
        <v>1.6688035725304288E-11</v>
      </c>
      <c r="AC192" s="22">
        <f t="shared" si="163"/>
        <v>31.040633265862482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8.5265128291212022E-14</v>
      </c>
      <c r="AJ192" s="13">
        <f>AI192*VLOOKUP('Données projet'!$B$10,Paramètres!$A$1:$I$89,3,0)*VLOOKUP('Données projet'!$B$10,Paramètres!$A$1:$I$89,5,0)</f>
        <v>5.5865712056402117E-14</v>
      </c>
      <c r="AK192" s="13">
        <f t="shared" si="164"/>
        <v>8.9811031843713517E-13</v>
      </c>
      <c r="AL192" s="20">
        <f t="shared" si="165"/>
        <v>1.6615082531095774E-12</v>
      </c>
      <c r="AM192" s="59">
        <f t="shared" si="113"/>
        <v>293.33333333333496</v>
      </c>
      <c r="AN192" s="59">
        <f ca="1">AVERAGE(OFFSET($AM$3,0,0,'Données projet'!$E$10+1,1))-AVERAGE(OFFSET($H$3,0,0,'Données projet'!$E$10+1,1))</f>
        <v>244.43587473734613</v>
      </c>
      <c r="AO192" s="59">
        <f t="shared" si="144"/>
        <v>256.80261402149375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2.5945344804424613</v>
      </c>
      <c r="AV192" s="21">
        <f>EXP(-LN(2)/25)*AV191+(1-EXP(-LN(2)/25))/(LN(2)/25)*Calculateur!AQ192*Calculateur!AS192*VLOOKUP('Données projet'!$B$10,Paramètres!$A$1:$I$89,3,0)*0.475*44/12</f>
        <v>3.2468579830933182</v>
      </c>
      <c r="AW192" s="21">
        <f>EXP(-LN(2)/2)*AW191+(1-EXP(-LN(2)/2))/(LN(2)/2)*AQ192*AT192*VLOOKUP('Données projet'!$B$10,Paramètres!$A$1:$I$89,3,0)*0.475*44/12</f>
        <v>3.9343109004007926E-14</v>
      </c>
      <c r="AX192" s="21">
        <f t="shared" si="166"/>
        <v>5.8413924635358185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-1.2710188457276673E-13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430.60186171079067</v>
      </c>
      <c r="BJ192" s="59">
        <f t="shared" si="146"/>
        <v>533.76627289533985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20.110647875649235</v>
      </c>
      <c r="BQ192" s="21">
        <f>EXP(-LN(2)/25)*BQ191+(1-EXP(-LN(2)/25))/(LN(2)/25)*Calculateur!BL192*Calculateur!BN192*VLOOKUP('Données projet'!$B$11,Paramètres!$A$1:$I$89,3,0)*0.475*44/12</f>
        <v>1.8019200252652481</v>
      </c>
      <c r="BR192" s="21">
        <f>EXP(-LN(2)/2)*BR191+(1-EXP(-LN(2)/2))/(LN(2)/2)*BL192*BO192*VLOOKUP('Données projet'!$B$11,Paramètres!$A$1:$I$89,3,0)*0.475*44/12</f>
        <v>2.1589097283284236E-18</v>
      </c>
      <c r="BS192" s="22">
        <f t="shared" si="169"/>
        <v>21.912567900914482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-1.69961822393816E-13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215.89467197072673</v>
      </c>
      <c r="CE192" s="59">
        <f t="shared" si="148"/>
        <v>188.21397398859534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13.187262208377824</v>
      </c>
      <c r="CL192" s="21">
        <f>EXP(-LN(2)/25)*CL191+(1-EXP(-LN(2)/25))/(LN(2)/25)*Calculateur!CG192*Calculateur!CI192*VLOOKUP('Données projet'!$B$12,Paramètres!$A$1:$I$89,3,0)*0.475*44/12</f>
        <v>1.3628029471400798</v>
      </c>
      <c r="CM192" s="21">
        <f>EXP(-LN(2)/2)*CM191+(1-EXP(-LN(2)/2))/(LN(2)/2)*CG192*CJ192*VLOOKUP('Données projet'!$B$12,Paramètres!$A$1:$I$89,3,0)*0.475*44/12</f>
        <v>1.0942357930970369E-15</v>
      </c>
      <c r="CN192" s="22">
        <f t="shared" si="172"/>
        <v>14.550065155517906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1.3354700854700781</v>
      </c>
      <c r="CT192" s="12">
        <f>IF('Données projet'!$A$140&gt;35,CT191+CS192-DB191,IF(A192&lt;'Données projet'!$A$140,$CQ$205^A192,IF(A192='Données projet'!$A$140,'Données projet'!$B$140,CT191+CS192-DB191)))</f>
        <v>96.290598290598624</v>
      </c>
      <c r="CU192" s="17">
        <f>CT192*VLOOKUP('Données projet'!$B$13,Paramètres!$A$1:$I$89,3,0)*VLOOKUP('Données projet'!$B$13,Paramètres!$A$1:$I$89,5,0)</f>
        <v>97.638666666667007</v>
      </c>
      <c r="CV192" s="13">
        <f t="shared" si="173"/>
        <v>26.398662446677019</v>
      </c>
      <c r="CW192" s="20">
        <f t="shared" si="174"/>
        <v>216.03168153907419</v>
      </c>
      <c r="CX192" s="59">
        <f t="shared" si="122"/>
        <v>509.36501487240753</v>
      </c>
      <c r="CY192" s="59">
        <f ca="1">AVERAGE(OFFSET($CX$3,0,0,'Données projet'!$E$13+1,1))-AVERAGE(OFFSET($H$3,0,0,'Données projet'!$E$13+1,1))</f>
        <v>342.82846711287749</v>
      </c>
      <c r="CZ192" s="59">
        <f t="shared" si="150"/>
        <v>152.87724741106297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130.26060339960685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130.26060339960685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208.48147873805715</v>
      </c>
      <c r="DU192" s="59">
        <f t="shared" si="152"/>
        <v>209.50570914630686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6.7177364339193906</v>
      </c>
      <c r="EB192" s="21">
        <f>EXP(-LN(2)/25)*EB191+(1-EXP(-LN(2)/25))/(LN(2)/25)*Calculateur!DW192*Calculateur!DY192*VLOOKUP('Données projet'!$B$14,Paramètres!$A$1:$I$89,3,0)*0.475*44/12</f>
        <v>0.93030718694245984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7.6480436208618503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-1.7053025658242404E-13</v>
      </c>
      <c r="EK192" s="17">
        <f>EJ192*VLOOKUP('Données projet'!$B$15,Paramètres!$A$1:$I$89,3,0)*VLOOKUP('Données projet'!$B$15,Paramètres!$A$1:$I$89,5,0)</f>
        <v>-1.0197709343628959E-13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247.31680974612766</v>
      </c>
      <c r="EP192" s="59">
        <f t="shared" si="154"/>
        <v>257.13949761071882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10.080989643091952</v>
      </c>
      <c r="EW192" s="21">
        <f>EXP(-LN(2)/25)*EW191+(1-EXP(-LN(2)/25))/(LN(2)/25)*Calculateur!ER192*Calculateur!ET192*VLOOKUP('Données projet'!$B$15,Paramètres!$A$1:$I$89,3,0)*0.475*44/12</f>
        <v>1.0107681192364217</v>
      </c>
      <c r="EX192" s="21">
        <f>EXP(-LN(2)/2)*EX191+(1-EXP(-LN(2)/2))/(LN(2)/2)*ER192*EU192*VLOOKUP('Données projet'!$B$15,Paramètres!$A$1:$I$89,3,0)*0.475*44/12</f>
        <v>1.2252106292033038E-18</v>
      </c>
      <c r="EY192" s="22">
        <f t="shared" si="181"/>
        <v>11.091757762328374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33.7896</v>
      </c>
      <c r="D193" s="11">
        <f t="shared" si="140"/>
        <v>10.3367679858895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68.124918995759245</v>
      </c>
      <c r="H193" s="67">
        <f t="shared" si="110"/>
        <v>333.52009090875754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5.1159076974727213E-13</v>
      </c>
      <c r="O193" s="13">
        <f>N193*VLOOKUP('Données projet'!$B$9,Paramètres!$A$1:$I$89,3,0)*VLOOKUP('Données projet'!$B$9,Paramètres!$A$1:$I$89,5,0)</f>
        <v>2.3942448024172334E-13</v>
      </c>
      <c r="P193" s="13">
        <f t="shared" si="141"/>
        <v>3.2492669905861755E-12</v>
      </c>
      <c r="Q193" s="20">
        <f t="shared" si="162"/>
        <v>6.0761376450252565E-12</v>
      </c>
      <c r="R193" s="59">
        <f t="shared" si="109"/>
        <v>293.3333333333394</v>
      </c>
      <c r="S193" s="59">
        <f ca="1">AVERAGE(OFFSET($R$3,0,0,'Données projet'!$E$9+1,1))-AVERAGE(OFFSET($H$3,0,0,'Données projet'!$E$9+1,1))</f>
        <v>223.99456146593315</v>
      </c>
      <c r="T193" s="59">
        <f t="shared" si="142"/>
        <v>132.73290587325937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26.884962907070246</v>
      </c>
      <c r="AA193" s="21">
        <f>EXP(-LN(2)/25)*AA192+(1-EXP(-LN(2)/25))/(LN(2)/25)*Calculateur!V193*Calculateur!X193*VLOOKUP('Données projet'!$B$9,Paramètres!$A$1:$I$89,3,0)*0.475*44/12</f>
        <v>3.5189954045965806</v>
      </c>
      <c r="AB193" s="21">
        <f>EXP(-LN(2)/2)*AB192+(1-EXP(-LN(2)/2))/(LN(2)/2)*V193*Y193*VLOOKUP('Données projet'!$B$9,Paramètres!$A$1:$I$89,3,0)*0.475*44/12</f>
        <v>1.1800223226046027E-11</v>
      </c>
      <c r="AC193" s="22">
        <f t="shared" si="163"/>
        <v>30.403958311678625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8.5265128291212022E-14</v>
      </c>
      <c r="AJ193" s="13">
        <f>AI193*VLOOKUP('Données projet'!$B$10,Paramètres!$A$1:$I$89,3,0)*VLOOKUP('Données projet'!$B$10,Paramètres!$A$1:$I$89,5,0)</f>
        <v>5.5865712056402117E-14</v>
      </c>
      <c r="AK193" s="13">
        <f t="shared" si="164"/>
        <v>8.9811031843713517E-13</v>
      </c>
      <c r="AL193" s="20">
        <f t="shared" si="165"/>
        <v>1.6615082531095774E-12</v>
      </c>
      <c r="AM193" s="59">
        <f t="shared" si="113"/>
        <v>293.33333333333496</v>
      </c>
      <c r="AN193" s="59">
        <f ca="1">AVERAGE(OFFSET($AM$3,0,0,'Données projet'!$E$10+1,1))-AVERAGE(OFFSET($H$3,0,0,'Données projet'!$E$10+1,1))</f>
        <v>244.43587473734613</v>
      </c>
      <c r="AO193" s="59">
        <f t="shared" si="144"/>
        <v>256.80261402149375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2.5436572417907577</v>
      </c>
      <c r="AV193" s="21">
        <f>EXP(-LN(2)/25)*AV192+(1-EXP(-LN(2)/25))/(LN(2)/25)*Calculateur!AQ193*Calculateur!AS193*VLOOKUP('Données projet'!$B$10,Paramètres!$A$1:$I$89,3,0)*0.475*44/12</f>
        <v>3.1580724808007909</v>
      </c>
      <c r="AW193" s="21">
        <f>EXP(-LN(2)/2)*AW192+(1-EXP(-LN(2)/2))/(LN(2)/2)*AQ193*AT193*VLOOKUP('Données projet'!$B$10,Paramètres!$A$1:$I$89,3,0)*0.475*44/12</f>
        <v>2.7819779169695521E-14</v>
      </c>
      <c r="AX193" s="21">
        <f t="shared" si="166"/>
        <v>5.7017297225915762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-1.2710188457276673E-13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430.60186171079067</v>
      </c>
      <c r="BJ193" s="59">
        <f t="shared" si="146"/>
        <v>533.76627289533985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19.716290337091763</v>
      </c>
      <c r="BQ193" s="21">
        <f>EXP(-LN(2)/25)*BQ192+(1-EXP(-LN(2)/25))/(LN(2)/25)*Calculateur!BL193*Calculateur!BN193*VLOOKUP('Données projet'!$B$11,Paramètres!$A$1:$I$89,3,0)*0.475*44/12</f>
        <v>1.752646427415514</v>
      </c>
      <c r="BR193" s="21">
        <f>EXP(-LN(2)/2)*BR192+(1-EXP(-LN(2)/2))/(LN(2)/2)*BL193*BO193*VLOOKUP('Données projet'!$B$11,Paramètres!$A$1:$I$89,3,0)*0.475*44/12</f>
        <v>1.5265797088706354E-18</v>
      </c>
      <c r="BS193" s="22">
        <f t="shared" si="169"/>
        <v>21.468936764507276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-1.69961822393816E-13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215.89467197072673</v>
      </c>
      <c r="CE193" s="59">
        <f t="shared" si="148"/>
        <v>188.21397398859534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12.928668039907258</v>
      </c>
      <c r="CL193" s="21">
        <f>EXP(-LN(2)/25)*CL192+(1-EXP(-LN(2)/25))/(LN(2)/25)*Calculateur!CG193*Calculateur!CI193*VLOOKUP('Données projet'!$B$12,Paramètres!$A$1:$I$89,3,0)*0.475*44/12</f>
        <v>1.325537028883842</v>
      </c>
      <c r="CM193" s="21">
        <f>EXP(-LN(2)/2)*CM192+(1-EXP(-LN(2)/2))/(LN(2)/2)*CG193*CJ193*VLOOKUP('Données projet'!$B$12,Paramètres!$A$1:$I$89,3,0)*0.475*44/12</f>
        <v>7.7374154951595479E-16</v>
      </c>
      <c r="CN193" s="22">
        <f t="shared" si="172"/>
        <v>14.2542050687911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1.3354700854700781</v>
      </c>
      <c r="CT193" s="12">
        <f>IF('Données projet'!$A$140&gt;35,CT192+CS193-DB192,IF(A193&lt;'Données projet'!$A$140,$CQ$205^A193,IF(A193='Données projet'!$A$140,'Données projet'!$B$140,CT192+CS193-DB192)))</f>
        <v>97.626068376068702</v>
      </c>
      <c r="CU193" s="17">
        <f>CT193*VLOOKUP('Données projet'!$B$13,Paramètres!$A$1:$I$89,3,0)*VLOOKUP('Données projet'!$B$13,Paramètres!$A$1:$I$89,5,0)</f>
        <v>98.992833333333678</v>
      </c>
      <c r="CV193" s="13">
        <f t="shared" si="173"/>
        <v>26.72191280056828</v>
      </c>
      <c r="CW193" s="20">
        <f t="shared" si="174"/>
        <v>218.95318284987923</v>
      </c>
      <c r="CX193" s="59">
        <f t="shared" si="122"/>
        <v>512.2865161832126</v>
      </c>
      <c r="CY193" s="59">
        <f ca="1">AVERAGE(OFFSET($CX$3,0,0,'Données projet'!$E$13+1,1))-AVERAGE(OFFSET($H$3,0,0,'Données projet'!$E$13+1,1))</f>
        <v>342.82846711287749</v>
      </c>
      <c r="CZ193" s="59">
        <f t="shared" si="150"/>
        <v>152.87724741106297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127.70627241806349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127.70627241806349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208.48147873805715</v>
      </c>
      <c r="DU193" s="59">
        <f t="shared" si="152"/>
        <v>209.50570914630686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6.58600571986487</v>
      </c>
      <c r="EB193" s="21">
        <f>EXP(-LN(2)/25)*EB192+(1-EXP(-LN(2)/25))/(LN(2)/25)*Calculateur!DW193*Calculateur!DY193*VLOOKUP('Données projet'!$B$14,Paramètres!$A$1:$I$89,3,0)*0.475*44/12</f>
        <v>0.90486788799278961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7.4908736078576599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-1.7053025658242404E-13</v>
      </c>
      <c r="EK193" s="17">
        <f>EJ193*VLOOKUP('Données projet'!$B$15,Paramètres!$A$1:$I$89,3,0)*VLOOKUP('Données projet'!$B$15,Paramètres!$A$1:$I$89,5,0)</f>
        <v>-1.0197709343628959E-13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247.31680974612766</v>
      </c>
      <c r="EP193" s="59">
        <f t="shared" si="154"/>
        <v>257.13949761071882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9.8833075849874579</v>
      </c>
      <c r="EW193" s="21">
        <f>EXP(-LN(2)/25)*EW192+(1-EXP(-LN(2)/25))/(LN(2)/25)*Calculateur!ER193*Calculateur!ET193*VLOOKUP('Données projet'!$B$15,Paramètres!$A$1:$I$89,3,0)*0.475*44/12</f>
        <v>0.98312861186191658</v>
      </c>
      <c r="EX193" s="21">
        <f>EXP(-LN(2)/2)*EX192+(1-EXP(-LN(2)/2))/(LN(2)/2)*ER193*EU193*VLOOKUP('Données projet'!$B$15,Paramètres!$A$1:$I$89,3,0)*0.475*44/12</f>
        <v>8.6635474429149281E-19</v>
      </c>
      <c r="EY193" s="22">
        <f t="shared" si="181"/>
        <v>10.866436196849374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33.967440000000003</v>
      </c>
      <c r="D194" s="11">
        <f t="shared" si="140"/>
        <v>10.384824701156061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68.473671819328686</v>
      </c>
      <c r="H194" s="67">
        <f t="shared" si="110"/>
        <v>333.91352768784685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5.1159076974727213E-13</v>
      </c>
      <c r="O194" s="13">
        <f>N194*VLOOKUP('Données projet'!$B$9,Paramètres!$A$1:$I$89,3,0)*VLOOKUP('Données projet'!$B$9,Paramètres!$A$1:$I$89,5,0)</f>
        <v>2.3942448024172334E-13</v>
      </c>
      <c r="P194" s="13">
        <f t="shared" si="141"/>
        <v>3.2492669905861755E-12</v>
      </c>
      <c r="Q194" s="20">
        <f t="shared" si="162"/>
        <v>6.0761376450252565E-12</v>
      </c>
      <c r="R194" s="59">
        <f t="shared" si="109"/>
        <v>293.3333333333394</v>
      </c>
      <c r="S194" s="59">
        <f ca="1">AVERAGE(OFFSET($R$3,0,0,'Données projet'!$E$9+1,1))-AVERAGE(OFFSET($H$3,0,0,'Données projet'!$E$9+1,1))</f>
        <v>223.99456146593315</v>
      </c>
      <c r="T194" s="59">
        <f t="shared" si="142"/>
        <v>132.73290587325937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26.357765182670782</v>
      </c>
      <c r="AA194" s="21">
        <f>EXP(-LN(2)/25)*AA193+(1-EXP(-LN(2)/25))/(LN(2)/25)*Calculateur!V194*Calculateur!X194*VLOOKUP('Données projet'!$B$9,Paramètres!$A$1:$I$89,3,0)*0.475*44/12</f>
        <v>3.4227682902019616</v>
      </c>
      <c r="AB194" s="21">
        <f>EXP(-LN(2)/2)*AB193+(1-EXP(-LN(2)/2))/(LN(2)/2)*V194*Y194*VLOOKUP('Données projet'!$B$9,Paramètres!$A$1:$I$89,3,0)*0.475*44/12</f>
        <v>8.3440178626521441E-12</v>
      </c>
      <c r="AC194" s="22">
        <f t="shared" si="163"/>
        <v>29.780533472881089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8.5265128291212022E-14</v>
      </c>
      <c r="AJ194" s="13">
        <f>AI194*VLOOKUP('Données projet'!$B$10,Paramètres!$A$1:$I$89,3,0)*VLOOKUP('Données projet'!$B$10,Paramètres!$A$1:$I$89,5,0)</f>
        <v>5.5865712056402117E-14</v>
      </c>
      <c r="AK194" s="13">
        <f t="shared" si="164"/>
        <v>8.9811031843713517E-13</v>
      </c>
      <c r="AL194" s="20">
        <f t="shared" si="165"/>
        <v>1.6615082531095774E-12</v>
      </c>
      <c r="AM194" s="59">
        <f t="shared" si="113"/>
        <v>293.33333333333496</v>
      </c>
      <c r="AN194" s="59">
        <f ca="1">AVERAGE(OFFSET($AM$3,0,0,'Données projet'!$E$10+1,1))-AVERAGE(OFFSET($H$3,0,0,'Données projet'!$E$10+1,1))</f>
        <v>244.43587473734613</v>
      </c>
      <c r="AO194" s="59">
        <f t="shared" si="144"/>
        <v>256.80261402149375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2.4937776747569629</v>
      </c>
      <c r="AV194" s="21">
        <f>EXP(-LN(2)/25)*AV193+(1-EXP(-LN(2)/25))/(LN(2)/25)*Calculateur!AQ194*Calculateur!AS194*VLOOKUP('Données projet'!$B$10,Paramètres!$A$1:$I$89,3,0)*0.475*44/12</f>
        <v>3.0717148227374795</v>
      </c>
      <c r="AW194" s="21">
        <f>EXP(-LN(2)/2)*AW193+(1-EXP(-LN(2)/2))/(LN(2)/2)*AQ194*AT194*VLOOKUP('Données projet'!$B$10,Paramètres!$A$1:$I$89,3,0)*0.475*44/12</f>
        <v>1.9671554502003963E-14</v>
      </c>
      <c r="AX194" s="21">
        <f t="shared" si="166"/>
        <v>5.5654924974944624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-1.2710188457276673E-13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430.60186171079067</v>
      </c>
      <c r="BJ194" s="59">
        <f t="shared" si="146"/>
        <v>533.76627289533985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19.329665909331055</v>
      </c>
      <c r="BQ194" s="21">
        <f>EXP(-LN(2)/25)*BQ193+(1-EXP(-LN(2)/25))/(LN(2)/25)*Calculateur!BL194*Calculateur!BN194*VLOOKUP('Données projet'!$B$11,Paramètres!$A$1:$I$89,3,0)*0.475*44/12</f>
        <v>1.7047202186901669</v>
      </c>
      <c r="BR194" s="21">
        <f>EXP(-LN(2)/2)*BR193+(1-EXP(-LN(2)/2))/(LN(2)/2)*BL194*BO194*VLOOKUP('Données projet'!$B$11,Paramètres!$A$1:$I$89,3,0)*0.475*44/12</f>
        <v>1.0794548641642118E-18</v>
      </c>
      <c r="BS194" s="22">
        <f t="shared" si="169"/>
        <v>21.034386128021222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-1.69961822393816E-13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215.89467197072673</v>
      </c>
      <c r="CE194" s="59">
        <f t="shared" si="148"/>
        <v>188.21397398859534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12.675144745353531</v>
      </c>
      <c r="CL194" s="21">
        <f>EXP(-LN(2)/25)*CL193+(1-EXP(-LN(2)/25))/(LN(2)/25)*Calculateur!CG194*Calculateur!CI194*VLOOKUP('Données projet'!$B$12,Paramètres!$A$1:$I$89,3,0)*0.475*44/12</f>
        <v>1.2892901491220505</v>
      </c>
      <c r="CM194" s="21">
        <f>EXP(-LN(2)/2)*CM193+(1-EXP(-LN(2)/2))/(LN(2)/2)*CG194*CJ194*VLOOKUP('Données projet'!$B$12,Paramètres!$A$1:$I$89,3,0)*0.475*44/12</f>
        <v>5.4711789654851846E-16</v>
      </c>
      <c r="CN194" s="22">
        <f t="shared" si="172"/>
        <v>13.964434894475582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>
        <f>VLOOKUP(A194,'Données projet'!$A$139:$I$159,2,0)</f>
        <v>98.961538461538453</v>
      </c>
      <c r="CR194" s="12">
        <f>VLOOKUP(A194,'Données projet'!$A$139:$I$159,9,0)</f>
        <v>1.3354700854700781</v>
      </c>
      <c r="CS194" s="12">
        <f t="array" ref="CS194">INDEX(CR:CR,MIN(IF(ISNUMBER(CR194:CR390),ROW(CR194:CR390),"")))</f>
        <v>1.3354700854700781</v>
      </c>
      <c r="CT194" s="12">
        <f>IF('Données projet'!$A$140&gt;35,CT193+CS194-DB193,IF(A194&lt;'Données projet'!$A$140,$CQ$205^A194,IF(A194='Données projet'!$A$140,'Données projet'!$B$140,CT193+CS194-DB193)))</f>
        <v>98.96153846153878</v>
      </c>
      <c r="CU194" s="17">
        <f>CT194*VLOOKUP('Données projet'!$B$13,Paramètres!$A$1:$I$89,3,0)*VLOOKUP('Données projet'!$B$13,Paramètres!$A$1:$I$89,5,0)</f>
        <v>100.34700000000034</v>
      </c>
      <c r="CV194" s="13">
        <f t="shared" si="173"/>
        <v>27.044648839730836</v>
      </c>
      <c r="CW194" s="20">
        <f t="shared" si="174"/>
        <v>221.87378839586509</v>
      </c>
      <c r="CX194" s="59">
        <f t="shared" si="122"/>
        <v>515.20712172919843</v>
      </c>
      <c r="CY194" s="59">
        <f ca="1">AVERAGE(OFFSET($CX$3,0,0,'Données projet'!$E$13+1,1))-AVERAGE(OFFSET($H$3,0,0,'Données projet'!$E$13+1,1))</f>
        <v>342.82846711287749</v>
      </c>
      <c r="CZ194" s="59">
        <f t="shared" si="150"/>
        <v>152.87724741106297</v>
      </c>
      <c r="DA194" s="15">
        <f>IF(ISNA(VLOOKUP(A194,'Données projet'!$A$139:$I$159,3,0)),0,VLOOKUP(A194,'Données projet'!$A$139:$I$159,3,0))</f>
        <v>16</v>
      </c>
      <c r="DB194" s="15">
        <f>IF(ISNA(VLOOKUP(A194,'Données projet'!$A$139:$I$159,4,0)),0,VLOOKUP(A194,'Données projet'!$A$139:$I$159,4,0))</f>
        <v>98.961538461538453</v>
      </c>
      <c r="DC194" s="16">
        <f>IF(ISNA(VLOOKUP(A194,'Données projet'!$A$139:$I$159,5,0)),0%,VLOOKUP(A194,'Données projet'!$A$139:$I$159,5,0)*VLOOKUP('Données projet'!$B$13,Paramètres!$A$1:$I$89,7,0))</f>
        <v>0.38700000000000001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168.13218650880242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168.13218650880242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208.48147873805715</v>
      </c>
      <c r="DU194" s="59">
        <f t="shared" si="152"/>
        <v>209.50570914630686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6.4568581647651566</v>
      </c>
      <c r="EB194" s="21">
        <f>EXP(-LN(2)/25)*EB193+(1-EXP(-LN(2)/25))/(LN(2)/25)*Calculateur!DW194*Calculateur!DY194*VLOOKUP('Données projet'!$B$14,Paramètres!$A$1:$I$89,3,0)*0.475*44/12</f>
        <v>0.88012422801069268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7.3369823927758491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-1.7053025658242404E-13</v>
      </c>
      <c r="EK194" s="17">
        <f>EJ194*VLOOKUP('Données projet'!$B$15,Paramètres!$A$1:$I$89,3,0)*VLOOKUP('Données projet'!$B$15,Paramètres!$A$1:$I$89,5,0)</f>
        <v>-1.0197709343628959E-13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247.31680974612766</v>
      </c>
      <c r="EP194" s="59">
        <f t="shared" si="154"/>
        <v>257.13949761071882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9.6895019514682428</v>
      </c>
      <c r="EW194" s="21">
        <f>EXP(-LN(2)/25)*EW193+(1-EXP(-LN(2)/25))/(LN(2)/25)*Calculateur!ER194*Calculateur!ET194*VLOOKUP('Données projet'!$B$15,Paramètres!$A$1:$I$89,3,0)*0.475*44/12</f>
        <v>0.9562449082700657</v>
      </c>
      <c r="EX194" s="21">
        <f>EXP(-LN(2)/2)*EX193+(1-EXP(-LN(2)/2))/(LN(2)/2)*ER194*EU194*VLOOKUP('Données projet'!$B$15,Paramètres!$A$1:$I$89,3,0)*0.475*44/12</f>
        <v>6.1260531460165201E-19</v>
      </c>
      <c r="EY194" s="22">
        <f t="shared" si="181"/>
        <v>10.645746859738308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34.145280000000007</v>
      </c>
      <c r="D195" s="11">
        <f t="shared" si="140"/>
        <v>10.43285213828371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68.822379441560841</v>
      </c>
      <c r="H195" s="67">
        <f t="shared" si="110"/>
        <v>334.30691347417752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5.1159076974727213E-13</v>
      </c>
      <c r="O195" s="13">
        <f>N195*VLOOKUP('Données projet'!$B$9,Paramètres!$A$1:$I$89,3,0)*VLOOKUP('Données projet'!$B$9,Paramètres!$A$1:$I$89,5,0)</f>
        <v>2.3942448024172334E-13</v>
      </c>
      <c r="P195" s="13">
        <f t="shared" si="141"/>
        <v>3.2492669905861755E-12</v>
      </c>
      <c r="Q195" s="20">
        <f t="shared" si="162"/>
        <v>6.0761376450252565E-12</v>
      </c>
      <c r="R195" s="59">
        <f t="shared" ref="R195:R203" si="191">Q195+(I195+J195)*44/12</f>
        <v>293.3333333333394</v>
      </c>
      <c r="S195" s="59">
        <f ca="1">AVERAGE(OFFSET($R$3,0,0,'Données projet'!$E$9+1,1))-AVERAGE(OFFSET($H$3,0,0,'Données projet'!$E$9+1,1))</f>
        <v>223.99456146593315</v>
      </c>
      <c r="T195" s="59">
        <f t="shared" si="142"/>
        <v>132.73290587325937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25.840905484087934</v>
      </c>
      <c r="AA195" s="21">
        <f>EXP(-LN(2)/25)*AA194+(1-EXP(-LN(2)/25))/(LN(2)/25)*Calculateur!V195*Calculateur!X195*VLOOKUP('Données projet'!$B$9,Paramètres!$A$1:$I$89,3,0)*0.475*44/12</f>
        <v>3.3291725113108273</v>
      </c>
      <c r="AB195" s="21">
        <f>EXP(-LN(2)/2)*AB194+(1-EXP(-LN(2)/2))/(LN(2)/2)*V195*Y195*VLOOKUP('Données projet'!$B$9,Paramètres!$A$1:$I$89,3,0)*0.475*44/12</f>
        <v>5.9001116130230137E-12</v>
      </c>
      <c r="AC195" s="22">
        <f t="shared" si="163"/>
        <v>29.170077995404661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8.5265128291212022E-14</v>
      </c>
      <c r="AJ195" s="13">
        <f>AI195*VLOOKUP('Données projet'!$B$10,Paramètres!$A$1:$I$89,3,0)*VLOOKUP('Données projet'!$B$10,Paramètres!$A$1:$I$89,5,0)</f>
        <v>5.5865712056402117E-14</v>
      </c>
      <c r="AK195" s="13">
        <f t="shared" si="164"/>
        <v>8.9811031843713517E-13</v>
      </c>
      <c r="AL195" s="20">
        <f t="shared" si="165"/>
        <v>1.6615082531095774E-12</v>
      </c>
      <c r="AM195" s="59">
        <f t="shared" si="113"/>
        <v>293.33333333333496</v>
      </c>
      <c r="AN195" s="59">
        <f ca="1">AVERAGE(OFFSET($AM$3,0,0,'Données projet'!$E$10+1,1))-AVERAGE(OFFSET($H$3,0,0,'Données projet'!$E$10+1,1))</f>
        <v>244.43587473734613</v>
      </c>
      <c r="AO195" s="59">
        <f t="shared" si="144"/>
        <v>256.80261402149375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2.444876215609169</v>
      </c>
      <c r="AV195" s="21">
        <f>EXP(-LN(2)/25)*AV194+(1-EXP(-LN(2)/25))/(LN(2)/25)*Calculateur!AQ195*Calculateur!AS195*VLOOKUP('Données projet'!$B$10,Paramètres!$A$1:$I$89,3,0)*0.475*44/12</f>
        <v>2.987718619375261</v>
      </c>
      <c r="AW195" s="21">
        <f>EXP(-LN(2)/2)*AW194+(1-EXP(-LN(2)/2))/(LN(2)/2)*AQ195*AT195*VLOOKUP('Données projet'!$B$10,Paramètres!$A$1:$I$89,3,0)*0.475*44/12</f>
        <v>1.390988958484776E-14</v>
      </c>
      <c r="AX195" s="21">
        <f t="shared" si="166"/>
        <v>5.4325948349844442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-1.2710188457276673E-13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430.60186171079067</v>
      </c>
      <c r="BJ195" s="59">
        <f t="shared" si="146"/>
        <v>533.76627289533985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18.950622950781121</v>
      </c>
      <c r="BQ195" s="21">
        <f>EXP(-LN(2)/25)*BQ194+(1-EXP(-LN(2)/25))/(LN(2)/25)*Calculateur!BL195*Calculateur!BN195*VLOOKUP('Données projet'!$B$11,Paramètres!$A$1:$I$89,3,0)*0.475*44/12</f>
        <v>1.6581045546627442</v>
      </c>
      <c r="BR195" s="21">
        <f>EXP(-LN(2)/2)*BR194+(1-EXP(-LN(2)/2))/(LN(2)/2)*BL195*BO195*VLOOKUP('Données projet'!$B$11,Paramètres!$A$1:$I$89,3,0)*0.475*44/12</f>
        <v>7.6328985443531771E-19</v>
      </c>
      <c r="BS195" s="22">
        <f t="shared" si="169"/>
        <v>20.608727505443866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-1.69961822393816E-13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215.89467197072673</v>
      </c>
      <c r="CE195" s="59">
        <f t="shared" si="148"/>
        <v>188.21397398859534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12.426592887972063</v>
      </c>
      <c r="CL195" s="21">
        <f>EXP(-LN(2)/25)*CL194+(1-EXP(-LN(2)/25))/(LN(2)/25)*Calculateur!CG195*Calculateur!CI195*VLOOKUP('Données projet'!$B$12,Paramètres!$A$1:$I$89,3,0)*0.475*44/12</f>
        <v>1.2540344421934859</v>
      </c>
      <c r="CM195" s="21">
        <f>EXP(-LN(2)/2)*CM194+(1-EXP(-LN(2)/2))/(LN(2)/2)*CG195*CJ195*VLOOKUP('Données projet'!$B$12,Paramètres!$A$1:$I$89,3,0)*0.475*44/12</f>
        <v>3.868707747579774E-16</v>
      </c>
      <c r="CN195" s="22">
        <f t="shared" si="172"/>
        <v>13.680627330165549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3.2684965844964609E-13</v>
      </c>
      <c r="CU195" s="17">
        <f>CT195*VLOOKUP('Données projet'!$B$13,Paramètres!$A$1:$I$89,3,0)*VLOOKUP('Données projet'!$B$13,Paramètres!$A$1:$I$89,5,0)</f>
        <v>3.3142555366794117E-13</v>
      </c>
      <c r="CV195" s="13">
        <f t="shared" si="173"/>
        <v>4.3307700634872047E-12</v>
      </c>
      <c r="CW195" s="20">
        <f t="shared" si="174"/>
        <v>8.1199906998785446E-12</v>
      </c>
      <c r="CX195" s="59">
        <f t="shared" si="122"/>
        <v>293.33333333334144</v>
      </c>
      <c r="CY195" s="59">
        <f ca="1">AVERAGE(OFFSET($CX$3,0,0,'Données projet'!$E$13+1,1))-AVERAGE(OFFSET($H$3,0,0,'Données projet'!$E$13+1,1))</f>
        <v>342.82846711287749</v>
      </c>
      <c r="CZ195" s="59">
        <f t="shared" si="150"/>
        <v>152.87724741106297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164.83521688187255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164.83521688187255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208.48147873805715</v>
      </c>
      <c r="DU195" s="59">
        <f t="shared" si="152"/>
        <v>209.50570914630686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6.3302431144487183</v>
      </c>
      <c r="EB195" s="21">
        <f>EXP(-LN(2)/25)*EB194+(1-EXP(-LN(2)/25))/(LN(2)/25)*Calculateur!DW195*Calculateur!DY195*VLOOKUP('Données projet'!$B$14,Paramètres!$A$1:$I$89,3,0)*0.475*44/12</f>
        <v>0.85605718471201864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7.1863002991607372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-1.7053025658242404E-13</v>
      </c>
      <c r="EK195" s="17">
        <f>EJ195*VLOOKUP('Données projet'!$B$15,Paramètres!$A$1:$I$89,3,0)*VLOOKUP('Données projet'!$B$15,Paramètres!$A$1:$I$89,5,0)</f>
        <v>-1.0197709343628959E-13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247.31680974612766</v>
      </c>
      <c r="EP195" s="59">
        <f t="shared" si="154"/>
        <v>257.13949761071882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9.4994967282125753</v>
      </c>
      <c r="EW195" s="21">
        <f>EXP(-LN(2)/25)*EW194+(1-EXP(-LN(2)/25))/(LN(2)/25)*Calculateur!ER195*Calculateur!ET195*VLOOKUP('Données projet'!$B$15,Paramètres!$A$1:$I$89,3,0)*0.475*44/12</f>
        <v>0.93009634096668659</v>
      </c>
      <c r="EX195" s="21">
        <f>EXP(-LN(2)/2)*EX194+(1-EXP(-LN(2)/2))/(LN(2)/2)*ER195*EU195*VLOOKUP('Données projet'!$B$15,Paramètres!$A$1:$I$89,3,0)*0.475*44/12</f>
        <v>4.331773721457465E-19</v>
      </c>
      <c r="EY195" s="22">
        <f t="shared" si="181"/>
        <v>10.429593069179262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34.32312000000001</v>
      </c>
      <c r="D196" s="11">
        <f t="shared" si="140"/>
        <v>10.480850467462579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69.171042125205403</v>
      </c>
      <c r="H196" s="67">
        <f t="shared" ref="H196:H203" si="192">(B196+E196+F196)*44/12+(C196+D196)*0.475*44/12</f>
        <v>334.70024856416404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5.1159076974727213E-13</v>
      </c>
      <c r="O196" s="13">
        <f>N196*VLOOKUP('Données projet'!$B$9,Paramètres!$A$1:$I$89,3,0)*VLOOKUP('Données projet'!$B$9,Paramètres!$A$1:$I$89,5,0)</f>
        <v>2.3942448024172334E-13</v>
      </c>
      <c r="P196" s="13">
        <f t="shared" si="141"/>
        <v>3.2492669905861755E-12</v>
      </c>
      <c r="Q196" s="20">
        <f t="shared" si="162"/>
        <v>6.0761376450252565E-12</v>
      </c>
      <c r="R196" s="59">
        <f t="shared" si="191"/>
        <v>293.3333333333394</v>
      </c>
      <c r="S196" s="59">
        <f ca="1">AVERAGE(OFFSET($R$3,0,0,'Données projet'!$E$9+1,1))-AVERAGE(OFFSET($H$3,0,0,'Données projet'!$E$9+1,1))</f>
        <v>223.99456146593315</v>
      </c>
      <c r="T196" s="59">
        <f t="shared" si="142"/>
        <v>132.73290587325937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25.334181088941005</v>
      </c>
      <c r="AA196" s="21">
        <f>EXP(-LN(2)/25)*AA195+(1-EXP(-LN(2)/25))/(LN(2)/25)*Calculateur!V196*Calculateur!X196*VLOOKUP('Données projet'!$B$9,Paramètres!$A$1:$I$89,3,0)*0.475*44/12</f>
        <v>3.2381361139154592</v>
      </c>
      <c r="AB196" s="21">
        <f>EXP(-LN(2)/2)*AB195+(1-EXP(-LN(2)/2))/(LN(2)/2)*V196*Y196*VLOOKUP('Données projet'!$B$9,Paramètres!$A$1:$I$89,3,0)*0.475*44/12</f>
        <v>4.172008931326072E-12</v>
      </c>
      <c r="AC196" s="22">
        <f t="shared" si="163"/>
        <v>28.572317202860635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8.5265128291212022E-14</v>
      </c>
      <c r="AJ196" s="13">
        <f>AI196*VLOOKUP('Données projet'!$B$10,Paramètres!$A$1:$I$89,3,0)*VLOOKUP('Données projet'!$B$10,Paramètres!$A$1:$I$89,5,0)</f>
        <v>5.5865712056402117E-14</v>
      </c>
      <c r="AK196" s="13">
        <f t="shared" si="164"/>
        <v>8.9811031843713517E-13</v>
      </c>
      <c r="AL196" s="20">
        <f t="shared" si="165"/>
        <v>1.6615082531095774E-12</v>
      </c>
      <c r="AM196" s="59">
        <f t="shared" ref="AM196:AM203" si="193">AL196+(AD196+AE196)*44/12</f>
        <v>293.33333333333496</v>
      </c>
      <c r="AN196" s="59">
        <f ca="1">AVERAGE(OFFSET($AM$3,0,0,'Données projet'!$E$10+1,1))-AVERAGE(OFFSET($H$3,0,0,'Données projet'!$E$10+1,1))</f>
        <v>244.43587473734613</v>
      </c>
      <c r="AO196" s="59">
        <f t="shared" si="144"/>
        <v>256.80261402149375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2.3969336842483182</v>
      </c>
      <c r="AV196" s="21">
        <f>EXP(-LN(2)/25)*AV195+(1-EXP(-LN(2)/25))/(LN(2)/25)*Calculateur!AQ196*Calculateur!AS196*VLOOKUP('Données projet'!$B$10,Paramètres!$A$1:$I$89,3,0)*0.475*44/12</f>
        <v>2.9060192966111509</v>
      </c>
      <c r="AW196" s="21">
        <f>EXP(-LN(2)/2)*AW195+(1-EXP(-LN(2)/2))/(LN(2)/2)*AQ196*AT196*VLOOKUP('Données projet'!$B$10,Paramètres!$A$1:$I$89,3,0)*0.475*44/12</f>
        <v>9.8357772510019815E-15</v>
      </c>
      <c r="AX196" s="21">
        <f t="shared" si="166"/>
        <v>5.3029529808594793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-1.2710188457276673E-13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430.60186171079067</v>
      </c>
      <c r="BJ196" s="59">
        <f t="shared" si="146"/>
        <v>533.76627289533985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18.579012793454972</v>
      </c>
      <c r="BQ196" s="21">
        <f>EXP(-LN(2)/25)*BQ195+(1-EXP(-LN(2)/25))/(LN(2)/25)*Calculateur!BL196*Calculateur!BN196*VLOOKUP('Données projet'!$B$11,Paramètres!$A$1:$I$89,3,0)*0.475*44/12</f>
        <v>1.6127635984195625</v>
      </c>
      <c r="BR196" s="21">
        <f>EXP(-LN(2)/2)*BR195+(1-EXP(-LN(2)/2))/(LN(2)/2)*BL196*BO196*VLOOKUP('Données projet'!$B$11,Paramètres!$A$1:$I$89,3,0)*0.475*44/12</f>
        <v>5.397274320821059E-19</v>
      </c>
      <c r="BS196" s="22">
        <f t="shared" si="169"/>
        <v>20.191776391874534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-1.69961822393816E-13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215.89467197072673</v>
      </c>
      <c r="CE196" s="59">
        <f t="shared" si="148"/>
        <v>188.21397398859534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12.182914980912182</v>
      </c>
      <c r="CL196" s="21">
        <f>EXP(-LN(2)/25)*CL195+(1-EXP(-LN(2)/25))/(LN(2)/25)*Calculateur!CG196*Calculateur!CI196*VLOOKUP('Données projet'!$B$12,Paramètres!$A$1:$I$89,3,0)*0.475*44/12</f>
        <v>1.2197428044248999</v>
      </c>
      <c r="CM196" s="21">
        <f>EXP(-LN(2)/2)*CM195+(1-EXP(-LN(2)/2))/(LN(2)/2)*CG196*CJ196*VLOOKUP('Données projet'!$B$12,Paramètres!$A$1:$I$89,3,0)*0.475*44/12</f>
        <v>2.7355894827425923E-16</v>
      </c>
      <c r="CN196" s="22">
        <f t="shared" si="172"/>
        <v>13.402657785337082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3.2684965844964609E-13</v>
      </c>
      <c r="CU196" s="17">
        <f>CT196*VLOOKUP('Données projet'!$B$13,Paramètres!$A$1:$I$89,3,0)*VLOOKUP('Données projet'!$B$13,Paramètres!$A$1:$I$89,5,0)</f>
        <v>3.3142555366794117E-13</v>
      </c>
      <c r="CV196" s="13">
        <f t="shared" si="173"/>
        <v>4.3307700634872047E-12</v>
      </c>
      <c r="CW196" s="20">
        <f t="shared" si="174"/>
        <v>8.1199906998785446E-12</v>
      </c>
      <c r="CX196" s="59">
        <f t="shared" ref="CX196:CX203" si="196">CW196+(CO196+CP196)*44/12</f>
        <v>293.33333333334144</v>
      </c>
      <c r="CY196" s="59">
        <f ca="1">AVERAGE(OFFSET($CX$3,0,0,'Données projet'!$E$13+1,1))-AVERAGE(OFFSET($H$3,0,0,'Données projet'!$E$13+1,1))</f>
        <v>342.82846711287749</v>
      </c>
      <c r="CZ196" s="59">
        <f t="shared" si="150"/>
        <v>152.87724741106297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161.60289881837389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161.60289881837389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208.48147873805715</v>
      </c>
      <c r="DU196" s="59">
        <f t="shared" si="152"/>
        <v>209.50570914630686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6.2061109080414303</v>
      </c>
      <c r="EB196" s="21">
        <f>EXP(-LN(2)/25)*EB195+(1-EXP(-LN(2)/25))/(LN(2)/25)*Calculateur!DW196*Calculateur!DY196*VLOOKUP('Données projet'!$B$14,Paramètres!$A$1:$I$89,3,0)*0.475*44/12</f>
        <v>0.83264825597797765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7.0387591640194076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-1.7053025658242404E-13</v>
      </c>
      <c r="EK196" s="17">
        <f>EJ196*VLOOKUP('Données projet'!$B$15,Paramètres!$A$1:$I$89,3,0)*VLOOKUP('Données projet'!$B$15,Paramètres!$A$1:$I$89,5,0)</f>
        <v>-1.0197709343628959E-13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247.31680974612766</v>
      </c>
      <c r="EP196" s="59">
        <f t="shared" si="154"/>
        <v>257.13949761071882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9.3132173914932093</v>
      </c>
      <c r="EW196" s="21">
        <f>EXP(-LN(2)/25)*EW195+(1-EXP(-LN(2)/25))/(LN(2)/25)*Calculateur!ER196*Calculateur!ET196*VLOOKUP('Données projet'!$B$15,Paramètres!$A$1:$I$89,3,0)*0.475*44/12</f>
        <v>0.90466280761131168</v>
      </c>
      <c r="EX196" s="21">
        <f>EXP(-LN(2)/2)*EX195+(1-EXP(-LN(2)/2))/(LN(2)/2)*ER196*EU196*VLOOKUP('Données projet'!$B$15,Paramètres!$A$1:$I$89,3,0)*0.475*44/12</f>
        <v>3.0630265730082605E-19</v>
      </c>
      <c r="EY196" s="22">
        <f t="shared" si="181"/>
        <v>10.21788019910452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34.500960000000013</v>
      </c>
      <c r="D197" s="11">
        <f t="shared" ref="D197:D203" si="202">IFERROR(EXP(-1.0587+0.8836*LN(C197)+0.284),0)</f>
        <v>10.528819857017067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69.519660130131641</v>
      </c>
      <c r="H197" s="67">
        <f t="shared" si="192"/>
        <v>335.0935332509714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5.1159076974727213E-13</v>
      </c>
      <c r="O197" s="13">
        <f>N197*VLOOKUP('Données projet'!$B$9,Paramètres!$A$1:$I$89,3,0)*VLOOKUP('Données projet'!$B$9,Paramètres!$A$1:$I$89,5,0)</f>
        <v>2.3942448024172334E-13</v>
      </c>
      <c r="P197" s="13">
        <f t="shared" ref="P197:P203" si="203">EXP(-1.0587+0.8836*LN(O197)+0.284)</f>
        <v>3.2492669905861755E-12</v>
      </c>
      <c r="Q197" s="20">
        <f t="shared" si="162"/>
        <v>6.0761376450252565E-12</v>
      </c>
      <c r="R197" s="59">
        <f t="shared" si="191"/>
        <v>293.3333333333394</v>
      </c>
      <c r="S197" s="59">
        <f ca="1">AVERAGE(OFFSET($R$3,0,0,'Données projet'!$E$9+1,1))-AVERAGE(OFFSET($H$3,0,0,'Données projet'!$E$9+1,1))</f>
        <v>223.99456146593315</v>
      </c>
      <c r="T197" s="59">
        <f t="shared" ref="T197:T203" si="204">$T$3</f>
        <v>132.73290587325937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24.837393250111546</v>
      </c>
      <c r="AA197" s="21">
        <f>EXP(-LN(2)/25)*AA196+(1-EXP(-LN(2)/25))/(LN(2)/25)*Calculateur!V197*Calculateur!X197*VLOOKUP('Données projet'!$B$9,Paramètres!$A$1:$I$89,3,0)*0.475*44/12</f>
        <v>3.1495891115942638</v>
      </c>
      <c r="AB197" s="21">
        <f>EXP(-LN(2)/2)*AB196+(1-EXP(-LN(2)/2))/(LN(2)/2)*V197*Y197*VLOOKUP('Données projet'!$B$9,Paramètres!$A$1:$I$89,3,0)*0.475*44/12</f>
        <v>2.9500558065115069E-12</v>
      </c>
      <c r="AC197" s="22">
        <f t="shared" si="163"/>
        <v>27.986982361708758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8.5265128291212022E-14</v>
      </c>
      <c r="AJ197" s="13">
        <f>AI197*VLOOKUP('Données projet'!$B$10,Paramètres!$A$1:$I$89,3,0)*VLOOKUP('Données projet'!$B$10,Paramètres!$A$1:$I$89,5,0)</f>
        <v>5.5865712056402117E-14</v>
      </c>
      <c r="AK197" s="13">
        <f t="shared" si="164"/>
        <v>8.9811031843713517E-13</v>
      </c>
      <c r="AL197" s="20">
        <f t="shared" si="165"/>
        <v>1.6615082531095774E-12</v>
      </c>
      <c r="AM197" s="59">
        <f t="shared" si="193"/>
        <v>293.33333333333496</v>
      </c>
      <c r="AN197" s="59">
        <f ca="1">AVERAGE(OFFSET($AM$3,0,0,'Données projet'!$E$10+1,1))-AVERAGE(OFFSET($H$3,0,0,'Données projet'!$E$10+1,1))</f>
        <v>244.43587473734613</v>
      </c>
      <c r="AO197" s="59">
        <f t="shared" ref="AO197:AO203" si="205">$AO$3</f>
        <v>256.80261402149375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2.349931276685397</v>
      </c>
      <c r="AV197" s="21">
        <f>EXP(-LN(2)/25)*AV196+(1-EXP(-LN(2)/25))/(LN(2)/25)*Calculateur!AQ197*Calculateur!AS197*VLOOKUP('Données projet'!$B$10,Paramètres!$A$1:$I$89,3,0)*0.475*44/12</f>
        <v>2.8265540461244059</v>
      </c>
      <c r="AW197" s="21">
        <f>EXP(-LN(2)/2)*AW196+(1-EXP(-LN(2)/2))/(LN(2)/2)*AQ197*AT197*VLOOKUP('Données projet'!$B$10,Paramètres!$A$1:$I$89,3,0)*0.475*44/12</f>
        <v>6.9549447924238801E-15</v>
      </c>
      <c r="AX197" s="21">
        <f t="shared" si="166"/>
        <v>5.1764853228098104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-1.2710188457276673E-13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430.60186171079067</v>
      </c>
      <c r="BJ197" s="59">
        <f t="shared" ref="BJ197:BJ203" si="206">$BJ$3</f>
        <v>533.76627289533985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18.214689684654175</v>
      </c>
      <c r="BQ197" s="21">
        <f>EXP(-LN(2)/25)*BQ196+(1-EXP(-LN(2)/25))/(LN(2)/25)*Calculateur!BL197*Calculateur!BN197*VLOOKUP('Données projet'!$B$11,Paramètres!$A$1:$I$89,3,0)*0.475*44/12</f>
        <v>1.5686624930092279</v>
      </c>
      <c r="BR197" s="21">
        <f>EXP(-LN(2)/2)*BR196+(1-EXP(-LN(2)/2))/(LN(2)/2)*BL197*BO197*VLOOKUP('Données projet'!$B$11,Paramètres!$A$1:$I$89,3,0)*0.475*44/12</f>
        <v>3.8164492721765885E-19</v>
      </c>
      <c r="BS197" s="22">
        <f t="shared" si="169"/>
        <v>19.783352177663403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-1.69961822393816E-13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215.89467197072673</v>
      </c>
      <c r="CE197" s="59">
        <f t="shared" ref="CE197:CE203" si="207">$CE$3</f>
        <v>188.21397398859534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11.944015448980897</v>
      </c>
      <c r="CL197" s="21">
        <f>EXP(-LN(2)/25)*CL196+(1-EXP(-LN(2)/25))/(LN(2)/25)*Calculateur!CG197*Calculateur!CI197*VLOOKUP('Données projet'!$B$12,Paramètres!$A$1:$I$89,3,0)*0.475*44/12</f>
        <v>1.1863888732944148</v>
      </c>
      <c r="CM197" s="21">
        <f>EXP(-LN(2)/2)*CM196+(1-EXP(-LN(2)/2))/(LN(2)/2)*CG197*CJ197*VLOOKUP('Données projet'!$B$12,Paramètres!$A$1:$I$89,3,0)*0.475*44/12</f>
        <v>1.934353873789887E-16</v>
      </c>
      <c r="CN197" s="22">
        <f t="shared" si="172"/>
        <v>13.130404322275313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3.2684965844964609E-13</v>
      </c>
      <c r="CU197" s="17">
        <f>CT197*VLOOKUP('Données projet'!$B$13,Paramètres!$A$1:$I$89,3,0)*VLOOKUP('Données projet'!$B$13,Paramètres!$A$1:$I$89,5,0)</f>
        <v>3.3142555366794117E-13</v>
      </c>
      <c r="CV197" s="13">
        <f t="shared" si="173"/>
        <v>4.3307700634872047E-12</v>
      </c>
      <c r="CW197" s="20">
        <f t="shared" si="174"/>
        <v>8.1199906998785446E-12</v>
      </c>
      <c r="CX197" s="59">
        <f t="shared" si="196"/>
        <v>293.33333333334144</v>
      </c>
      <c r="CY197" s="59">
        <f ca="1">AVERAGE(OFFSET($CX$3,0,0,'Données projet'!$E$13+1,1))-AVERAGE(OFFSET($H$3,0,0,'Données projet'!$E$13+1,1))</f>
        <v>342.82846711287749</v>
      </c>
      <c r="CZ197" s="59">
        <f t="shared" ref="CZ197:CZ203" si="208">$CZ$3</f>
        <v>152.87724741106297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158.43396454058106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158.43396454058106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208.48147873805715</v>
      </c>
      <c r="DU197" s="59">
        <f t="shared" ref="DU197:DU203" si="209">$DU$3</f>
        <v>209.50570914630686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6.0844128584886192</v>
      </c>
      <c r="EB197" s="21">
        <f>EXP(-LN(2)/25)*EB196+(1-EXP(-LN(2)/25))/(LN(2)/25)*Calculateur!DW197*Calculateur!DY197*VLOOKUP('Données projet'!$B$14,Paramètres!$A$1:$I$89,3,0)*0.475*44/12</f>
        <v>0.80987944563119107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6.8942923041198103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-1.7053025658242404E-13</v>
      </c>
      <c r="EK197" s="17">
        <f>EJ197*VLOOKUP('Données projet'!$B$15,Paramètres!$A$1:$I$89,3,0)*VLOOKUP('Données projet'!$B$15,Paramètres!$A$1:$I$89,5,0)</f>
        <v>-1.0197709343628959E-13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247.31680974612766</v>
      </c>
      <c r="EP197" s="59">
        <f t="shared" ref="EP197:EP203" si="210">$EP$3</f>
        <v>257.13949761071882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9.1305908789477339</v>
      </c>
      <c r="EW197" s="21">
        <f>EXP(-LN(2)/25)*EW196+(1-EXP(-LN(2)/25))/(LN(2)/25)*Calculateur!ER197*Calculateur!ET197*VLOOKUP('Données projet'!$B$15,Paramètres!$A$1:$I$89,3,0)*0.475*44/12</f>
        <v>0.87992475556303096</v>
      </c>
      <c r="EX197" s="21">
        <f>EXP(-LN(2)/2)*EX196+(1-EXP(-LN(2)/2))/(LN(2)/2)*ER197*EU197*VLOOKUP('Données projet'!$B$15,Paramètres!$A$1:$I$89,3,0)*0.475*44/12</f>
        <v>2.1658868607287327E-19</v>
      </c>
      <c r="EY197" s="22">
        <f t="shared" si="181"/>
        <v>10.010515634510766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34.678800000000017</v>
      </c>
      <c r="D198" s="11">
        <f t="shared" si="202"/>
        <v>10.576760473435787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69.868233713374579</v>
      </c>
      <c r="H198" s="67">
        <f t="shared" si="192"/>
        <v>335.48676782456738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5.1159076974727213E-13</v>
      </c>
      <c r="O198" s="13">
        <f>N198*VLOOKUP('Données projet'!$B$9,Paramètres!$A$1:$I$89,3,0)*VLOOKUP('Données projet'!$B$9,Paramètres!$A$1:$I$89,5,0)</f>
        <v>2.3942448024172334E-13</v>
      </c>
      <c r="P198" s="13">
        <f t="shared" si="203"/>
        <v>3.2492669905861755E-12</v>
      </c>
      <c r="Q198" s="20">
        <f t="shared" si="162"/>
        <v>6.0761376450252565E-12</v>
      </c>
      <c r="R198" s="59">
        <f t="shared" si="191"/>
        <v>293.3333333333394</v>
      </c>
      <c r="S198" s="59">
        <f ca="1">AVERAGE(OFFSET($R$3,0,0,'Données projet'!$E$9+1,1))-AVERAGE(OFFSET($H$3,0,0,'Données projet'!$E$9+1,1))</f>
        <v>223.99456146593315</v>
      </c>
      <c r="T198" s="59">
        <f t="shared" si="204"/>
        <v>132.73290587325937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24.350347117790871</v>
      </c>
      <c r="AA198" s="21">
        <f>EXP(-LN(2)/25)*AA197+(1-EXP(-LN(2)/25))/(LN(2)/25)*Calculateur!V198*Calculateur!X198*VLOOKUP('Données projet'!$B$9,Paramètres!$A$1:$I$89,3,0)*0.475*44/12</f>
        <v>3.0634634317080258</v>
      </c>
      <c r="AB198" s="21">
        <f>EXP(-LN(2)/2)*AB197+(1-EXP(-LN(2)/2))/(LN(2)/2)*V198*Y198*VLOOKUP('Données projet'!$B$9,Paramètres!$A$1:$I$89,3,0)*0.475*44/12</f>
        <v>2.086004465663036E-12</v>
      </c>
      <c r="AC198" s="22">
        <f t="shared" si="163"/>
        <v>27.413810549500983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8.5265128291212022E-14</v>
      </c>
      <c r="AJ198" s="13">
        <f>AI198*VLOOKUP('Données projet'!$B$10,Paramètres!$A$1:$I$89,3,0)*VLOOKUP('Données projet'!$B$10,Paramètres!$A$1:$I$89,5,0)</f>
        <v>5.5865712056402117E-14</v>
      </c>
      <c r="AK198" s="13">
        <f t="shared" si="164"/>
        <v>8.9811031843713517E-13</v>
      </c>
      <c r="AL198" s="20">
        <f t="shared" si="165"/>
        <v>1.6615082531095774E-12</v>
      </c>
      <c r="AM198" s="59">
        <f t="shared" si="193"/>
        <v>293.33333333333496</v>
      </c>
      <c r="AN198" s="59">
        <f ca="1">AVERAGE(OFFSET($AM$3,0,0,'Données projet'!$E$10+1,1))-AVERAGE(OFFSET($H$3,0,0,'Données projet'!$E$10+1,1))</f>
        <v>244.43587473734613</v>
      </c>
      <c r="AO198" s="59">
        <f t="shared" si="205"/>
        <v>256.80261402149375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2.3038505576661468</v>
      </c>
      <c r="AV198" s="21">
        <f>EXP(-LN(2)/25)*AV197+(1-EXP(-LN(2)/25))/(LN(2)/25)*Calculateur!AQ198*Calculateur!AS198*VLOOKUP('Données projet'!$B$10,Paramètres!$A$1:$I$89,3,0)*0.475*44/12</f>
        <v>2.749261777091117</v>
      </c>
      <c r="AW198" s="21">
        <f>EXP(-LN(2)/2)*AW197+(1-EXP(-LN(2)/2))/(LN(2)/2)*AQ198*AT198*VLOOKUP('Données projet'!$B$10,Paramètres!$A$1:$I$89,3,0)*0.475*44/12</f>
        <v>4.9178886255009907E-15</v>
      </c>
      <c r="AX198" s="21">
        <f t="shared" si="166"/>
        <v>5.0531123347572695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-1.2710188457276673E-13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430.60186171079067</v>
      </c>
      <c r="BJ198" s="59">
        <f t="shared" si="206"/>
        <v>533.76627289533985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17.857510729801806</v>
      </c>
      <c r="BQ198" s="21">
        <f>EXP(-LN(2)/25)*BQ197+(1-EXP(-LN(2)/25))/(LN(2)/25)*Calculateur!BL198*Calculateur!BN198*VLOOKUP('Données projet'!$B$11,Paramètres!$A$1:$I$89,3,0)*0.475*44/12</f>
        <v>1.5257673346455152</v>
      </c>
      <c r="BR198" s="21">
        <f>EXP(-LN(2)/2)*BR197+(1-EXP(-LN(2)/2))/(LN(2)/2)*BL198*BO198*VLOOKUP('Données projet'!$B$11,Paramètres!$A$1:$I$89,3,0)*0.475*44/12</f>
        <v>2.6986371604105295E-19</v>
      </c>
      <c r="BS198" s="22">
        <f t="shared" si="169"/>
        <v>19.383278064447321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-1.69961822393816E-13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215.89467197072673</v>
      </c>
      <c r="CE198" s="59">
        <f t="shared" si="207"/>
        <v>188.21397398859534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11.709800591156458</v>
      </c>
      <c r="CL198" s="21">
        <f>EXP(-LN(2)/25)*CL197+(1-EXP(-LN(2)/25))/(LN(2)/25)*Calculateur!CG198*Calculateur!CI198*VLOOKUP('Données projet'!$B$12,Paramètres!$A$1:$I$89,3,0)*0.475*44/12</f>
        <v>1.1539470071646998</v>
      </c>
      <c r="CM198" s="21">
        <f>EXP(-LN(2)/2)*CM197+(1-EXP(-LN(2)/2))/(LN(2)/2)*CG198*CJ198*VLOOKUP('Données projet'!$B$12,Paramètres!$A$1:$I$89,3,0)*0.475*44/12</f>
        <v>1.3677947413712962E-16</v>
      </c>
      <c r="CN198" s="22">
        <f t="shared" si="172"/>
        <v>12.863747598321158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3.2684965844964609E-13</v>
      </c>
      <c r="CU198" s="17">
        <f>CT198*VLOOKUP('Données projet'!$B$13,Paramètres!$A$1:$I$89,3,0)*VLOOKUP('Données projet'!$B$13,Paramètres!$A$1:$I$89,5,0)</f>
        <v>3.3142555366794117E-13</v>
      </c>
      <c r="CV198" s="13">
        <f t="shared" si="173"/>
        <v>4.3307700634872047E-12</v>
      </c>
      <c r="CW198" s="20">
        <f t="shared" si="174"/>
        <v>8.1199906998785446E-12</v>
      </c>
      <c r="CX198" s="59">
        <f t="shared" si="196"/>
        <v>293.33333333334144</v>
      </c>
      <c r="CY198" s="59">
        <f ca="1">AVERAGE(OFFSET($CX$3,0,0,'Données projet'!$E$13+1,1))-AVERAGE(OFFSET($H$3,0,0,'Données projet'!$E$13+1,1))</f>
        <v>342.82846711287749</v>
      </c>
      <c r="CZ198" s="59">
        <f t="shared" si="208"/>
        <v>152.87724741106297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155.3271711311167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155.3271711311167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208.48147873805715</v>
      </c>
      <c r="DU198" s="59">
        <f t="shared" si="209"/>
        <v>209.50570914630686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5.9651012334590581</v>
      </c>
      <c r="EB198" s="21">
        <f>EXP(-LN(2)/25)*EB197+(1-EXP(-LN(2)/25))/(LN(2)/25)*Calculateur!DW198*Calculateur!DY198*VLOOKUP('Données projet'!$B$14,Paramètres!$A$1:$I$89,3,0)*0.475*44/12</f>
        <v>0.78773324960069713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6.7528344830597549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-1.7053025658242404E-13</v>
      </c>
      <c r="EK198" s="17">
        <f>EJ198*VLOOKUP('Données projet'!$B$15,Paramètres!$A$1:$I$89,3,0)*VLOOKUP('Données projet'!$B$15,Paramètres!$A$1:$I$89,5,0)</f>
        <v>-1.0197709343628959E-13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247.31680974612766</v>
      </c>
      <c r="EP198" s="59">
        <f t="shared" si="210"/>
        <v>257.13949761071882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8.9515455609221011</v>
      </c>
      <c r="EW198" s="21">
        <f>EXP(-LN(2)/25)*EW197+(1-EXP(-LN(2)/25))/(LN(2)/25)*Calculateur!ER198*Calculateur!ET198*VLOOKUP('Données projet'!$B$15,Paramètres!$A$1:$I$89,3,0)*0.475*44/12</f>
        <v>0.85586316684892805</v>
      </c>
      <c r="EX198" s="21">
        <f>EXP(-LN(2)/2)*EX197+(1-EXP(-LN(2)/2))/(LN(2)/2)*ER198*EU198*VLOOKUP('Données projet'!$B$15,Paramètres!$A$1:$I$89,3,0)*0.475*44/12</f>
        <v>1.5315132865041305E-19</v>
      </c>
      <c r="EY198" s="22">
        <f t="shared" si="181"/>
        <v>9.8074087277710298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34.85664000000002</v>
      </c>
      <c r="D199" s="11">
        <f t="shared" si="202"/>
        <v>10.624672481400921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70.216763129180407</v>
      </c>
      <c r="H199" s="67">
        <f t="shared" si="192"/>
        <v>335.87995257177334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5.1159076974727213E-13</v>
      </c>
      <c r="O199" s="13">
        <f>N199*VLOOKUP('Données projet'!$B$9,Paramètres!$A$1:$I$89,3,0)*VLOOKUP('Données projet'!$B$9,Paramètres!$A$1:$I$89,5,0)</f>
        <v>2.3942448024172334E-13</v>
      </c>
      <c r="P199" s="13">
        <f t="shared" si="203"/>
        <v>3.2492669905861755E-12</v>
      </c>
      <c r="Q199" s="20">
        <f t="shared" si="162"/>
        <v>6.0761376450252565E-12</v>
      </c>
      <c r="R199" s="59">
        <f t="shared" si="191"/>
        <v>293.3333333333394</v>
      </c>
      <c r="S199" s="59">
        <f ca="1">AVERAGE(OFFSET($R$3,0,0,'Données projet'!$E$9+1,1))-AVERAGE(OFFSET($H$3,0,0,'Données projet'!$E$9+1,1))</f>
        <v>223.99456146593315</v>
      </c>
      <c r="T199" s="59">
        <f t="shared" si="204"/>
        <v>132.73290587325937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23.872851663056196</v>
      </c>
      <c r="AA199" s="21">
        <f>EXP(-LN(2)/25)*AA198+(1-EXP(-LN(2)/25))/(LN(2)/25)*Calculateur!V199*Calculateur!X199*VLOOKUP('Données projet'!$B$9,Paramètres!$A$1:$I$89,3,0)*0.475*44/12</f>
        <v>2.9796928630674295</v>
      </c>
      <c r="AB199" s="21">
        <f>EXP(-LN(2)/2)*AB198+(1-EXP(-LN(2)/2))/(LN(2)/2)*V199*Y199*VLOOKUP('Données projet'!$B$9,Paramètres!$A$1:$I$89,3,0)*0.475*44/12</f>
        <v>1.4750279032557534E-12</v>
      </c>
      <c r="AC199" s="22">
        <f t="shared" si="163"/>
        <v>26.852544526125101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8.5265128291212022E-14</v>
      </c>
      <c r="AJ199" s="13">
        <f>AI199*VLOOKUP('Données projet'!$B$10,Paramètres!$A$1:$I$89,3,0)*VLOOKUP('Données projet'!$B$10,Paramètres!$A$1:$I$89,5,0)</f>
        <v>5.5865712056402117E-14</v>
      </c>
      <c r="AK199" s="13">
        <f t="shared" si="164"/>
        <v>8.9811031843713517E-13</v>
      </c>
      <c r="AL199" s="20">
        <f t="shared" si="165"/>
        <v>1.6615082531095774E-12</v>
      </c>
      <c r="AM199" s="59">
        <f t="shared" si="193"/>
        <v>293.33333333333496</v>
      </c>
      <c r="AN199" s="59">
        <f ca="1">AVERAGE(OFFSET($AM$3,0,0,'Données projet'!$E$10+1,1))-AVERAGE(OFFSET($H$3,0,0,'Données projet'!$E$10+1,1))</f>
        <v>244.43587473734613</v>
      </c>
      <c r="AO199" s="59">
        <f t="shared" si="205"/>
        <v>256.80261402149375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2.2586734534404007</v>
      </c>
      <c r="AV199" s="21">
        <f>EXP(-LN(2)/25)*AV198+(1-EXP(-LN(2)/25))/(LN(2)/25)*Calculateur!AQ199*Calculateur!AS199*VLOOKUP('Données projet'!$B$10,Paramètres!$A$1:$I$89,3,0)*0.475*44/12</f>
        <v>2.6740830692191668</v>
      </c>
      <c r="AW199" s="21">
        <f>EXP(-LN(2)/2)*AW198+(1-EXP(-LN(2)/2))/(LN(2)/2)*AQ199*AT199*VLOOKUP('Données projet'!$B$10,Paramètres!$A$1:$I$89,3,0)*0.475*44/12</f>
        <v>3.4774723962119401E-15</v>
      </c>
      <c r="AX199" s="21">
        <f t="shared" si="166"/>
        <v>4.9327565226595711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-1.2710188457276673E-13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430.60186171079067</v>
      </c>
      <c r="BJ199" s="59">
        <f t="shared" si="206"/>
        <v>533.76627289533985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17.507335836396443</v>
      </c>
      <c r="BQ199" s="21">
        <f>EXP(-LN(2)/25)*BQ198+(1-EXP(-LN(2)/25))/(LN(2)/25)*Calculateur!BL199*Calculateur!BN199*VLOOKUP('Données projet'!$B$11,Paramètres!$A$1:$I$89,3,0)*0.475*44/12</f>
        <v>1.4840451466430167</v>
      </c>
      <c r="BR199" s="21">
        <f>EXP(-LN(2)/2)*BR198+(1-EXP(-LN(2)/2))/(LN(2)/2)*BL199*BO199*VLOOKUP('Données projet'!$B$11,Paramètres!$A$1:$I$89,3,0)*0.475*44/12</f>
        <v>1.9082246360882943E-19</v>
      </c>
      <c r="BS199" s="22">
        <f t="shared" si="169"/>
        <v>18.991380983039459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-1.69961822393816E-13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215.89467197072673</v>
      </c>
      <c r="CE199" s="59">
        <f t="shared" si="207"/>
        <v>188.21397398859534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11.480178543837001</v>
      </c>
      <c r="CL199" s="21">
        <f>EXP(-LN(2)/25)*CL198+(1-EXP(-LN(2)/25))/(LN(2)/25)*Calculateur!CG199*Calculateur!CI199*VLOOKUP('Données projet'!$B$12,Paramètres!$A$1:$I$89,3,0)*0.475*44/12</f>
        <v>1.1223922655703453</v>
      </c>
      <c r="CM199" s="21">
        <f>EXP(-LN(2)/2)*CM198+(1-EXP(-LN(2)/2))/(LN(2)/2)*CG199*CJ199*VLOOKUP('Données projet'!$B$12,Paramètres!$A$1:$I$89,3,0)*0.475*44/12</f>
        <v>9.6717693689494349E-17</v>
      </c>
      <c r="CN199" s="22">
        <f t="shared" si="172"/>
        <v>12.602570809407347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3.2684965844964609E-13</v>
      </c>
      <c r="CU199" s="17">
        <f>CT199*VLOOKUP('Données projet'!$B$13,Paramètres!$A$1:$I$89,3,0)*VLOOKUP('Données projet'!$B$13,Paramètres!$A$1:$I$89,5,0)</f>
        <v>3.3142555366794117E-13</v>
      </c>
      <c r="CV199" s="13">
        <f t="shared" si="173"/>
        <v>4.3307700634872047E-12</v>
      </c>
      <c r="CW199" s="20">
        <f t="shared" si="174"/>
        <v>8.1199906998785446E-12</v>
      </c>
      <c r="CX199" s="59">
        <f t="shared" si="196"/>
        <v>293.33333333334144</v>
      </c>
      <c r="CY199" s="59">
        <f ca="1">AVERAGE(OFFSET($CX$3,0,0,'Données projet'!$E$13+1,1))-AVERAGE(OFFSET($H$3,0,0,'Données projet'!$E$13+1,1))</f>
        <v>342.82846711287749</v>
      </c>
      <c r="CZ199" s="59">
        <f t="shared" si="208"/>
        <v>152.87724741106297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152.28130004545508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152.28130004545508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208.48147873805715</v>
      </c>
      <c r="DU199" s="59">
        <f t="shared" si="209"/>
        <v>209.50570914630686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5.8481292366234205</v>
      </c>
      <c r="EB199" s="21">
        <f>EXP(-LN(2)/25)*EB198+(1-EXP(-LN(2)/25))/(LN(2)/25)*Calculateur!DW199*Calculateur!DY199*VLOOKUP('Données projet'!$B$14,Paramètres!$A$1:$I$89,3,0)*0.475*44/12</f>
        <v>0.76619264246527485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6.6143218790886955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-1.7053025658242404E-13</v>
      </c>
      <c r="EK199" s="17">
        <f>EJ199*VLOOKUP('Données projet'!$B$15,Paramètres!$A$1:$I$89,3,0)*VLOOKUP('Données projet'!$B$15,Paramètres!$A$1:$I$89,5,0)</f>
        <v>-1.0197709343628959E-13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247.31680974612766</v>
      </c>
      <c r="EP199" s="59">
        <f t="shared" si="210"/>
        <v>257.13949761071882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8.7760112123760905</v>
      </c>
      <c r="EW199" s="21">
        <f>EXP(-LN(2)/25)*EW198+(1-EXP(-LN(2)/25))/(LN(2)/25)*Calculateur!ER199*Calculateur!ET199*VLOOKUP('Données projet'!$B$15,Paramètres!$A$1:$I$89,3,0)*0.475*44/12</f>
        <v>0.83245954354355622</v>
      </c>
      <c r="EX199" s="21">
        <f>EXP(-LN(2)/2)*EX198+(1-EXP(-LN(2)/2))/(LN(2)/2)*ER199*EU199*VLOOKUP('Données projet'!$B$15,Paramètres!$A$1:$I$89,3,0)*0.475*44/12</f>
        <v>1.0829434303643665E-19</v>
      </c>
      <c r="EY199" s="22">
        <f t="shared" si="181"/>
        <v>9.6084707559196474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35.034480000000023</v>
      </c>
      <c r="D200" s="11">
        <f t="shared" si="202"/>
        <v>10.672556043816934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70.565248629050743</v>
      </c>
      <c r="H200" s="67">
        <f t="shared" si="192"/>
        <v>336.27308777631453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5.1159076974727213E-13</v>
      </c>
      <c r="O200" s="13">
        <f>N200*VLOOKUP('Données projet'!$B$9,Paramètres!$A$1:$I$89,3,0)*VLOOKUP('Données projet'!$B$9,Paramètres!$A$1:$I$89,5,0)</f>
        <v>2.3942448024172334E-13</v>
      </c>
      <c r="P200" s="13">
        <f t="shared" si="203"/>
        <v>3.2492669905861755E-12</v>
      </c>
      <c r="Q200" s="20">
        <f t="shared" si="162"/>
        <v>6.0761376450252565E-12</v>
      </c>
      <c r="R200" s="59">
        <f t="shared" si="191"/>
        <v>293.3333333333394</v>
      </c>
      <c r="S200" s="59">
        <f ca="1">AVERAGE(OFFSET($R$3,0,0,'Données projet'!$E$9+1,1))-AVERAGE(OFFSET($H$3,0,0,'Données projet'!$E$9+1,1))</f>
        <v>223.99456146593315</v>
      </c>
      <c r="T200" s="59">
        <f t="shared" si="204"/>
        <v>132.73290587325937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23.404719602945399</v>
      </c>
      <c r="AA200" s="21">
        <f>EXP(-LN(2)/25)*AA199+(1-EXP(-LN(2)/25))/(LN(2)/25)*Calculateur!V200*Calculateur!X200*VLOOKUP('Données projet'!$B$9,Paramètres!$A$1:$I$89,3,0)*0.475*44/12</f>
        <v>2.8982130050316131</v>
      </c>
      <c r="AB200" s="21">
        <f>EXP(-LN(2)/2)*AB199+(1-EXP(-LN(2)/2))/(LN(2)/2)*V200*Y200*VLOOKUP('Données projet'!$B$9,Paramètres!$A$1:$I$89,3,0)*0.475*44/12</f>
        <v>1.043002232831518E-12</v>
      </c>
      <c r="AC200" s="22">
        <f t="shared" si="163"/>
        <v>26.302932607978057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8.5265128291212022E-14</v>
      </c>
      <c r="AJ200" s="13">
        <f>AI200*VLOOKUP('Données projet'!$B$10,Paramètres!$A$1:$I$89,3,0)*VLOOKUP('Données projet'!$B$10,Paramètres!$A$1:$I$89,5,0)</f>
        <v>5.5865712056402117E-14</v>
      </c>
      <c r="AK200" s="13">
        <f t="shared" si="164"/>
        <v>8.9811031843713517E-13</v>
      </c>
      <c r="AL200" s="20">
        <f t="shared" si="165"/>
        <v>1.6615082531095774E-12</v>
      </c>
      <c r="AM200" s="59">
        <f t="shared" si="193"/>
        <v>293.33333333333496</v>
      </c>
      <c r="AN200" s="59">
        <f ca="1">AVERAGE(OFFSET($AM$3,0,0,'Données projet'!$E$10+1,1))-AVERAGE(OFFSET($H$3,0,0,'Données projet'!$E$10+1,1))</f>
        <v>244.43587473734613</v>
      </c>
      <c r="AO200" s="59">
        <f t="shared" si="205"/>
        <v>256.80261402149375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2.2143822446732089</v>
      </c>
      <c r="AV200" s="21">
        <f>EXP(-LN(2)/25)*AV199+(1-EXP(-LN(2)/25))/(LN(2)/25)*Calculateur!AQ200*Calculateur!AS200*VLOOKUP('Données projet'!$B$10,Paramètres!$A$1:$I$89,3,0)*0.475*44/12</f>
        <v>2.6009601270674518</v>
      </c>
      <c r="AW200" s="21">
        <f>EXP(-LN(2)/2)*AW199+(1-EXP(-LN(2)/2))/(LN(2)/2)*AQ200*AT200*VLOOKUP('Données projet'!$B$10,Paramètres!$A$1:$I$89,3,0)*0.475*44/12</f>
        <v>2.4589443127504954E-15</v>
      </c>
      <c r="AX200" s="21">
        <f t="shared" si="166"/>
        <v>4.8153423717406634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-1.2710188457276673E-13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430.60186171079067</v>
      </c>
      <c r="BJ200" s="59">
        <f t="shared" si="206"/>
        <v>533.76627289533985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17.164027659065162</v>
      </c>
      <c r="BQ200" s="21">
        <f>EXP(-LN(2)/25)*BQ199+(1-EXP(-LN(2)/25))/(LN(2)/25)*Calculateur!BL200*Calculateur!BN200*VLOOKUP('Données projet'!$B$11,Paramètres!$A$1:$I$89,3,0)*0.475*44/12</f>
        <v>1.4434638540655209</v>
      </c>
      <c r="BR200" s="21">
        <f>EXP(-LN(2)/2)*BR199+(1-EXP(-LN(2)/2))/(LN(2)/2)*BL200*BO200*VLOOKUP('Données projet'!$B$11,Paramètres!$A$1:$I$89,3,0)*0.475*44/12</f>
        <v>1.3493185802052647E-19</v>
      </c>
      <c r="BS200" s="22">
        <f t="shared" si="169"/>
        <v>18.607491513130682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-1.69961822393816E-13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215.89467197072673</v>
      </c>
      <c r="CE200" s="59">
        <f t="shared" si="207"/>
        <v>188.21397398859534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11.255059244809857</v>
      </c>
      <c r="CL200" s="21">
        <f>EXP(-LN(2)/25)*CL199+(1-EXP(-LN(2)/25))/(LN(2)/25)*Calculateur!CG200*Calculateur!CI200*VLOOKUP('Données projet'!$B$12,Paramètres!$A$1:$I$89,3,0)*0.475*44/12</f>
        <v>1.0917003900442803</v>
      </c>
      <c r="CM200" s="21">
        <f>EXP(-LN(2)/2)*CM199+(1-EXP(-LN(2)/2))/(LN(2)/2)*CG200*CJ200*VLOOKUP('Données projet'!$B$12,Paramètres!$A$1:$I$89,3,0)*0.475*44/12</f>
        <v>6.8389737068564808E-17</v>
      </c>
      <c r="CN200" s="22">
        <f t="shared" si="172"/>
        <v>12.346759634854138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3.2684965844964609E-13</v>
      </c>
      <c r="CU200" s="17">
        <f>CT200*VLOOKUP('Données projet'!$B$13,Paramètres!$A$1:$I$89,3,0)*VLOOKUP('Données projet'!$B$13,Paramètres!$A$1:$I$89,5,0)</f>
        <v>3.3142555366794117E-13</v>
      </c>
      <c r="CV200" s="13">
        <f t="shared" si="173"/>
        <v>4.3307700634872047E-12</v>
      </c>
      <c r="CW200" s="20">
        <f t="shared" si="174"/>
        <v>8.1199906998785446E-12</v>
      </c>
      <c r="CX200" s="59">
        <f t="shared" si="196"/>
        <v>293.33333333334144</v>
      </c>
      <c r="CY200" s="59">
        <f ca="1">AVERAGE(OFFSET($CX$3,0,0,'Données projet'!$E$13+1,1))-AVERAGE(OFFSET($H$3,0,0,'Données projet'!$E$13+1,1))</f>
        <v>342.82846711287749</v>
      </c>
      <c r="CZ200" s="59">
        <f t="shared" si="208"/>
        <v>152.87724741106297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149.29515663398536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149.29515663398536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208.48147873805715</v>
      </c>
      <c r="DU200" s="59">
        <f t="shared" si="209"/>
        <v>209.50570914630686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5.7334509892998566</v>
      </c>
      <c r="EB200" s="21">
        <f>EXP(-LN(2)/25)*EB199+(1-EXP(-LN(2)/25))/(LN(2)/25)*Calculateur!DW200*Calculateur!DY200*VLOOKUP('Données projet'!$B$14,Paramètres!$A$1:$I$89,3,0)*0.475*44/12</f>
        <v>0.74524106436474202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6.4786920536645987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-1.7053025658242404E-13</v>
      </c>
      <c r="EK200" s="17">
        <f>EJ200*VLOOKUP('Données projet'!$B$15,Paramètres!$A$1:$I$89,3,0)*VLOOKUP('Données projet'!$B$15,Paramètres!$A$1:$I$89,5,0)</f>
        <v>-1.0197709343628959E-13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247.31680974612766</v>
      </c>
      <c r="EP200" s="59">
        <f t="shared" si="210"/>
        <v>257.13949761071882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8.6039189853396856</v>
      </c>
      <c r="EW200" s="21">
        <f>EXP(-LN(2)/25)*EW199+(1-EXP(-LN(2)/25))/(LN(2)/25)*Calculateur!ER200*Calculateur!ET200*VLOOKUP('Données projet'!$B$15,Paramètres!$A$1:$I$89,3,0)*0.475*44/12</f>
        <v>0.80969589354821292</v>
      </c>
      <c r="EX200" s="21">
        <f>EXP(-LN(2)/2)*EX199+(1-EXP(-LN(2)/2))/(LN(2)/2)*ER200*EU200*VLOOKUP('Données projet'!$B$15,Paramètres!$A$1:$I$89,3,0)*0.475*44/12</f>
        <v>7.6575664325206537E-20</v>
      </c>
      <c r="EY200" s="22">
        <f t="shared" si="181"/>
        <v>9.4136148788878984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35.212320000000027</v>
      </c>
      <c r="D201" s="11">
        <f t="shared" si="202"/>
        <v>10.720411321838672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70.913690461786061</v>
      </c>
      <c r="H201" s="67">
        <f t="shared" si="192"/>
        <v>336.66617371886912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5.1159076974727213E-13</v>
      </c>
      <c r="O201" s="13">
        <f>N201*VLOOKUP('Données projet'!$B$9,Paramètres!$A$1:$I$89,3,0)*VLOOKUP('Données projet'!$B$9,Paramètres!$A$1:$I$89,5,0)</f>
        <v>2.3942448024172334E-13</v>
      </c>
      <c r="P201" s="13">
        <f t="shared" si="203"/>
        <v>3.2492669905861755E-12</v>
      </c>
      <c r="Q201" s="20">
        <f t="shared" si="162"/>
        <v>6.0761376450252565E-12</v>
      </c>
      <c r="R201" s="59">
        <f t="shared" si="191"/>
        <v>293.3333333333394</v>
      </c>
      <c r="S201" s="59">
        <f ca="1">AVERAGE(OFFSET($R$3,0,0,'Données projet'!$E$9+1,1))-AVERAGE(OFFSET($H$3,0,0,'Données projet'!$E$9+1,1))</f>
        <v>223.99456146593315</v>
      </c>
      <c r="T201" s="59">
        <f t="shared" si="204"/>
        <v>132.73290587325937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22.945767327001011</v>
      </c>
      <c r="AA201" s="21">
        <f>EXP(-LN(2)/25)*AA200+(1-EXP(-LN(2)/25))/(LN(2)/25)*Calculateur!V201*Calculateur!X201*VLOOKUP('Données projet'!$B$9,Paramètres!$A$1:$I$89,3,0)*0.475*44/12</f>
        <v>2.8189612179986256</v>
      </c>
      <c r="AB201" s="21">
        <f>EXP(-LN(2)/2)*AB200+(1-EXP(-LN(2)/2))/(LN(2)/2)*V201*Y201*VLOOKUP('Données projet'!$B$9,Paramètres!$A$1:$I$89,3,0)*0.475*44/12</f>
        <v>7.3751395162787672E-13</v>
      </c>
      <c r="AC201" s="22">
        <f t="shared" si="163"/>
        <v>25.764728545000377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8.5265128291212022E-14</v>
      </c>
      <c r="AJ201" s="13">
        <f>AI201*VLOOKUP('Données projet'!$B$10,Paramètres!$A$1:$I$89,3,0)*VLOOKUP('Données projet'!$B$10,Paramètres!$A$1:$I$89,5,0)</f>
        <v>5.5865712056402117E-14</v>
      </c>
      <c r="AK201" s="13">
        <f t="shared" si="164"/>
        <v>8.9811031843713517E-13</v>
      </c>
      <c r="AL201" s="20">
        <f t="shared" si="165"/>
        <v>1.6615082531095774E-12</v>
      </c>
      <c r="AM201" s="59">
        <f t="shared" si="193"/>
        <v>293.33333333333496</v>
      </c>
      <c r="AN201" s="59">
        <f ca="1">AVERAGE(OFFSET($AM$3,0,0,'Données projet'!$E$10+1,1))-AVERAGE(OFFSET($H$3,0,0,'Données projet'!$E$10+1,1))</f>
        <v>244.43587473734613</v>
      </c>
      <c r="AO201" s="59">
        <f t="shared" si="205"/>
        <v>256.80261402149375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2.170959559494972</v>
      </c>
      <c r="AV201" s="21">
        <f>EXP(-LN(2)/25)*AV200+(1-EXP(-LN(2)/25))/(LN(2)/25)*Calculateur!AQ201*Calculateur!AS201*VLOOKUP('Données projet'!$B$10,Paramètres!$A$1:$I$89,3,0)*0.475*44/12</f>
        <v>2.5298367356142437</v>
      </c>
      <c r="AW201" s="21">
        <f>EXP(-LN(2)/2)*AW200+(1-EXP(-LN(2)/2))/(LN(2)/2)*AQ201*AT201*VLOOKUP('Données projet'!$B$10,Paramètres!$A$1:$I$89,3,0)*0.475*44/12</f>
        <v>1.73873619810597E-15</v>
      </c>
      <c r="AX201" s="21">
        <f t="shared" si="166"/>
        <v>4.7007962951092175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-1.2710188457276673E-13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430.60186171079067</v>
      </c>
      <c r="BJ201" s="59">
        <f t="shared" si="206"/>
        <v>533.76627289533985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16.827451545694036</v>
      </c>
      <c r="BQ201" s="21">
        <f>EXP(-LN(2)/25)*BQ200+(1-EXP(-LN(2)/25))/(LN(2)/25)*Calculateur!BL201*Calculateur!BN201*VLOOKUP('Données projet'!$B$11,Paramètres!$A$1:$I$89,3,0)*0.475*44/12</f>
        <v>1.4039922590676341</v>
      </c>
      <c r="BR201" s="21">
        <f>EXP(-LN(2)/2)*BR200+(1-EXP(-LN(2)/2))/(LN(2)/2)*BL201*BO201*VLOOKUP('Données projet'!$B$11,Paramètres!$A$1:$I$89,3,0)*0.475*44/12</f>
        <v>9.5411231804414713E-20</v>
      </c>
      <c r="BS201" s="22">
        <f t="shared" si="169"/>
        <v>18.231443804761671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-1.69961822393816E-13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215.89467197072673</v>
      </c>
      <c r="CE201" s="59">
        <f t="shared" si="207"/>
        <v>188.21397398859534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11.034354397927421</v>
      </c>
      <c r="CL201" s="21">
        <f>EXP(-LN(2)/25)*CL200+(1-EXP(-LN(2)/25))/(LN(2)/25)*Calculateur!CG201*Calculateur!CI201*VLOOKUP('Données projet'!$B$12,Paramètres!$A$1:$I$89,3,0)*0.475*44/12</f>
        <v>1.0618477854684911</v>
      </c>
      <c r="CM201" s="21">
        <f>EXP(-LN(2)/2)*CM200+(1-EXP(-LN(2)/2))/(LN(2)/2)*CG201*CJ201*VLOOKUP('Données projet'!$B$12,Paramètres!$A$1:$I$89,3,0)*0.475*44/12</f>
        <v>4.8358846844747175E-17</v>
      </c>
      <c r="CN201" s="22">
        <f t="shared" si="172"/>
        <v>12.096202183395912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3.2684965844964609E-13</v>
      </c>
      <c r="CU201" s="17">
        <f>CT201*VLOOKUP('Données projet'!$B$13,Paramètres!$A$1:$I$89,3,0)*VLOOKUP('Données projet'!$B$13,Paramètres!$A$1:$I$89,5,0)</f>
        <v>3.3142555366794117E-13</v>
      </c>
      <c r="CV201" s="13">
        <f t="shared" si="173"/>
        <v>4.3307700634872047E-12</v>
      </c>
      <c r="CW201" s="20">
        <f t="shared" si="174"/>
        <v>8.1199906998785446E-12</v>
      </c>
      <c r="CX201" s="59">
        <f t="shared" si="196"/>
        <v>293.33333333334144</v>
      </c>
      <c r="CY201" s="59">
        <f ca="1">AVERAGE(OFFSET($CX$3,0,0,'Données projet'!$E$13+1,1))-AVERAGE(OFFSET($H$3,0,0,'Données projet'!$E$13+1,1))</f>
        <v>342.82846711287749</v>
      </c>
      <c r="CZ201" s="59">
        <f t="shared" si="208"/>
        <v>152.87724741106297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146.36756967344692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146.36756967344692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208.48147873805715</v>
      </c>
      <c r="DU201" s="59">
        <f t="shared" si="209"/>
        <v>209.50570914630686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5.6210215124594836</v>
      </c>
      <c r="EB201" s="21">
        <f>EXP(-LN(2)/25)*EB200+(1-EXP(-LN(2)/25))/(LN(2)/25)*Calculateur!DW201*Calculateur!DY201*VLOOKUP('Données projet'!$B$14,Paramètres!$A$1:$I$89,3,0)*0.475*44/12</f>
        <v>0.72486240826916382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6.3458839207286477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-1.7053025658242404E-13</v>
      </c>
      <c r="EK201" s="17">
        <f>EJ201*VLOOKUP('Données projet'!$B$15,Paramètres!$A$1:$I$89,3,0)*VLOOKUP('Données projet'!$B$15,Paramètres!$A$1:$I$89,5,0)</f>
        <v>-1.0197709343628959E-13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247.31680974612766</v>
      </c>
      <c r="EP201" s="59">
        <f t="shared" si="210"/>
        <v>257.13949761071882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8.4352013819095717</v>
      </c>
      <c r="EW201" s="21">
        <f>EXP(-LN(2)/25)*EW200+(1-EXP(-LN(2)/25))/(LN(2)/25)*Calculateur!ER201*Calculateur!ET201*VLOOKUP('Données projet'!$B$15,Paramètres!$A$1:$I$89,3,0)*0.475*44/12</f>
        <v>0.78755471675908062</v>
      </c>
      <c r="EX201" s="21">
        <f>EXP(-LN(2)/2)*EX200+(1-EXP(-LN(2)/2))/(LN(2)/2)*ER201*EU201*VLOOKUP('Données projet'!$B$15,Paramètres!$A$1:$I$89,3,0)*0.475*44/12</f>
        <v>5.4147171518218337E-20</v>
      </c>
      <c r="EY201" s="22">
        <f t="shared" si="181"/>
        <v>9.2227560986686523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35.39016000000003</v>
      </c>
      <c r="D202" s="11">
        <f t="shared" si="202"/>
        <v>10.768238474898881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71.262088873528143</v>
      </c>
      <c r="H202" s="67">
        <f t="shared" si="192"/>
        <v>337.05921067711563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5.1159076974727213E-13</v>
      </c>
      <c r="O202" s="13">
        <f>N202*VLOOKUP('Données projet'!$B$9,Paramètres!$A$1:$I$89,3,0)*VLOOKUP('Données projet'!$B$9,Paramètres!$A$1:$I$89,5,0)</f>
        <v>2.3942448024172334E-13</v>
      </c>
      <c r="P202" s="13">
        <f t="shared" si="203"/>
        <v>3.2492669905861755E-12</v>
      </c>
      <c r="Q202" s="20">
        <f t="shared" si="162"/>
        <v>6.0761376450252565E-12</v>
      </c>
      <c r="R202" s="59">
        <f t="shared" si="191"/>
        <v>293.3333333333394</v>
      </c>
      <c r="S202" s="59">
        <f ca="1">AVERAGE(OFFSET($R$3,0,0,'Données projet'!$E$9+1,1))-AVERAGE(OFFSET($H$3,0,0,'Données projet'!$E$9+1,1))</f>
        <v>223.99456146593315</v>
      </c>
      <c r="T202" s="59">
        <f t="shared" si="204"/>
        <v>132.73290587325937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22.495814825254648</v>
      </c>
      <c r="AA202" s="21">
        <f>EXP(-LN(2)/25)*AA201+(1-EXP(-LN(2)/25))/(LN(2)/25)*Calculateur!V202*Calculateur!X202*VLOOKUP('Données projet'!$B$9,Paramètres!$A$1:$I$89,3,0)*0.475*44/12</f>
        <v>2.7418765752497256</v>
      </c>
      <c r="AB202" s="21">
        <f>EXP(-LN(2)/2)*AB201+(1-EXP(-LN(2)/2))/(LN(2)/2)*V202*Y202*VLOOKUP('Données projet'!$B$9,Paramètres!$A$1:$I$89,3,0)*0.475*44/12</f>
        <v>5.2150111641575901E-13</v>
      </c>
      <c r="AC202" s="22">
        <f t="shared" si="163"/>
        <v>25.237691400504897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8.5265128291212022E-14</v>
      </c>
      <c r="AJ202" s="13">
        <f>AI202*VLOOKUP('Données projet'!$B$10,Paramètres!$A$1:$I$89,3,0)*VLOOKUP('Données projet'!$B$10,Paramètres!$A$1:$I$89,5,0)</f>
        <v>5.5865712056402117E-14</v>
      </c>
      <c r="AK202" s="13">
        <f t="shared" si="164"/>
        <v>8.9811031843713517E-13</v>
      </c>
      <c r="AL202" s="20">
        <f t="shared" si="165"/>
        <v>1.6615082531095774E-12</v>
      </c>
      <c r="AM202" s="59">
        <f t="shared" si="193"/>
        <v>293.33333333333496</v>
      </c>
      <c r="AN202" s="59">
        <f ca="1">AVERAGE(OFFSET($AM$3,0,0,'Données projet'!$E$10+1,1))-AVERAGE(OFFSET($H$3,0,0,'Données projet'!$E$10+1,1))</f>
        <v>244.43587473734613</v>
      </c>
      <c r="AO202" s="59">
        <f t="shared" si="205"/>
        <v>256.80261402149375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2.1283883666878576</v>
      </c>
      <c r="AV202" s="21">
        <f>EXP(-LN(2)/25)*AV201+(1-EXP(-LN(2)/25))/(LN(2)/25)*Calculateur!AQ202*Calculateur!AS202*VLOOKUP('Données projet'!$B$10,Paramètres!$A$1:$I$89,3,0)*0.475*44/12</f>
        <v>2.4606582170405402</v>
      </c>
      <c r="AW202" s="21">
        <f>EXP(-LN(2)/2)*AW201+(1-EXP(-LN(2)/2))/(LN(2)/2)*AQ202*AT202*VLOOKUP('Données projet'!$B$10,Paramètres!$A$1:$I$89,3,0)*0.475*44/12</f>
        <v>1.2294721563752477E-15</v>
      </c>
      <c r="AX202" s="21">
        <f t="shared" si="166"/>
        <v>4.5890465837283987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-1.2710188457276673E-13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430.60186171079067</v>
      </c>
      <c r="BJ202" s="59">
        <f t="shared" si="206"/>
        <v>533.76627289533985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16.497475484614959</v>
      </c>
      <c r="BQ202" s="21">
        <f>EXP(-LN(2)/25)*BQ201+(1-EXP(-LN(2)/25))/(LN(2)/25)*Calculateur!BL202*Calculateur!BN202*VLOOKUP('Données projet'!$B$11,Paramètres!$A$1:$I$89,3,0)*0.475*44/12</f>
        <v>1.3656000169106857</v>
      </c>
      <c r="BR202" s="21">
        <f>EXP(-LN(2)/2)*BR201+(1-EXP(-LN(2)/2))/(LN(2)/2)*BL202*BO202*VLOOKUP('Données projet'!$B$11,Paramètres!$A$1:$I$89,3,0)*0.475*44/12</f>
        <v>6.7465929010263237E-20</v>
      </c>
      <c r="BS202" s="22">
        <f t="shared" si="169"/>
        <v>17.863075501525646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-1.69961822393816E-13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215.89467197072673</v>
      </c>
      <c r="CE202" s="59">
        <f t="shared" si="207"/>
        <v>188.21397398859534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10.817977438475687</v>
      </c>
      <c r="CL202" s="21">
        <f>EXP(-LN(2)/25)*CL201+(1-EXP(-LN(2)/25))/(LN(2)/25)*Calculateur!CG202*Calculateur!CI202*VLOOKUP('Données projet'!$B$12,Paramètres!$A$1:$I$89,3,0)*0.475*44/12</f>
        <v>1.0328115019347071</v>
      </c>
      <c r="CM202" s="21">
        <f>EXP(-LN(2)/2)*CM201+(1-EXP(-LN(2)/2))/(LN(2)/2)*CG202*CJ202*VLOOKUP('Données projet'!$B$12,Paramètres!$A$1:$I$89,3,0)*0.475*44/12</f>
        <v>3.4194868534282404E-17</v>
      </c>
      <c r="CN202" s="22">
        <f t="shared" si="172"/>
        <v>11.850788940410395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3.2684965844964609E-13</v>
      </c>
      <c r="CU202" s="17">
        <f>CT202*VLOOKUP('Données projet'!$B$13,Paramètres!$A$1:$I$89,3,0)*VLOOKUP('Données projet'!$B$13,Paramètres!$A$1:$I$89,5,0)</f>
        <v>3.3142555366794117E-13</v>
      </c>
      <c r="CV202" s="13">
        <f t="shared" si="173"/>
        <v>4.3307700634872047E-12</v>
      </c>
      <c r="CW202" s="20">
        <f t="shared" si="174"/>
        <v>8.1199906998785446E-12</v>
      </c>
      <c r="CX202" s="59">
        <f t="shared" si="196"/>
        <v>293.33333333334144</v>
      </c>
      <c r="CY202" s="59">
        <f ca="1">AVERAGE(OFFSET($CX$3,0,0,'Données projet'!$E$13+1,1))-AVERAGE(OFFSET($H$3,0,0,'Données projet'!$E$13+1,1))</f>
        <v>342.82846711287749</v>
      </c>
      <c r="CZ202" s="59">
        <f t="shared" si="208"/>
        <v>152.87724741106297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143.49739090755293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143.49739090755293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208.48147873805715</v>
      </c>
      <c r="DU202" s="59">
        <f t="shared" si="209"/>
        <v>209.50570914630686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5.5107967090847412</v>
      </c>
      <c r="EB202" s="21">
        <f>EXP(-LN(2)/25)*EB201+(1-EXP(-LN(2)/25))/(LN(2)/25)*Calculateur!DW202*Calculateur!DY202*VLOOKUP('Données projet'!$B$14,Paramètres!$A$1:$I$89,3,0)*0.475*44/12</f>
        <v>0.70504100759618615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6.2158377166809275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-1.7053025658242404E-13</v>
      </c>
      <c r="EK202" s="17">
        <f>EJ202*VLOOKUP('Données projet'!$B$15,Paramètres!$A$1:$I$89,3,0)*VLOOKUP('Données projet'!$B$15,Paramètres!$A$1:$I$89,5,0)</f>
        <v>-1.0197709343628959E-13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247.31680974612766</v>
      </c>
      <c r="EP202" s="59">
        <f t="shared" si="210"/>
        <v>257.13949761071882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8.2697922277751452</v>
      </c>
      <c r="EW202" s="21">
        <f>EXP(-LN(2)/25)*EW201+(1-EXP(-LN(2)/25))/(LN(2)/25)*Calculateur!ER202*Calculateur!ET202*VLOOKUP('Données projet'!$B$15,Paramètres!$A$1:$I$89,3,0)*0.475*44/12</f>
        <v>0.76601899161360099</v>
      </c>
      <c r="EX202" s="21">
        <f>EXP(-LN(2)/2)*EX201+(1-EXP(-LN(2)/2))/(LN(2)/2)*ER202*EU202*VLOOKUP('Données projet'!$B$15,Paramètres!$A$1:$I$89,3,0)*0.475*44/12</f>
        <v>3.8287832162603275E-20</v>
      </c>
      <c r="EY202" s="22">
        <f t="shared" si="181"/>
        <v>9.0358112193887461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35.568000000000033</v>
      </c>
      <c r="D203" s="11">
        <f t="shared" si="202"/>
        <v>10.816037660735217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71.610444107801811</v>
      </c>
      <c r="H203" s="67">
        <f t="shared" si="192"/>
        <v>337.45219892578058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5.1159076974727213E-13</v>
      </c>
      <c r="O203" s="13">
        <f>N203*VLOOKUP('Données projet'!$B$9,Paramètres!$A$1:$I$89,3,0)*VLOOKUP('Données projet'!$B$9,Paramètres!$A$1:$I$89,5,0)</f>
        <v>2.3942448024172334E-13</v>
      </c>
      <c r="P203" s="13">
        <f t="shared" si="203"/>
        <v>3.2492669905861755E-12</v>
      </c>
      <c r="Q203" s="20">
        <f t="shared" si="162"/>
        <v>6.0761376450252565E-12</v>
      </c>
      <c r="R203" s="59">
        <f t="shared" si="191"/>
        <v>293.3333333333394</v>
      </c>
      <c r="S203" s="59">
        <f ca="1">AVERAGE(OFFSET($R$3,0,0,'Données projet'!$E$9+1,1))-AVERAGE(OFFSET($H$3,0,0,'Données projet'!$E$9+1,1))</f>
        <v>223.99456146593315</v>
      </c>
      <c r="T203" s="59">
        <f t="shared" si="204"/>
        <v>132.73290587325937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22.054685617623601</v>
      </c>
      <c r="AA203" s="21">
        <f>EXP(-LN(2)/25)*AA202+(1-EXP(-LN(2)/25))/(LN(2)/25)*Calculateur!V203*Calculateur!X203*VLOOKUP('Données projet'!$B$9,Paramètres!$A$1:$I$89,3,0)*0.475*44/12</f>
        <v>2.6668998161104995</v>
      </c>
      <c r="AB203" s="21">
        <f>EXP(-LN(2)/2)*AB202+(1-EXP(-LN(2)/2))/(LN(2)/2)*V203*Y203*VLOOKUP('Données projet'!$B$9,Paramètres!$A$1:$I$89,3,0)*0.475*44/12</f>
        <v>3.6875697581393836E-13</v>
      </c>
      <c r="AC203" s="22">
        <f t="shared" si="163"/>
        <v>24.721585433734472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8.5265128291212022E-14</v>
      </c>
      <c r="AJ203" s="13">
        <f>AI203*VLOOKUP('Données projet'!$B$10,Paramètres!$A$1:$I$89,3,0)*VLOOKUP('Données projet'!$B$10,Paramètres!$A$1:$I$89,5,0)</f>
        <v>5.5865712056402117E-14</v>
      </c>
      <c r="AK203" s="13">
        <f t="shared" si="164"/>
        <v>8.9811031843713517E-13</v>
      </c>
      <c r="AL203" s="20">
        <f t="shared" si="165"/>
        <v>1.6615082531095774E-12</v>
      </c>
      <c r="AM203" s="59">
        <f t="shared" si="193"/>
        <v>293.33333333333496</v>
      </c>
      <c r="AN203" s="59">
        <f ca="1">AVERAGE(OFFSET($AM$3,0,0,'Données projet'!$E$10+1,1))-AVERAGE(OFFSET($H$3,0,0,'Données projet'!$E$10+1,1))</f>
        <v>244.43587473734613</v>
      </c>
      <c r="AO203" s="59">
        <f t="shared" si="205"/>
        <v>256.80261402149375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2.0866519690058269</v>
      </c>
      <c r="AV203" s="21">
        <f>EXP(-LN(2)/25)*AV202+(1-EXP(-LN(2)/25))/(LN(2)/25)*Calculateur!AQ203*Calculateur!AS203*VLOOKUP('Données projet'!$B$10,Paramètres!$A$1:$I$89,3,0)*0.475*44/12</f>
        <v>2.3933713886951749</v>
      </c>
      <c r="AW203" s="21">
        <f>EXP(-LN(2)/2)*AW202+(1-EXP(-LN(2)/2))/(LN(2)/2)*AQ203*AT203*VLOOKUP('Données projet'!$B$10,Paramètres!$A$1:$I$89,3,0)*0.475*44/12</f>
        <v>8.6936809905298502E-16</v>
      </c>
      <c r="AX203" s="21">
        <f t="shared" si="166"/>
        <v>4.4800233577010031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-1.2710188457276673E-13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430.60186171079067</v>
      </c>
      <c r="BJ203" s="59">
        <f t="shared" si="206"/>
        <v>533.76627289533985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16.173970052828121</v>
      </c>
      <c r="BQ203" s="21">
        <f>EXP(-LN(2)/25)*BQ202+(1-EXP(-LN(2)/25))/(LN(2)/25)*Calculateur!BL203*Calculateur!BN203*VLOOKUP('Données projet'!$B$11,Paramètres!$A$1:$I$89,3,0)*0.475*44/12</f>
        <v>1.3282576126344792</v>
      </c>
      <c r="BR203" s="21">
        <f>EXP(-LN(2)/2)*BR202+(1-EXP(-LN(2)/2))/(LN(2)/2)*BL203*BO203*VLOOKUP('Données projet'!$B$11,Paramètres!$A$1:$I$89,3,0)*0.475*44/12</f>
        <v>4.7705615902207357E-20</v>
      </c>
      <c r="BS203" s="22">
        <f t="shared" si="169"/>
        <v>17.502227665462602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-1.69961822393816E-13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215.89467197072673</v>
      </c>
      <c r="CE203" s="59">
        <f t="shared" si="207"/>
        <v>188.21397398859534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10.605843499221887</v>
      </c>
      <c r="CL203" s="21">
        <f>EXP(-LN(2)/25)*CL202+(1-EXP(-LN(2)/25))/(LN(2)/25)*Calculateur!CG203*Calculateur!CI203*VLOOKUP('Données projet'!$B$12,Paramètres!$A$1:$I$89,3,0)*0.475*44/12</f>
        <v>1.004569217101106</v>
      </c>
      <c r="CM203" s="21">
        <f>EXP(-LN(2)/2)*CM202+(1-EXP(-LN(2)/2))/(LN(2)/2)*CG203*CJ203*VLOOKUP('Données projet'!$B$12,Paramètres!$A$1:$I$89,3,0)*0.475*44/12</f>
        <v>2.4179423422373587E-17</v>
      </c>
      <c r="CN203" s="22">
        <f t="shared" si="172"/>
        <v>11.610412716322994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3.2684965844964609E-13</v>
      </c>
      <c r="CU203" s="17">
        <f>CT203*VLOOKUP('Données projet'!$B$13,Paramètres!$A$1:$I$89,3,0)*VLOOKUP('Données projet'!$B$13,Paramètres!$A$1:$I$89,5,0)</f>
        <v>3.3142555366794117E-13</v>
      </c>
      <c r="CV203" s="13">
        <f t="shared" si="173"/>
        <v>4.3307700634872047E-12</v>
      </c>
      <c r="CW203" s="20">
        <f t="shared" si="174"/>
        <v>8.1199906998785446E-12</v>
      </c>
      <c r="CX203" s="59">
        <f t="shared" si="196"/>
        <v>293.33333333334144</v>
      </c>
      <c r="CY203" s="59">
        <f ca="1">AVERAGE(OFFSET($CX$3,0,0,'Données projet'!$E$13+1,1))-AVERAGE(OFFSET($H$3,0,0,'Données projet'!$E$13+1,1))</f>
        <v>342.82846711287749</v>
      </c>
      <c r="CZ203" s="59">
        <f t="shared" si="208"/>
        <v>152.87724741106297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140.68349459662193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140.68349459662193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208.48147873805715</v>
      </c>
      <c r="DU203" s="59">
        <f t="shared" si="209"/>
        <v>209.50570914630686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5.4027333468736858</v>
      </c>
      <c r="EB203" s="21">
        <f>EXP(-LN(2)/25)*EB202+(1-EXP(-LN(2)/25))/(LN(2)/25)*Calculateur!DW203*Calculateur!DY203*VLOOKUP('Données projet'!$B$14,Paramètres!$A$1:$I$89,3,0)*0.475*44/12</f>
        <v>0.68576162416697328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6.0884949710406593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-1.7053025658242404E-13</v>
      </c>
      <c r="EK203" s="17">
        <f>EJ203*VLOOKUP('Données projet'!$B$15,Paramètres!$A$1:$I$89,3,0)*VLOOKUP('Données projet'!$B$15,Paramètres!$A$1:$I$89,5,0)</f>
        <v>-1.0197709343628959E-13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247.31680974612766</v>
      </c>
      <c r="EP203" s="59">
        <f t="shared" si="210"/>
        <v>257.13949761071882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8.1076266462636717</v>
      </c>
      <c r="EW203" s="21">
        <f>EXP(-LN(2)/25)*EW202+(1-EXP(-LN(2)/25))/(LN(2)/25)*Calculateur!ER203*Calculateur!ET203*VLOOKUP('Données projet'!$B$15,Paramètres!$A$1:$I$89,3,0)*0.475*44/12</f>
        <v>0.74507216200473902</v>
      </c>
      <c r="EX203" s="21">
        <f>EXP(-LN(2)/2)*EX202+(1-EXP(-LN(2)/2))/(LN(2)/2)*ER203*EU203*VLOOKUP('Données projet'!$B$15,Paramètres!$A$1:$I$89,3,0)*0.475*44/12</f>
        <v>2.7073585759109171E-20</v>
      </c>
      <c r="EY203" s="22">
        <f t="shared" si="181"/>
        <v>8.8526988082684106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1.1671681906248585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1.3070441688874561</v>
      </c>
      <c r="BV205" s="82">
        <f>EXP(LN('Données projet'!B114)/'Données projet'!A114)</f>
        <v>1.2116448776253546</v>
      </c>
      <c r="CQ205" s="82">
        <f>EXP(LN('Données projet'!B140)/'Données projet'!A140)</f>
        <v>1.1440997575339091</v>
      </c>
      <c r="DL205" s="82">
        <f>EXP(LN('Données projet'!B166)/'Données projet'!A166)</f>
        <v>1.1577536725165907</v>
      </c>
      <c r="EG205" s="82">
        <f>EXP(LN('Données projet'!B192)/'Données projet'!A192)</f>
        <v>1.3292852468636394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4" x14ac:dyDescent="0.3"/>
  <cols>
    <col min="1" max="1" width="23.3984375" style="4" bestFit="1" customWidth="1"/>
    <col min="2" max="2" width="27.69921875" style="4" bestFit="1" customWidth="1"/>
    <col min="3" max="3" width="11.8984375" style="4" bestFit="1" customWidth="1"/>
    <col min="4" max="4" width="40" style="4" bestFit="1" customWidth="1"/>
    <col min="5" max="5" width="11.8984375" style="4" bestFit="1" customWidth="1"/>
    <col min="6" max="6" width="13.69921875" style="4" bestFit="1" customWidth="1"/>
    <col min="7" max="7" width="11.3984375" style="4" bestFit="1" customWidth="1"/>
    <col min="8" max="8" width="39" style="4" bestFit="1" customWidth="1"/>
    <col min="9" max="9" width="16.69921875" style="4" customWidth="1"/>
    <col min="10" max="14" width="11.3984375" style="4"/>
    <col min="15" max="15" width="23.3984375" style="4" bestFit="1" customWidth="1"/>
    <col min="16" max="16384" width="11.3984375" style="4"/>
  </cols>
  <sheetData>
    <row r="1" spans="1:16" ht="43.8" thickBot="1" x14ac:dyDescent="0.35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 x14ac:dyDescent="0.3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 x14ac:dyDescent="0.35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 x14ac:dyDescent="0.3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 x14ac:dyDescent="0.35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137</v>
      </c>
      <c r="B13" s="123" t="s">
        <v>138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139</v>
      </c>
      <c r="B14" s="123" t="s">
        <v>140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141</v>
      </c>
      <c r="B15" s="123" t="s">
        <v>142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143</v>
      </c>
      <c r="B16" s="123" t="s">
        <v>144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145</v>
      </c>
      <c r="B17" s="123" t="s">
        <v>146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147</v>
      </c>
      <c r="B18" s="123" t="s">
        <v>148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149</v>
      </c>
      <c r="B19" s="123" t="s">
        <v>150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110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155</v>
      </c>
      <c r="B21" s="123" t="s">
        <v>156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157</v>
      </c>
      <c r="B22" s="123" t="s">
        <v>158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159</v>
      </c>
      <c r="B23" s="123" t="s">
        <v>160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161</v>
      </c>
      <c r="B24" s="123" t="s">
        <v>162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163</v>
      </c>
      <c r="B25" s="123" t="s">
        <v>164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165</v>
      </c>
      <c r="B26" s="123" t="s">
        <v>166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168</v>
      </c>
      <c r="B27" s="123" t="s">
        <v>169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170</v>
      </c>
      <c r="B28" s="123" t="s">
        <v>171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172</v>
      </c>
      <c r="B29" s="123" t="s">
        <v>172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173</v>
      </c>
      <c r="B30" s="123" t="s">
        <v>174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175</v>
      </c>
      <c r="B31" s="123" t="s">
        <v>176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177</v>
      </c>
      <c r="B32" s="123" t="s">
        <v>178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180</v>
      </c>
      <c r="B33" s="123" t="s">
        <v>181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110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186</v>
      </c>
      <c r="B35" s="123" t="s">
        <v>187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188</v>
      </c>
      <c r="B36" s="123" t="s">
        <v>189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190</v>
      </c>
      <c r="B37" s="123" t="s">
        <v>191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192</v>
      </c>
      <c r="B38" s="123" t="s">
        <v>193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110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110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110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110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110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110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110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110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110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110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110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110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110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210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110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211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110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212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110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213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110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214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110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215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110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216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110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217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110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218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110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219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110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220</v>
      </c>
      <c r="B62" s="123" t="s">
        <v>221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222</v>
      </c>
      <c r="B63" s="123" t="s">
        <v>223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225</v>
      </c>
      <c r="B64" s="123" t="s">
        <v>226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227</v>
      </c>
      <c r="B65" s="123" t="s">
        <v>228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229</v>
      </c>
      <c r="B66" s="123" t="s">
        <v>230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231</v>
      </c>
      <c r="B67" s="123" t="s">
        <v>232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233</v>
      </c>
      <c r="B68" s="123" t="s">
        <v>234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235</v>
      </c>
      <c r="B69" s="123" t="s">
        <v>236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237</v>
      </c>
      <c r="B70" s="123" t="s">
        <v>238</v>
      </c>
      <c r="C70" s="124">
        <v>0.48</v>
      </c>
      <c r="D70" s="124" t="s">
        <v>109</v>
      </c>
      <c r="E70" s="124">
        <v>2.4</v>
      </c>
      <c r="F70" s="124" t="s">
        <v>239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240</v>
      </c>
      <c r="B71" s="123" t="s">
        <v>241</v>
      </c>
      <c r="C71" s="124">
        <v>0.46</v>
      </c>
      <c r="D71" s="124" t="s">
        <v>242</v>
      </c>
      <c r="E71" s="124">
        <v>1.3</v>
      </c>
      <c r="F71" s="125" t="s">
        <v>110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243</v>
      </c>
      <c r="B72" s="123" t="s">
        <v>244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245</v>
      </c>
      <c r="B73" s="123" t="s">
        <v>246</v>
      </c>
      <c r="C73" s="124">
        <v>0.46</v>
      </c>
      <c r="D73" s="124" t="s">
        <v>247</v>
      </c>
      <c r="E73" s="124">
        <v>1.3</v>
      </c>
      <c r="F73" s="125" t="s">
        <v>110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248</v>
      </c>
      <c r="B74" s="123" t="s">
        <v>249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250</v>
      </c>
      <c r="B75" s="123" t="s">
        <v>251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252</v>
      </c>
      <c r="B76" s="123" t="s">
        <v>253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254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255</v>
      </c>
      <c r="B77" s="123" t="s">
        <v>256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257</v>
      </c>
      <c r="B78" s="123" t="s">
        <v>258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259</v>
      </c>
      <c r="B79" s="123" t="s">
        <v>260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261</v>
      </c>
      <c r="B80" s="123" t="s">
        <v>262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263</v>
      </c>
      <c r="B81" s="123" t="s">
        <v>264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265</v>
      </c>
      <c r="B82" s="123" t="s">
        <v>266</v>
      </c>
      <c r="C82" s="124">
        <v>0.35</v>
      </c>
      <c r="D82" s="124" t="s">
        <v>267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268</v>
      </c>
      <c r="B83" s="123" t="s">
        <v>269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270</v>
      </c>
      <c r="B84" s="123" t="s">
        <v>271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272</v>
      </c>
      <c r="B85" s="123" t="s">
        <v>273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274</v>
      </c>
      <c r="B86" s="123" t="s">
        <v>275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276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277</v>
      </c>
      <c r="B87" s="252" t="s">
        <v>278</v>
      </c>
      <c r="C87" s="253">
        <v>0.41</v>
      </c>
      <c r="D87" s="253" t="s">
        <v>279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280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 x14ac:dyDescent="0.35">
      <c r="A89" s="133" t="s">
        <v>69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 x14ac:dyDescent="0.3">
      <c r="A93" s="122" t="s">
        <v>70</v>
      </c>
    </row>
    <row r="94" spans="1:14" x14ac:dyDescent="0.3">
      <c r="A94" s="122" t="s">
        <v>71</v>
      </c>
    </row>
    <row r="95" spans="1:14" x14ac:dyDescent="0.3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1" zoomScale="90" zoomScaleNormal="90" workbookViewId="0">
      <selection activeCell="I21" sqref="I21"/>
    </sheetView>
  </sheetViews>
  <sheetFormatPr baseColWidth="10" defaultColWidth="11.3984375" defaultRowHeight="14.4" x14ac:dyDescent="0.3"/>
  <cols>
    <col min="1" max="1" width="22.898437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2"/>
    <col min="14" max="15" width="11.3984375" style="1"/>
    <col min="16" max="17" width="13.3984375" style="1" customWidth="1"/>
    <col min="18" max="16384" width="11.398437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55000000000000004">
      <c r="A2" s="272" t="s">
        <v>281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2" thickBot="1" x14ac:dyDescent="0.35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1.3357760000000001</v>
      </c>
      <c r="C6" s="147">
        <f ca="1">IF(OR('Données projet'!B9="",'Données projet'!C9="",'Données projet'!C9=0%),0,Calculateur!S3)</f>
        <v>223.99456146593315</v>
      </c>
      <c r="D6" s="147">
        <f>IF(OR('Données projet'!B9="",'Données projet'!C9="",'Données projet'!C9=0%),0,Calculateur!T3)</f>
        <v>132.73290587325937</v>
      </c>
      <c r="E6" s="147">
        <f ca="1">MIN(C6,D6)</f>
        <v>132.73290587325937</v>
      </c>
      <c r="F6" s="147">
        <f ca="1">E6*B6</f>
        <v>177.30143007575893</v>
      </c>
      <c r="G6" s="147">
        <f ca="1">F6*(100%-'Données projet'!$C$24)*(100%-'Données projet'!$C$25)*(100%-'Données projet'!$C$26)*(100%-'Données projet'!$C$27)</f>
        <v>159.57128706818304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159.57128706818304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Aulne glutineux</v>
      </c>
      <c r="B7" s="154">
        <f>'Données projet'!D10</f>
        <v>0.41100799999999998</v>
      </c>
      <c r="C7" s="147">
        <f ca="1">IF(OR('Données projet'!B10="",'Données projet'!C10="",'Données projet'!C10=0%),0,Calculateur!AN3)</f>
        <v>244.43587473734613</v>
      </c>
      <c r="D7" s="147">
        <f>IF(OR('Données projet'!B10="",'Données projet'!C10="",'Données projet'!C10=0%),0,Calculateur!AO3)</f>
        <v>256.80261402149375</v>
      </c>
      <c r="E7" s="147">
        <f t="shared" ref="E7:E15" ca="1" si="0">MIN(C7,D7)</f>
        <v>244.43587473734613</v>
      </c>
      <c r="F7" s="147">
        <f t="shared" ref="F7:F15" ca="1" si="1">E7*B7</f>
        <v>100.46510000404716</v>
      </c>
      <c r="G7" s="147">
        <f ca="1">F7*(100%-'Données projet'!$C$24)*(100%-'Données projet'!$C$25)*(100%-'Données projet'!$C$26)*(100%-'Données projet'!$C$27)</f>
        <v>90.41859000364245</v>
      </c>
      <c r="H7" s="155">
        <f>IF(OR('Données projet'!B10="",'Données projet'!C10="",'Données projet'!C10=0%),0,AVERAGE(Calculateur!$AX$3:$AX$33)*B7)</f>
        <v>0.46035223756798832</v>
      </c>
      <c r="I7" s="149">
        <f>H7*(100%-'Données projet'!$C$24)*(100%-'Données projet'!$C$25)*(100%-'Données projet'!$C$26)*(100%-'Données projet'!$C$27)</f>
        <v>0.41431701381118952</v>
      </c>
      <c r="J7" s="150">
        <f>IF(OR('Données projet'!B10="",'Données projet'!C10="",'Données projet'!C10=0%),0,SUM(Calculateur!$AQ$3:$AQ$33)*VLOOKUP('Données projet'!$B$10,Paramètres!$A$1:$I$89,9,0)*B7)</f>
        <v>6.0623680000000002</v>
      </c>
      <c r="K7" s="151">
        <f>J7*(100%-'Données projet'!$C$24)*(100%-'Données projet'!$C$25)*(100%-'Données projet'!$C$26)*(100%-'Données projet'!$C$27)</f>
        <v>5.4561312000000006</v>
      </c>
      <c r="L7" s="152">
        <f t="shared" ref="L7:L15" ca="1" si="2">G7+I7+K7</f>
        <v>96.289038217453637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Douglas</v>
      </c>
      <c r="B8" s="154">
        <f>'Données projet'!D11</f>
        <v>5.6513600000000004</v>
      </c>
      <c r="C8" s="147">
        <f ca="1">IF(OR('Données projet'!B11="",'Données projet'!C11="",'Données projet'!C11=0%),0,Calculateur!BI3)</f>
        <v>430.60186171079067</v>
      </c>
      <c r="D8" s="147">
        <f>IF(OR('Données projet'!B11="",'Données projet'!C11="",'Données projet'!C11=0%),0,Calculateur!BJ3)</f>
        <v>533.76627289533985</v>
      </c>
      <c r="E8" s="147">
        <f t="shared" ca="1" si="0"/>
        <v>430.60186171079067</v>
      </c>
      <c r="F8" s="147">
        <f t="shared" ca="1" si="1"/>
        <v>2433.4861371978941</v>
      </c>
      <c r="G8" s="147">
        <f ca="1">F8*(100%-'Données projet'!$C$24)*(100%-'Données projet'!$C$25)*(100%-'Données projet'!$C$26)*(100%-'Données projet'!$C$27)</f>
        <v>2190.1375234781049</v>
      </c>
      <c r="H8" s="155">
        <f>IF(OR('Données projet'!B11="",'Données projet'!C11="",'Données projet'!C11=0%),0,AVERAGE(Calculateur!$BS$3:$BS$33)*B8)</f>
        <v>25.046380930116129</v>
      </c>
      <c r="I8" s="149">
        <f>H8*(100%-'Données projet'!$C$24)*(100%-'Données projet'!$C$25)*(100%-'Données projet'!$C$26)*(100%-'Données projet'!$C$27)</f>
        <v>22.541742837104518</v>
      </c>
      <c r="J8" s="150">
        <f>IF(OR('Données projet'!B11="",'Données projet'!C11="",'Données projet'!C11=0%),0,SUM(Calculateur!$BL$3:$BL$33)*VLOOKUP('Données projet'!$B$11,Paramètres!$A$1:$I$89,9,0)*B8)</f>
        <v>262.44915839999999</v>
      </c>
      <c r="K8" s="151">
        <f>J8*(100%-'Données projet'!$C$24)*(100%-'Données projet'!$C$25)*(100%-'Données projet'!$C$26)*(100%-'Données projet'!$C$27)</f>
        <v>236.20424255999998</v>
      </c>
      <c r="L8" s="152">
        <f t="shared" ca="1" si="2"/>
        <v>2448.8835088752094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Pin laricio</v>
      </c>
      <c r="B9" s="154">
        <f>'Données projet'!D12</f>
        <v>1.1302719999999999</v>
      </c>
      <c r="C9" s="147">
        <f ca="1">IF(OR('Données projet'!B12="",'Données projet'!C12="",'Données projet'!C12=0%),0,Calculateur!CD3)</f>
        <v>215.89467197072673</v>
      </c>
      <c r="D9" s="147">
        <f>IF(OR('Données projet'!B12="",'Données projet'!C12="",'Données projet'!C12=0%),0,Calculateur!CE3)</f>
        <v>188.21397398859534</v>
      </c>
      <c r="E9" s="147">
        <f t="shared" ca="1" si="0"/>
        <v>188.21397398859534</v>
      </c>
      <c r="F9" s="147">
        <f t="shared" ca="1" si="1"/>
        <v>212.73298480803763</v>
      </c>
      <c r="G9" s="147">
        <f ca="1">F9*(100%-'Données projet'!$C$24)*(100%-'Données projet'!$C$25)*(100%-'Données projet'!$C$26)*(100%-'Données projet'!$C$27)</f>
        <v>191.45968632723387</v>
      </c>
      <c r="H9" s="155">
        <f>IF(OR('Données projet'!B12="",'Données projet'!C12="",'Données projet'!C12=0%),0,AVERAGE(Calculateur!$CN$3:$CN$33)*B9)</f>
        <v>3.7626805647208146</v>
      </c>
      <c r="I9" s="149">
        <f>H9*(100%-'Données projet'!$C$24)*(100%-'Données projet'!$C$25)*(100%-'Données projet'!$C$26)*(100%-'Données projet'!$C$27)</f>
        <v>3.3864125082487333</v>
      </c>
      <c r="J9" s="150">
        <f>IF(OR('Données projet'!B12="",'Données projet'!C12="",'Données projet'!C12=0%),0,SUM(Calculateur!$CG$3:$CG$33)*VLOOKUP('Données projet'!$B$12,Paramètres!$A$1:$I$89,9,0)*B9)</f>
        <v>25.003703295999994</v>
      </c>
      <c r="K9" s="151">
        <f>J9*(100%-'Données projet'!$C$24)*(100%-'Données projet'!$C$25)*(100%-'Données projet'!$C$26)*(100%-'Données projet'!$C$27)</f>
        <v>22.503332966399995</v>
      </c>
      <c r="L9" s="152">
        <f t="shared" ca="1" si="2"/>
        <v>217.34943180188259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pubescent</v>
      </c>
      <c r="B10" s="154">
        <f>'Données projet'!D13</f>
        <v>0.51375999999999999</v>
      </c>
      <c r="C10" s="147">
        <f ca="1">IF(OR('Données projet'!B13="",'Données projet'!C13="",'Données projet'!C13=0%),0,Calculateur!CY3)</f>
        <v>342.82846711287749</v>
      </c>
      <c r="D10" s="147">
        <f>IF(OR('Données projet'!B13="",'Données projet'!C13="",'Données projet'!C13=0%),0,Calculateur!CZ3)</f>
        <v>152.87724741106297</v>
      </c>
      <c r="E10" s="147">
        <f t="shared" ca="1" si="0"/>
        <v>152.87724741106297</v>
      </c>
      <c r="F10" s="147">
        <f t="shared" ca="1" si="1"/>
        <v>78.542214629907704</v>
      </c>
      <c r="G10" s="147">
        <f ca="1">F10*(100%-'Données projet'!$C$24)*(100%-'Données projet'!$C$25)*(100%-'Données projet'!$C$26)*(100%-'Données projet'!$C$27)</f>
        <v>70.687993166916939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70.687993166916939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Châtaignier</v>
      </c>
      <c r="B11" s="154">
        <f>'Données projet'!D14</f>
        <v>0.51375999999999999</v>
      </c>
      <c r="C11" s="147">
        <f ca="1">IF(OR('Données projet'!B14="",'Données projet'!C14="",'Données projet'!C14=0%),0,Calculateur!DT3)</f>
        <v>208.48147873805715</v>
      </c>
      <c r="D11" s="147">
        <f>IF(OR('Données projet'!B14="",'Données projet'!C14="",'Données projet'!C14=0%),0,Calculateur!DU3)</f>
        <v>209.50570914630686</v>
      </c>
      <c r="E11" s="147">
        <f t="shared" ca="1" si="0"/>
        <v>208.48147873805715</v>
      </c>
      <c r="F11" s="147">
        <f t="shared" ca="1" si="1"/>
        <v>107.10944451646424</v>
      </c>
      <c r="G11" s="147">
        <f ca="1">F11*(100%-'Données projet'!$C$24)*(100%-'Données projet'!$C$25)*(100%-'Données projet'!$C$26)*(100%-'Données projet'!$C$27)</f>
        <v>96.39850006481781</v>
      </c>
      <c r="H11" s="155">
        <f>IF(OR('Données projet'!B14="",'Données projet'!C14="",'Données projet'!C14=0%),0,AVERAGE(Calculateur!$ED$3:$ED$33)*B11)</f>
        <v>6.0410517707680392E-3</v>
      </c>
      <c r="I11" s="149">
        <f>H11*(100%-'Données projet'!$C$24)*(100%-'Données projet'!$C$25)*(100%-'Données projet'!$C$26)*(100%-'Données projet'!$C$27)</f>
        <v>5.4369465936912357E-3</v>
      </c>
      <c r="J11" s="150">
        <f>IF(OR('Données projet'!B14="",'Données projet'!C14="",'Données projet'!C14=0%),0,SUM(Calculateur!$DW$3:$DW$33)*VLOOKUP('Données projet'!$B$14,Paramètres!$A$1:$I$89,9,0)*B11)</f>
        <v>8.0917200000000005</v>
      </c>
      <c r="K11" s="151">
        <f>J11*(100%-'Données projet'!$C$24)*(100%-'Données projet'!$C$25)*(100%-'Données projet'!$C$26)*(100%-'Données projet'!$C$27)</f>
        <v>7.2825480000000002</v>
      </c>
      <c r="L11" s="152">
        <f t="shared" ca="1" si="2"/>
        <v>103.68648501141151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Pin maritime</v>
      </c>
      <c r="B12" s="154">
        <f>'Données projet'!D15</f>
        <v>0.71926400000000001</v>
      </c>
      <c r="C12" s="147">
        <f ca="1">IF(OR('Données projet'!B15="",'Données projet'!C15="",'Données projet'!C15=0%),0,Calculateur!EO3)</f>
        <v>247.31680974612766</v>
      </c>
      <c r="D12" s="147">
        <f>IF(OR('Données projet'!B15="",'Données projet'!C15="",'Données projet'!C15=0%),0,Calculateur!EP3)</f>
        <v>257.13949761071882</v>
      </c>
      <c r="E12" s="147">
        <f t="shared" ca="1" si="0"/>
        <v>247.31680974612766</v>
      </c>
      <c r="F12" s="147">
        <f t="shared" ca="1" si="1"/>
        <v>177.88607784523876</v>
      </c>
      <c r="G12" s="147">
        <f ca="1">F12*(100%-'Données projet'!$C$24)*(100%-'Données projet'!$C$25)*(100%-'Données projet'!$C$26)*(100%-'Données projet'!$C$27)</f>
        <v>160.0974700607149</v>
      </c>
      <c r="H12" s="155">
        <f>IF(OR('Données projet'!B15="",'Données projet'!C15="",'Données projet'!C15=0%),0,AVERAGE(Calculateur!$EY$3:$EY$33)*B12)</f>
        <v>7.1343100809477669</v>
      </c>
      <c r="I12" s="149">
        <f>H12*(100%-'Données projet'!$C$24)*(100%-'Données projet'!$C$25)*(100%-'Données projet'!$C$26)*(100%-'Données projet'!$C$27)</f>
        <v>6.4208790728529905</v>
      </c>
      <c r="J12" s="150">
        <f>IF(OR('Données projet'!B15="",'Données projet'!C15="",'Données projet'!C15=0%),0,SUM(Calculateur!$ER$3:$ER$33)*VLOOKUP('Données projet'!$B$15,Paramètres!$A$1:$I$89,9,0)*B12)</f>
        <v>61.043382399999999</v>
      </c>
      <c r="K12" s="151">
        <f>J12*(100%-'Données projet'!$C$24)*(100%-'Données projet'!$C$25)*(100%-'Données projet'!$C$26)*(100%-'Données projet'!$C$27)</f>
        <v>54.939044160000002</v>
      </c>
      <c r="L12" s="152">
        <f t="shared" ca="1" si="2"/>
        <v>221.45739329356789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3287.5233890773484</v>
      </c>
      <c r="G16" s="166">
        <f t="shared" ca="1" si="3"/>
        <v>2958.7710501696138</v>
      </c>
      <c r="H16" s="167">
        <f t="shared" si="3"/>
        <v>36.409764865123464</v>
      </c>
      <c r="I16" s="167">
        <f t="shared" si="3"/>
        <v>32.76878837861112</v>
      </c>
      <c r="J16" s="168">
        <f t="shared" si="3"/>
        <v>362.65033209599994</v>
      </c>
      <c r="K16" s="168">
        <f t="shared" si="3"/>
        <v>326.38529888639994</v>
      </c>
      <c r="L16" s="169">
        <f t="shared" ca="1" si="3"/>
        <v>3317.9251374346245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292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2" zoomScale="80" zoomScaleNormal="80" workbookViewId="0">
      <selection activeCell="I21" sqref="I21"/>
    </sheetView>
  </sheetViews>
  <sheetFormatPr baseColWidth="10" defaultColWidth="11.3984375" defaultRowHeight="14.4" x14ac:dyDescent="0.3"/>
  <cols>
    <col min="1" max="1" width="11.3984375" style="1"/>
    <col min="2" max="2" width="30.8984375" style="1" bestFit="1" customWidth="1"/>
    <col min="3" max="3" width="18.09765625" style="1" bestFit="1" customWidth="1"/>
    <col min="4" max="5" width="11.3984375" style="1"/>
    <col min="6" max="6" width="14" style="1" customWidth="1"/>
    <col min="7" max="7" width="17.59765625" style="1" customWidth="1"/>
    <col min="8" max="8" width="21.69921875" style="1" customWidth="1"/>
    <col min="9" max="9" width="37" style="1" customWidth="1"/>
    <col min="10" max="10" width="11.3984375" style="1"/>
    <col min="11" max="11" width="8.898437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09765625" style="1" customWidth="1"/>
    <col min="21" max="21" width="16.3984375" style="1" customWidth="1"/>
    <col min="22" max="22" width="17.8984375" style="1" customWidth="1"/>
    <col min="23" max="16384" width="11.398437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55000000000000004">
      <c r="A2" s="4"/>
      <c r="B2" s="272" t="s">
        <v>293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294</v>
      </c>
      <c r="I4" s="258"/>
      <c r="K4" s="300" t="s">
        <v>295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8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2" t="s">
        <v>296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714.34927995845419</v>
      </c>
      <c r="U10" s="178">
        <f>'Données projet'!D9</f>
        <v>1.3357760000000001</v>
      </c>
      <c r="V10" s="177">
        <f>U10*T10</f>
        <v>954.21062378578415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Aulne glutineux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55.745270375089348</v>
      </c>
      <c r="U11" s="178">
        <f>'Données projet'!D10</f>
        <v>0.41100799999999998</v>
      </c>
      <c r="V11" s="177">
        <f t="shared" ref="V11" si="0">U11*T11</f>
        <v>22.911752086324721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4191.5498626178669</v>
      </c>
      <c r="U12" s="178">
        <f>'Données projet'!D11</f>
        <v>5.6513600000000004</v>
      </c>
      <c r="V12" s="177">
        <f t="shared" ref="V12:V19" si="1">U12*T12</f>
        <v>23687.957231604109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1208.8526078105704</v>
      </c>
      <c r="U13" s="178">
        <f>'Données projet'!D12</f>
        <v>1.1302719999999999</v>
      </c>
      <c r="V13" s="177">
        <f t="shared" si="1"/>
        <v>1366.3322547352689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74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pubescent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175.38169839076136</v>
      </c>
      <c r="U14" s="178">
        <f>'Données projet'!D13</f>
        <v>0.51375999999999999</v>
      </c>
      <c r="V14" s="177">
        <f t="shared" si="1"/>
        <v>90.104101365237554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308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446.02600630780205</v>
      </c>
      <c r="U15" s="178">
        <f>'Données projet'!D14</f>
        <v>0.51375999999999999</v>
      </c>
      <c r="V15" s="177">
        <f t="shared" si="1"/>
        <v>229.15032100069638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44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303"/>
      <c r="H16" s="190"/>
      <c r="I16" s="191"/>
      <c r="J16" s="202"/>
      <c r="K16" s="208"/>
      <c r="L16" s="300" t="s">
        <v>313</v>
      </c>
      <c r="M16" s="301"/>
      <c r="N16" s="2"/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2615.6084985005723</v>
      </c>
      <c r="U16" s="178">
        <f>'Données projet'!D15</f>
        <v>0.71926400000000001</v>
      </c>
      <c r="V16" s="177">
        <f t="shared" si="1"/>
        <v>1881.3130310655156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F17" s="230"/>
      <c r="G17" s="303"/>
      <c r="J17" s="202"/>
      <c r="K17" s="208"/>
      <c r="L17" s="260" t="s">
        <v>314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F18" s="230"/>
      <c r="G18" s="303"/>
      <c r="J18" s="202"/>
      <c r="K18" s="208"/>
      <c r="L18" s="260" t="s">
        <v>310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3" customHeight="1" x14ac:dyDescent="0.3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303"/>
      <c r="H19" s="212" t="s">
        <v>74</v>
      </c>
      <c r="I19" s="212" t="s">
        <v>315</v>
      </c>
      <c r="J19" s="93"/>
      <c r="K19" s="173"/>
      <c r="L19" s="300" t="s">
        <v>316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303"/>
      <c r="H20" s="190">
        <v>1</v>
      </c>
      <c r="I20" s="191">
        <f>76404.78/10.2752</f>
        <v>7435.8435845530985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" customHeight="1" x14ac:dyDescent="0.3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" customHeight="1" x14ac:dyDescent="0.3">
      <c r="A23" s="180">
        <f>'Données projet'!A36</f>
        <v>30</v>
      </c>
      <c r="B23" s="181">
        <f>'Données projet'!D36</f>
        <v>0</v>
      </c>
      <c r="C23" s="193">
        <v>10</v>
      </c>
      <c r="D23" s="182">
        <f>B23*C23</f>
        <v>0</v>
      </c>
      <c r="E23" s="193">
        <v>0</v>
      </c>
      <c r="F23" s="230"/>
      <c r="H23" s="190"/>
      <c r="I23" s="191"/>
      <c r="K23" s="208"/>
      <c r="L23" s="302" t="s">
        <v>317</v>
      </c>
      <c r="M23" s="302"/>
      <c r="N23" s="302"/>
      <c r="O23" s="23"/>
      <c r="P23" s="23"/>
      <c r="Q23" s="234"/>
      <c r="R23" s="23"/>
      <c r="S23" s="36" t="s">
        <v>318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-44882.642693926435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" customHeight="1" x14ac:dyDescent="0.3">
      <c r="A24" s="180">
        <f>'Données projet'!A37</f>
        <v>51</v>
      </c>
      <c r="B24" s="181">
        <f>'Données projet'!D37</f>
        <v>100.30769230769231</v>
      </c>
      <c r="C24" s="193">
        <v>18</v>
      </c>
      <c r="D24" s="182">
        <f t="shared" ref="D24:D42" si="2">B24*C24</f>
        <v>1805.5384615384614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319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" customHeight="1" x14ac:dyDescent="0.3">
      <c r="A25" s="180">
        <f>'Données projet'!A38</f>
        <v>63</v>
      </c>
      <c r="B25" s="181">
        <f>'Données projet'!D38</f>
        <v>108.08461538461538</v>
      </c>
      <c r="C25" s="193">
        <v>25</v>
      </c>
      <c r="D25" s="182">
        <f t="shared" si="2"/>
        <v>2702.1153846153843</v>
      </c>
      <c r="E25" s="193">
        <v>150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>
        <v>0</v>
      </c>
      <c r="Q25" s="234"/>
      <c r="R25" s="23"/>
      <c r="S25" s="186" t="s">
        <v>321</v>
      </c>
      <c r="T25" s="299">
        <f ca="1">T23-T24</f>
        <v>-44882.642693926435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" customHeight="1" x14ac:dyDescent="0.3">
      <c r="A26" s="180">
        <f>'Données projet'!A39</f>
        <v>75</v>
      </c>
      <c r="B26" s="181">
        <f>'Données projet'!D39</f>
        <v>85.361538461538458</v>
      </c>
      <c r="C26" s="193">
        <v>35</v>
      </c>
      <c r="D26" s="182">
        <f t="shared" si="2"/>
        <v>2987.6538461538462</v>
      </c>
      <c r="E26" s="193">
        <v>150</v>
      </c>
      <c r="F26" s="233"/>
      <c r="G26" s="229"/>
      <c r="H26" s="190"/>
      <c r="I26" s="191"/>
      <c r="K26" s="208"/>
      <c r="L26" s="286" t="s">
        <v>322</v>
      </c>
      <c r="M26" s="287"/>
      <c r="N26" s="287"/>
      <c r="O26" s="287"/>
      <c r="P26" s="288"/>
      <c r="Q26" s="234"/>
      <c r="R26" s="23"/>
      <c r="S26" s="186" t="s">
        <v>323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" customHeight="1" x14ac:dyDescent="0.3">
      <c r="A27" s="180">
        <f>'Données projet'!A40</f>
        <v>87</v>
      </c>
      <c r="B27" s="181">
        <f>'Données projet'!D40</f>
        <v>82.938461538461524</v>
      </c>
      <c r="C27" s="193">
        <v>40</v>
      </c>
      <c r="D27" s="182">
        <f t="shared" si="2"/>
        <v>3317.538461538461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324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" customHeight="1" x14ac:dyDescent="0.3">
      <c r="A28" s="180">
        <f>'Données projet'!A41</f>
        <v>99</v>
      </c>
      <c r="B28" s="181">
        <f>'Données projet'!D41</f>
        <v>198.32307692307691</v>
      </c>
      <c r="C28" s="193">
        <v>45</v>
      </c>
      <c r="D28" s="182">
        <f t="shared" si="2"/>
        <v>8924.538461538461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109</v>
      </c>
      <c r="B29" s="181">
        <f>'Données projet'!D42</f>
        <v>256.09230769230771</v>
      </c>
      <c r="C29" s="193">
        <v>45</v>
      </c>
      <c r="D29" s="182">
        <f t="shared" si="2"/>
        <v>11524.153846153848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17</v>
      </c>
      <c r="B45" s="174" t="str">
        <f>IF('Données projet'!$B$10="","",'Données projet'!$B$10)</f>
        <v>Aulne glutineux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45" customHeight="1" x14ac:dyDescent="0.3">
      <c r="A47" s="36" t="s">
        <v>44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3" customHeight="1" x14ac:dyDescent="0.3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1</v>
      </c>
      <c r="C54" s="191">
        <v>10</v>
      </c>
      <c r="D54" s="179">
        <f>B54*C54</f>
        <v>10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4</v>
      </c>
      <c r="C55" s="191">
        <v>10</v>
      </c>
      <c r="D55" s="179">
        <f t="shared" ref="D55:D73" si="4">B55*C55</f>
        <v>40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10</v>
      </c>
      <c r="C56" s="191">
        <v>10</v>
      </c>
      <c r="D56" s="179">
        <f t="shared" si="4"/>
        <v>100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21</v>
      </c>
      <c r="C57" s="191">
        <v>10</v>
      </c>
      <c r="D57" s="179">
        <f t="shared" si="4"/>
        <v>210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23</v>
      </c>
      <c r="C58" s="191">
        <v>10</v>
      </c>
      <c r="D58" s="179">
        <f t="shared" si="4"/>
        <v>230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25</v>
      </c>
      <c r="C59" s="191">
        <v>10</v>
      </c>
      <c r="D59" s="179">
        <f t="shared" si="4"/>
        <v>250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25</v>
      </c>
      <c r="C60" s="191">
        <v>10</v>
      </c>
      <c r="D60" s="179">
        <f t="shared" si="4"/>
        <v>250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25</v>
      </c>
      <c r="C61" s="191">
        <v>10</v>
      </c>
      <c r="D61" s="179">
        <f t="shared" si="4"/>
        <v>250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24</v>
      </c>
      <c r="C62" s="191">
        <v>10</v>
      </c>
      <c r="D62" s="179">
        <f t="shared" si="4"/>
        <v>240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23</v>
      </c>
      <c r="C63" s="191">
        <v>10</v>
      </c>
      <c r="D63" s="179">
        <f t="shared" si="4"/>
        <v>230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22</v>
      </c>
      <c r="C64" s="191">
        <v>10</v>
      </c>
      <c r="D64" s="179">
        <f t="shared" si="4"/>
        <v>220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20</v>
      </c>
      <c r="C65" s="191">
        <v>10</v>
      </c>
      <c r="D65" s="179">
        <f t="shared" si="4"/>
        <v>200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19</v>
      </c>
      <c r="C66" s="191">
        <v>10</v>
      </c>
      <c r="D66" s="179">
        <f t="shared" si="4"/>
        <v>190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18</v>
      </c>
      <c r="C67" s="191">
        <v>10</v>
      </c>
      <c r="D67" s="179">
        <f t="shared" si="4"/>
        <v>180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16</v>
      </c>
      <c r="C68" s="191">
        <v>10</v>
      </c>
      <c r="D68" s="179">
        <f t="shared" si="4"/>
        <v>160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85</v>
      </c>
      <c r="B69" s="181">
        <f>'Données projet'!D77</f>
        <v>15</v>
      </c>
      <c r="C69" s="191">
        <v>10</v>
      </c>
      <c r="D69" s="179">
        <f t="shared" si="4"/>
        <v>150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90</v>
      </c>
      <c r="B70" s="181">
        <f>'Données projet'!D78</f>
        <v>250</v>
      </c>
      <c r="C70" s="191">
        <v>10</v>
      </c>
      <c r="D70" s="179">
        <f t="shared" si="4"/>
        <v>2500</v>
      </c>
      <c r="E70" s="193">
        <v>150</v>
      </c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18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44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7" customHeight="1" x14ac:dyDescent="0.3">
      <c r="A84" s="49">
        <v>5</v>
      </c>
      <c r="B84" s="199" t="s">
        <v>195</v>
      </c>
      <c r="C84" s="198" t="s">
        <v>195</v>
      </c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7" customHeight="1" x14ac:dyDescent="0.3">
      <c r="A85" s="180">
        <f>'Données projet'!A88</f>
        <v>19</v>
      </c>
      <c r="B85" s="181">
        <f>'Données projet'!D88</f>
        <v>0</v>
      </c>
      <c r="C85" s="191">
        <v>10</v>
      </c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7" customHeight="1" x14ac:dyDescent="0.3">
      <c r="A86" s="180">
        <f>'Données projet'!A89</f>
        <v>25</v>
      </c>
      <c r="B86" s="181">
        <f>'Données projet'!D89</f>
        <v>54</v>
      </c>
      <c r="C86" s="191">
        <v>10</v>
      </c>
      <c r="D86" s="179">
        <f t="shared" ref="D86:D104" si="6">B86*C86</f>
        <v>540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7" customHeight="1" x14ac:dyDescent="0.3">
      <c r="A87" s="180">
        <f>'Données projet'!A90</f>
        <v>30</v>
      </c>
      <c r="B87" s="181">
        <f>'Données projet'!D90</f>
        <v>54</v>
      </c>
      <c r="C87" s="191">
        <v>18</v>
      </c>
      <c r="D87" s="179">
        <f t="shared" si="6"/>
        <v>972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7" customHeight="1" x14ac:dyDescent="0.3">
      <c r="A88" s="180">
        <f>'Données projet'!A91</f>
        <v>35</v>
      </c>
      <c r="B88" s="181">
        <f>'Données projet'!D91</f>
        <v>69</v>
      </c>
      <c r="C88" s="191">
        <v>25</v>
      </c>
      <c r="D88" s="179">
        <f t="shared" si="6"/>
        <v>1725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7" customHeight="1" x14ac:dyDescent="0.3">
      <c r="A89" s="180">
        <f>'Données projet'!A92</f>
        <v>40</v>
      </c>
      <c r="B89" s="181">
        <f>'Données projet'!D92</f>
        <v>72</v>
      </c>
      <c r="C89" s="191">
        <v>25</v>
      </c>
      <c r="D89" s="179">
        <f t="shared" si="6"/>
        <v>1800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7" customHeight="1" x14ac:dyDescent="0.3">
      <c r="A90" s="180">
        <f>'Données projet'!A93</f>
        <v>45</v>
      </c>
      <c r="B90" s="181">
        <f>'Données projet'!D93</f>
        <v>66</v>
      </c>
      <c r="C90" s="191">
        <v>35</v>
      </c>
      <c r="D90" s="179">
        <f t="shared" si="6"/>
        <v>2310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50</v>
      </c>
      <c r="B91" s="181">
        <f>'Données projet'!D94</f>
        <v>48</v>
      </c>
      <c r="C91" s="191">
        <v>40</v>
      </c>
      <c r="D91" s="179">
        <f t="shared" si="6"/>
        <v>1920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55</v>
      </c>
      <c r="B92" s="181">
        <f>'Données projet'!D95</f>
        <v>35</v>
      </c>
      <c r="C92" s="191">
        <v>45</v>
      </c>
      <c r="D92" s="179">
        <f t="shared" si="6"/>
        <v>1575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60</v>
      </c>
      <c r="B93" s="181">
        <f>'Données projet'!D96</f>
        <v>666</v>
      </c>
      <c r="C93" s="191">
        <v>55</v>
      </c>
      <c r="D93" s="179">
        <f t="shared" si="6"/>
        <v>36630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19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44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7" customHeight="1" x14ac:dyDescent="0.3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7" customHeight="1" x14ac:dyDescent="0.3">
      <c r="A116" s="180">
        <f>'Données projet'!A114</f>
        <v>25</v>
      </c>
      <c r="B116" s="181">
        <f>'Données projet'!D114</f>
        <v>51.446153846153841</v>
      </c>
      <c r="C116" s="191">
        <v>10</v>
      </c>
      <c r="D116" s="179">
        <f>B116*C116</f>
        <v>514.46153846153845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7" customHeight="1" x14ac:dyDescent="0.3">
      <c r="A117" s="180">
        <f>'Données projet'!A115</f>
        <v>30</v>
      </c>
      <c r="B117" s="181">
        <f>'Données projet'!D115</f>
        <v>0</v>
      </c>
      <c r="C117" s="191">
        <v>15</v>
      </c>
      <c r="D117" s="179">
        <f t="shared" ref="D117:D135" si="8">B117*C117</f>
        <v>0</v>
      </c>
      <c r="E117" s="193">
        <v>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7" customHeight="1" x14ac:dyDescent="0.3">
      <c r="A118" s="180">
        <f>'Données projet'!A116</f>
        <v>32</v>
      </c>
      <c r="B118" s="181">
        <f>'Données projet'!D116</f>
        <v>41.469230769230762</v>
      </c>
      <c r="C118" s="191">
        <v>25</v>
      </c>
      <c r="D118" s="179">
        <f t="shared" si="8"/>
        <v>1036.7307692307691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7" customHeight="1" x14ac:dyDescent="0.3">
      <c r="A119" s="180">
        <f>'Données projet'!A117</f>
        <v>40</v>
      </c>
      <c r="B119" s="181">
        <f>'Données projet'!D117</f>
        <v>48.323076923076918</v>
      </c>
      <c r="C119" s="191">
        <v>25</v>
      </c>
      <c r="D119" s="179">
        <f t="shared" si="8"/>
        <v>1208.0769230769229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7" customHeight="1" x14ac:dyDescent="0.3">
      <c r="A120" s="180">
        <f>'Données projet'!A118</f>
        <v>50</v>
      </c>
      <c r="B120" s="181">
        <f>'Données projet'!D118</f>
        <v>55.676923076923075</v>
      </c>
      <c r="C120" s="191">
        <v>25</v>
      </c>
      <c r="D120" s="179">
        <f t="shared" si="8"/>
        <v>1391.9230769230769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7" customHeight="1" x14ac:dyDescent="0.3">
      <c r="A121" s="180">
        <f>'Données projet'!A119</f>
        <v>60</v>
      </c>
      <c r="B121" s="181">
        <f>'Données projet'!D119</f>
        <v>50.076923076923073</v>
      </c>
      <c r="C121" s="191">
        <v>30</v>
      </c>
      <c r="D121" s="179">
        <f t="shared" si="8"/>
        <v>1502.3076923076922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70</v>
      </c>
      <c r="B122" s="181">
        <f>'Données projet'!D120</f>
        <v>54.215384615384615</v>
      </c>
      <c r="C122" s="191">
        <v>40</v>
      </c>
      <c r="D122" s="179">
        <f t="shared" si="8"/>
        <v>2168.6153846153848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80</v>
      </c>
      <c r="B123" s="181">
        <f>'Données projet'!D121</f>
        <v>310.16923076923081</v>
      </c>
      <c r="C123" s="191">
        <v>40</v>
      </c>
      <c r="D123" s="179">
        <f t="shared" si="8"/>
        <v>12406.769230769232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20</v>
      </c>
      <c r="B138" s="174" t="str">
        <f>IF('Données projet'!B13="","",'Données projet'!B13)</f>
        <v>Chêne pubescent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44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" customHeight="1" x14ac:dyDescent="0.3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" customHeight="1" x14ac:dyDescent="0.3">
      <c r="A147" s="42">
        <f>'Données projet'!A140</f>
        <v>30</v>
      </c>
      <c r="B147" s="175">
        <f>'Données projet'!D140</f>
        <v>0</v>
      </c>
      <c r="C147" s="191">
        <v>10</v>
      </c>
      <c r="D147" s="182">
        <f>B147*C147</f>
        <v>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" customHeight="1" x14ac:dyDescent="0.3">
      <c r="A148" s="42">
        <f>'Données projet'!A141</f>
        <v>60</v>
      </c>
      <c r="B148" s="175">
        <f>'Données projet'!D141</f>
        <v>60.096153846153847</v>
      </c>
      <c r="C148" s="191">
        <v>10</v>
      </c>
      <c r="D148" s="182">
        <f t="shared" ref="D148:D166" si="10">B148*C148</f>
        <v>600.96153846153845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" customHeight="1" x14ac:dyDescent="0.3">
      <c r="A149" s="42">
        <f>'Données projet'!A142</f>
        <v>69</v>
      </c>
      <c r="B149" s="175">
        <f>'Données projet'!D142</f>
        <v>32.807692307692307</v>
      </c>
      <c r="C149" s="191">
        <v>10</v>
      </c>
      <c r="D149" s="182">
        <f t="shared" si="10"/>
        <v>328.07692307692309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" customHeight="1" x14ac:dyDescent="0.3">
      <c r="A150" s="42">
        <f>'Données projet'!A143</f>
        <v>77</v>
      </c>
      <c r="B150" s="175">
        <f>'Données projet'!D143</f>
        <v>25.53846153846154</v>
      </c>
      <c r="C150" s="191">
        <v>50</v>
      </c>
      <c r="D150" s="182">
        <f t="shared" si="10"/>
        <v>1276.9230769230769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" customHeight="1" x14ac:dyDescent="0.3">
      <c r="A151" s="42">
        <f>'Données projet'!A144</f>
        <v>86</v>
      </c>
      <c r="B151" s="175">
        <f>'Données projet'!D144</f>
        <v>27.583333333333332</v>
      </c>
      <c r="C151" s="191">
        <v>50</v>
      </c>
      <c r="D151" s="182">
        <f t="shared" si="10"/>
        <v>1379.1666666666665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" customHeight="1" x14ac:dyDescent="0.3">
      <c r="A152" s="42">
        <f>'Données projet'!A145</f>
        <v>95</v>
      </c>
      <c r="B152" s="175">
        <f>'Données projet'!D145</f>
        <v>30.634615384615383</v>
      </c>
      <c r="C152" s="191">
        <v>50</v>
      </c>
      <c r="D152" s="182">
        <f t="shared" si="10"/>
        <v>1531.7307692307691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104</v>
      </c>
      <c r="B153" s="175">
        <f>'Données projet'!D146</f>
        <v>28.275641025641026</v>
      </c>
      <c r="C153" s="191">
        <v>50</v>
      </c>
      <c r="D153" s="182">
        <f t="shared" si="10"/>
        <v>1413.7820512820513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113</v>
      </c>
      <c r="B154" s="175">
        <f>'Données projet'!D147</f>
        <v>29.602564102564102</v>
      </c>
      <c r="C154" s="191">
        <v>100</v>
      </c>
      <c r="D154" s="182">
        <f t="shared" si="10"/>
        <v>2960.2564102564102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122</v>
      </c>
      <c r="B155" s="175">
        <f>'Données projet'!D148</f>
        <v>32.333333333333329</v>
      </c>
      <c r="C155" s="191">
        <v>100</v>
      </c>
      <c r="D155" s="182">
        <f t="shared" si="10"/>
        <v>3233.333333333333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132</v>
      </c>
      <c r="B156" s="175">
        <f>'Données projet'!D149</f>
        <v>34.128205128205131</v>
      </c>
      <c r="C156" s="191">
        <v>100</v>
      </c>
      <c r="D156" s="182">
        <f t="shared" si="10"/>
        <v>3412.8205128205132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144</v>
      </c>
      <c r="B157" s="175">
        <f>'Données projet'!D150</f>
        <v>42.397435897435898</v>
      </c>
      <c r="C157" s="191">
        <v>100</v>
      </c>
      <c r="D157" s="182">
        <f t="shared" si="10"/>
        <v>4239.7435897435898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156</v>
      </c>
      <c r="B158" s="175">
        <f>'Données projet'!D151</f>
        <v>45.429487179487182</v>
      </c>
      <c r="C158" s="191">
        <v>100</v>
      </c>
      <c r="D158" s="182">
        <f t="shared" si="10"/>
        <v>4542.9487179487187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168</v>
      </c>
      <c r="B159" s="175">
        <f>'Données projet'!D152</f>
        <v>49.102564102564095</v>
      </c>
      <c r="C159" s="191">
        <v>100</v>
      </c>
      <c r="D159" s="182">
        <f t="shared" si="10"/>
        <v>4910.2564102564093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180</v>
      </c>
      <c r="B160" s="175">
        <f>'Données projet'!D153</f>
        <v>120.15384615384615</v>
      </c>
      <c r="C160" s="191">
        <v>150</v>
      </c>
      <c r="D160" s="182">
        <f t="shared" si="10"/>
        <v>18023.076923076922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184</v>
      </c>
      <c r="B161" s="175">
        <f>'Données projet'!D154</f>
        <v>69.160256410256409</v>
      </c>
      <c r="C161" s="191">
        <v>150</v>
      </c>
      <c r="D161" s="182">
        <f t="shared" si="10"/>
        <v>10374.038461538461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188</v>
      </c>
      <c r="B162" s="175">
        <f>'Données projet'!D155</f>
        <v>49.307692307692307</v>
      </c>
      <c r="C162" s="191">
        <v>200</v>
      </c>
      <c r="D162" s="182">
        <f t="shared" si="10"/>
        <v>9861.538461538461</v>
      </c>
      <c r="E162" s="193">
        <v>150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191</v>
      </c>
      <c r="B163" s="175">
        <f>'Données projet'!D156</f>
        <v>98.961538461538453</v>
      </c>
      <c r="C163" s="191">
        <v>200</v>
      </c>
      <c r="D163" s="182">
        <f t="shared" si="10"/>
        <v>19792.307692307691</v>
      </c>
      <c r="E163" s="193">
        <v>150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21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44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15</v>
      </c>
      <c r="B178" s="181">
        <f>'Données projet'!D166</f>
        <v>0</v>
      </c>
      <c r="C178" s="193">
        <v>10</v>
      </c>
      <c r="D178" s="179">
        <f>B178*C178</f>
        <v>0</v>
      </c>
      <c r="E178" s="193">
        <v>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20</v>
      </c>
      <c r="B179" s="181">
        <f>'Données projet'!D167</f>
        <v>21</v>
      </c>
      <c r="C179" s="193">
        <v>10</v>
      </c>
      <c r="D179" s="179">
        <f t="shared" ref="D179:D197" si="11">B179*C179</f>
        <v>210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25</v>
      </c>
      <c r="B180" s="181">
        <f>'Données projet'!D168</f>
        <v>21</v>
      </c>
      <c r="C180" s="193">
        <v>10</v>
      </c>
      <c r="D180" s="179">
        <f t="shared" si="11"/>
        <v>210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30</v>
      </c>
      <c r="B181" s="181">
        <f>'Données projet'!D169</f>
        <v>21</v>
      </c>
      <c r="C181" s="193">
        <v>10</v>
      </c>
      <c r="D181" s="179">
        <f t="shared" si="11"/>
        <v>210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35</v>
      </c>
      <c r="B182" s="181">
        <f>'Données projet'!D170</f>
        <v>21</v>
      </c>
      <c r="C182" s="193">
        <v>10</v>
      </c>
      <c r="D182" s="179">
        <f t="shared" si="11"/>
        <v>210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40</v>
      </c>
      <c r="B183" s="181">
        <f>'Données projet'!D171</f>
        <v>21</v>
      </c>
      <c r="C183" s="193">
        <v>15</v>
      </c>
      <c r="D183" s="179">
        <f t="shared" si="11"/>
        <v>315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45</v>
      </c>
      <c r="B184" s="181">
        <f>'Données projet'!D172</f>
        <v>18</v>
      </c>
      <c r="C184" s="193">
        <v>15</v>
      </c>
      <c r="D184" s="179">
        <f t="shared" si="11"/>
        <v>270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50</v>
      </c>
      <c r="B185" s="181">
        <f>'Données projet'!D173</f>
        <v>13</v>
      </c>
      <c r="C185" s="193">
        <v>15</v>
      </c>
      <c r="D185" s="179">
        <f t="shared" si="11"/>
        <v>195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55</v>
      </c>
      <c r="B186" s="181">
        <f>'Données projet'!D174</f>
        <v>11</v>
      </c>
      <c r="C186" s="193">
        <v>15</v>
      </c>
      <c r="D186" s="179">
        <f t="shared" si="11"/>
        <v>165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60</v>
      </c>
      <c r="B187" s="181">
        <f>'Données projet'!D175</f>
        <v>9</v>
      </c>
      <c r="C187" s="193">
        <v>15</v>
      </c>
      <c r="D187" s="179">
        <f t="shared" si="11"/>
        <v>135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65</v>
      </c>
      <c r="B188" s="181">
        <f>'Données projet'!D176</f>
        <v>8</v>
      </c>
      <c r="C188" s="193">
        <v>15</v>
      </c>
      <c r="D188" s="179">
        <f t="shared" si="11"/>
        <v>120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70</v>
      </c>
      <c r="B189" s="181">
        <f>'Données projet'!D177</f>
        <v>6</v>
      </c>
      <c r="C189" s="193">
        <v>15</v>
      </c>
      <c r="D189" s="179">
        <f t="shared" si="11"/>
        <v>90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75</v>
      </c>
      <c r="B190" s="181">
        <f>'Données projet'!D178</f>
        <v>7</v>
      </c>
      <c r="C190" s="193">
        <v>50</v>
      </c>
      <c r="D190" s="179">
        <f t="shared" si="11"/>
        <v>350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80</v>
      </c>
      <c r="B191" s="181">
        <f>'Données projet'!D179</f>
        <v>219</v>
      </c>
      <c r="C191" s="193">
        <v>50</v>
      </c>
      <c r="D191" s="179">
        <f t="shared" si="11"/>
        <v>10950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22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44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17</v>
      </c>
      <c r="B209" s="181">
        <f>'Données projet'!D192</f>
        <v>42.084615384615383</v>
      </c>
      <c r="C209" s="193">
        <v>10</v>
      </c>
      <c r="D209" s="179">
        <f>B209*C209</f>
        <v>420.84615384615381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23</v>
      </c>
      <c r="B210" s="181">
        <f>'Données projet'!D193</f>
        <v>54.099999999999994</v>
      </c>
      <c r="C210" s="193">
        <v>18</v>
      </c>
      <c r="D210" s="179">
        <f t="shared" ref="D210:D228" si="12">B210*C210</f>
        <v>973.8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29</v>
      </c>
      <c r="B211" s="181">
        <f>'Données projet'!D194</f>
        <v>47.661538461538463</v>
      </c>
      <c r="C211" s="193">
        <v>25</v>
      </c>
      <c r="D211" s="179">
        <f t="shared" si="12"/>
        <v>1191.5384615384617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30</v>
      </c>
      <c r="B212" s="181">
        <f>'Données projet'!D195</f>
        <v>0</v>
      </c>
      <c r="C212" s="193">
        <v>25</v>
      </c>
      <c r="D212" s="179">
        <f t="shared" si="12"/>
        <v>0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36</v>
      </c>
      <c r="B213" s="181">
        <f>'Données projet'!D196</f>
        <v>64.553846153846152</v>
      </c>
      <c r="C213" s="193">
        <v>35</v>
      </c>
      <c r="D213" s="179">
        <f t="shared" si="12"/>
        <v>2259.3846153846152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44</v>
      </c>
      <c r="B214" s="181">
        <f>'Données projet'!D197</f>
        <v>64.476923076923072</v>
      </c>
      <c r="C214" s="193">
        <v>35</v>
      </c>
      <c r="D214" s="179">
        <f t="shared" si="12"/>
        <v>2256.6923076923076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52</v>
      </c>
      <c r="B215" s="181">
        <f>'Données projet'!D198</f>
        <v>61.784615384615378</v>
      </c>
      <c r="C215" s="193">
        <v>35</v>
      </c>
      <c r="D215" s="179">
        <f t="shared" si="12"/>
        <v>2162.4615384615381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60</v>
      </c>
      <c r="B216" s="181">
        <f>'Données projet'!D199</f>
        <v>353.5</v>
      </c>
      <c r="C216" s="193">
        <v>40</v>
      </c>
      <c r="D216" s="179">
        <f t="shared" si="12"/>
        <v>14140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44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44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44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1DA1ED-616B-4F99-BBB7-D9A500AC3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Philomène  Block</cp:lastModifiedBy>
  <cp:revision/>
  <dcterms:created xsi:type="dcterms:W3CDTF">2021-02-01T08:22:39Z</dcterms:created>
  <dcterms:modified xsi:type="dcterms:W3CDTF">2025-02-13T09:47:44Z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