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X:\1_Clients\2_France_Valley\1_Saint_Symphorien\7_certification - LBC\Dossier Label Bas Carbone\Calcul Emissions CO2\"/>
    </mc:Choice>
  </mc:AlternateContent>
  <xr:revisionPtr revIDLastSave="0" documentId="13_ncr:1_{385E5075-8B61-4061-ADB7-D1936DB357D6}" xr6:coauthVersionLast="47" xr6:coauthVersionMax="47" xr10:uidLastSave="{00000000-0000-0000-0000-000000000000}"/>
  <bookViews>
    <workbookView xWindow="-108" yWindow="-108" windowWidth="23256" windowHeight="12456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9" i="1" l="1"/>
  <c r="B90" i="1"/>
  <c r="B91" i="1"/>
  <c r="I53" i="6"/>
  <c r="I20" i="6"/>
  <c r="I21" i="6"/>
  <c r="I22" i="6"/>
  <c r="I81" i="6"/>
  <c r="I73" i="6"/>
  <c r="I65" i="6"/>
  <c r="I59" i="6"/>
  <c r="I47" i="6"/>
  <c r="I43" i="6"/>
  <c r="I39" i="6"/>
  <c r="I35" i="6"/>
  <c r="I25" i="6"/>
  <c r="I26" i="6"/>
  <c r="I27" i="6"/>
  <c r="I28" i="6"/>
  <c r="I29" i="6"/>
  <c r="I30" i="6"/>
  <c r="I31" i="6"/>
  <c r="I32" i="6"/>
  <c r="I33" i="6"/>
  <c r="I34" i="6"/>
  <c r="I36" i="6"/>
  <c r="I37" i="6"/>
  <c r="I38" i="6"/>
  <c r="I40" i="6"/>
  <c r="I41" i="6"/>
  <c r="I42" i="6"/>
  <c r="I44" i="6"/>
  <c r="I45" i="6"/>
  <c r="I46" i="6"/>
  <c r="I48" i="6"/>
  <c r="I49" i="6"/>
  <c r="I50" i="6"/>
  <c r="I51" i="6"/>
  <c r="I52" i="6"/>
  <c r="I54" i="6"/>
  <c r="I55" i="6"/>
  <c r="I56" i="6"/>
  <c r="I57" i="6"/>
  <c r="I58" i="6"/>
  <c r="I60" i="6"/>
  <c r="I61" i="6"/>
  <c r="I62" i="6"/>
  <c r="I63" i="6"/>
  <c r="I64" i="6"/>
  <c r="I67" i="6"/>
  <c r="I68" i="6"/>
  <c r="I69" i="6"/>
  <c r="I70" i="6"/>
  <c r="I71" i="6"/>
  <c r="I72" i="6"/>
  <c r="I74" i="6"/>
  <c r="I75" i="6"/>
  <c r="I76" i="6"/>
  <c r="I77" i="6"/>
  <c r="I78" i="6"/>
  <c r="I79" i="6"/>
  <c r="I80" i="6"/>
  <c r="I24" i="6"/>
  <c r="I23" i="6"/>
  <c r="B70" i="1"/>
  <c r="B69" i="1"/>
  <c r="B68" i="1"/>
  <c r="B67" i="1"/>
  <c r="B66" i="1"/>
  <c r="B65" i="1"/>
  <c r="B64" i="1"/>
  <c r="B63" i="1"/>
  <c r="B62" i="1"/>
  <c r="B44" i="1"/>
  <c r="B43" i="1"/>
  <c r="B42" i="1"/>
  <c r="B41" i="1"/>
  <c r="B40" i="1"/>
  <c r="B39" i="1"/>
  <c r="B38" i="1"/>
  <c r="B37" i="1"/>
  <c r="B36" i="1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R4" i="2"/>
  <c r="FQ4" i="2"/>
  <c r="BQ4" i="2"/>
  <c r="EA4" i="2"/>
  <c r="F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FR5" i="2"/>
  <c r="EX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FR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B7" i="2"/>
  <c r="EX7" i="2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FS10" i="2"/>
  <c r="EB10" i="2"/>
  <c r="HG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W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EX14" i="2"/>
  <c r="HG14" i="2"/>
  <c r="EB14" i="2"/>
  <c r="HH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V18" i="2"/>
  <c r="EW18" i="2"/>
  <c r="EX18" i="2"/>
  <c r="HG18" i="2"/>
  <c r="FS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C22" i="2"/>
  <c r="EB22" i="2"/>
  <c r="HG22" i="2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EX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I28" i="2" l="1"/>
  <c r="EV28" i="2"/>
  <c r="EB28" i="2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HI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HH35" i="2"/>
  <c r="EB35" i="2"/>
  <c r="CM35" i="2"/>
  <c r="FQ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EA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H38" i="2" l="1"/>
  <c r="FS38" i="2"/>
  <c r="EX38" i="2"/>
  <c r="HG38" i="2"/>
  <c r="HI38" i="2"/>
  <c r="EW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EA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FS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X45" i="2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W46" i="2"/>
  <c r="EC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I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C50" i="2" l="1"/>
  <c r="FS50" i="2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HI57" i="2"/>
  <c r="EV57" i="2"/>
  <c r="HH57" i="2"/>
  <c r="EB57" i="2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HH59" i="2"/>
  <c r="EB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HH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X61" i="2"/>
  <c r="EA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X63" i="2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X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FS75" i="2"/>
  <c r="HG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HI78" i="2"/>
  <c r="EV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EC85" i="2"/>
  <c r="HH85" i="2"/>
  <c r="EV85" i="2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EX87" i="2"/>
  <c r="EA87" i="2"/>
  <c r="EB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EX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FS105" i="2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B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FQ112" i="2"/>
  <c r="EC112" i="2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HI113" i="2"/>
  <c r="FS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R120" i="2"/>
  <c r="FQ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HI121" i="2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FS122" i="2"/>
  <c r="EC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W124" i="2"/>
  <c r="FS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FS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V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HI130" i="2"/>
  <c r="EW130" i="2"/>
  <c r="EX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HH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V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EA139" i="2"/>
  <c r="FS139" i="2"/>
  <c r="EB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HG140" i="2"/>
  <c r="EC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H141" i="2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HH144" i="2"/>
  <c r="FR144" i="2"/>
  <c r="EX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EA145" i="2"/>
  <c r="HG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S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HI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HH154" i="2"/>
  <c r="AB154" i="2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HG155" i="2"/>
  <c r="EY154" i="2"/>
  <c r="EX155" i="2"/>
  <c r="EA155" i="2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B156" i="2" l="1"/>
  <c r="AB156" i="2"/>
  <c r="HH156" i="2"/>
  <c r="FS156" i="2"/>
  <c r="EY155" i="2"/>
  <c r="EX156" i="2"/>
  <c r="DH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CN156" i="2"/>
  <c r="EB157" i="2"/>
  <c r="EA157" i="2"/>
  <c r="ED157" i="2" s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H158" i="2" l="1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FS160" i="2" l="1"/>
  <c r="HI160" i="2"/>
  <c r="DG160" i="2"/>
  <c r="EC160" i="2"/>
  <c r="HG160" i="2"/>
  <c r="HH160" i="2"/>
  <c r="EY159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EA161" i="2"/>
  <c r="HH161" i="2"/>
  <c r="EX161" i="2"/>
  <c r="ED160" i="2"/>
  <c r="AB161" i="2"/>
  <c r="AW161" i="2"/>
  <c r="EC161" i="2"/>
  <c r="ED161" i="2" s="1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Y161" i="2"/>
  <c r="EC162" i="2"/>
  <c r="DI161" i="2"/>
  <c r="EB162" i="2"/>
  <c r="HH162" i="2"/>
  <c r="HG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A163" i="2" l="1"/>
  <c r="EB163" i="2"/>
  <c r="HG163" i="2"/>
  <c r="EV163" i="2"/>
  <c r="EY162" i="2"/>
  <c r="HI163" i="2"/>
  <c r="FS163" i="2"/>
  <c r="EC163" i="2"/>
  <c r="ED163" i="2" s="1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FS164" i="2" l="1"/>
  <c r="EY163" i="2"/>
  <c r="DH164" i="2"/>
  <c r="EA164" i="2"/>
  <c r="EX164" i="2"/>
  <c r="EV164" i="2"/>
  <c r="FR164" i="2"/>
  <c r="DI163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HH165" i="2"/>
  <c r="EX165" i="2"/>
  <c r="EB165" i="2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EC166" i="2"/>
  <c r="HG166" i="2"/>
  <c r="HJ166" i="2" s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H167" i="2" l="1"/>
  <c r="EY166" i="2"/>
  <c r="FR167" i="2"/>
  <c r="EA167" i="2"/>
  <c r="EB167" i="2"/>
  <c r="DG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I168" i="2" l="1"/>
  <c r="EC168" i="2"/>
  <c r="DG168" i="2"/>
  <c r="EV168" i="2"/>
  <c r="EB168" i="2"/>
  <c r="EW168" i="2"/>
  <c r="DI167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FS169" i="2"/>
  <c r="EX169" i="2"/>
  <c r="EA169" i="2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D171" i="2" s="1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W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X173" i="2" l="1"/>
  <c r="HH173" i="2"/>
  <c r="EB173" i="2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EC174" i="2"/>
  <c r="HG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B175" i="2" l="1"/>
  <c r="EA175" i="2"/>
  <c r="HI175" i="2"/>
  <c r="AA175" i="2"/>
  <c r="FS175" i="2"/>
  <c r="EW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B176" i="2"/>
  <c r="HH176" i="2"/>
  <c r="EY175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FS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G178" i="2" l="1"/>
  <c r="FS178" i="2"/>
  <c r="EW178" i="2"/>
  <c r="EA178" i="2"/>
  <c r="EB178" i="2"/>
  <c r="ED178" i="2" s="1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B179" i="2" l="1"/>
  <c r="HH179" i="2"/>
  <c r="HI179" i="2"/>
  <c r="EV179" i="2"/>
  <c r="DF179" i="2"/>
  <c r="EA179" i="2"/>
  <c r="ED179" i="2" s="1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ED180" i="2" s="1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X182" i="2"/>
  <c r="DG182" i="2"/>
  <c r="EA182" i="2"/>
  <c r="ED182" i="2" s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 l="1"/>
  <c r="FS183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B185" i="2" l="1"/>
  <c r="ED184" i="2"/>
  <c r="EY184" i="2"/>
  <c r="EW185" i="2"/>
  <c r="HH185" i="2"/>
  <c r="HG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A186" i="2" l="1"/>
  <c r="ED185" i="2"/>
  <c r="HH186" i="2"/>
  <c r="EW186" i="2"/>
  <c r="FS186" i="2"/>
  <c r="FR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EY186" i="2"/>
  <c r="HG187" i="2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HI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V190" i="2" l="1"/>
  <c r="EY189" i="2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G191" i="2" l="1"/>
  <c r="EW191" i="2"/>
  <c r="HH191" i="2"/>
  <c r="ED190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C192" i="2"/>
  <c r="EB192" i="2"/>
  <c r="EW192" i="2"/>
  <c r="HG192" i="2"/>
  <c r="EA192" i="2"/>
  <c r="EV192" i="2"/>
  <c r="EY192" i="2" s="1"/>
  <c r="HH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B193" i="2"/>
  <c r="DI192" i="2"/>
  <c r="FQ193" i="2"/>
  <c r="EA193" i="2"/>
  <c r="EX193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CN193" i="2"/>
  <c r="HG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FQ195" i="2" l="1"/>
  <c r="EY194" i="2"/>
  <c r="EX195" i="2"/>
  <c r="DH195" i="2"/>
  <c r="A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EY195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H197" i="2" l="1"/>
  <c r="FS197" i="2"/>
  <c r="EY196" i="2"/>
  <c r="EW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B199" i="2" l="1"/>
  <c r="EY198" i="2"/>
  <c r="EW199" i="2"/>
  <c r="EV199" i="2"/>
  <c r="FS199" i="2"/>
  <c r="HH199" i="2"/>
  <c r="HG199" i="2"/>
  <c r="HJ199" i="2" s="1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ED200" i="2" l="1"/>
  <c r="EY200" i="2"/>
  <c r="DI200" i="2"/>
  <c r="EA201" i="2"/>
  <c r="EB201" i="2"/>
  <c r="FS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G202" i="2" l="1"/>
  <c r="EW202" i="2"/>
  <c r="EY201" i="2"/>
  <c r="FZ6" i="2"/>
  <c r="FR202" i="2"/>
  <c r="EX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181" i="2" a="1"/>
  <c r="BC181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DN155" i="2" a="1"/>
  <c r="DN155" i="2" s="1"/>
  <c r="CS66" i="2" a="1"/>
  <c r="CS66" i="2" s="1"/>
  <c r="CS52" i="2" a="1"/>
  <c r="CS52" i="2" s="1"/>
  <c r="CS129" i="2" a="1"/>
  <c r="CS129" i="2" s="1"/>
  <c r="DN41" i="2" a="1"/>
  <c r="DN41" i="2" s="1"/>
  <c r="DN170" i="2" a="1"/>
  <c r="DN170" i="2" s="1"/>
  <c r="DN150" i="2" a="1"/>
  <c r="DN150" i="2" s="1"/>
  <c r="CS116" i="2" a="1"/>
  <c r="CS116" i="2" s="1"/>
  <c r="CS137" i="2" a="1"/>
  <c r="CS137" i="2" s="1"/>
  <c r="AH151" i="2" a="1"/>
  <c r="AH151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32" i="2" a="1"/>
  <c r="BC32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CS185" i="2" a="1"/>
  <c r="CS185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31" i="2" a="1"/>
  <c r="DN31" i="2" s="1"/>
  <c r="DN110" i="2" a="1"/>
  <c r="DN110" i="2" s="1"/>
  <c r="DN55" i="2" a="1"/>
  <c r="DN55" i="2" s="1"/>
  <c r="DN70" i="2" a="1"/>
  <c r="DN70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CS72" i="2" a="1"/>
  <c r="CS72" i="2" s="1"/>
  <c r="BX107" i="2" a="1"/>
  <c r="BX107" i="2" s="1"/>
  <c r="FD82" i="2" a="1"/>
  <c r="FD82" i="2" s="1"/>
  <c r="DN187" i="2" a="1"/>
  <c r="DN187" i="2" s="1"/>
  <c r="HJ202" i="2"/>
  <c r="AX200" i="2"/>
  <c r="BC143" i="2" l="1" a="1"/>
  <c r="BC143" i="2" s="1"/>
  <c r="BC31" i="2" a="1"/>
  <c r="BC31" i="2" s="1"/>
  <c r="BC84" i="2" a="1"/>
  <c r="BC84" i="2" s="1"/>
  <c r="BC164" i="2" a="1"/>
  <c r="BC164" i="2" s="1"/>
  <c r="BC82" i="2" a="1"/>
  <c r="BC82" i="2" s="1"/>
  <c r="BC192" i="2" a="1"/>
  <c r="BC192" i="2" s="1"/>
  <c r="BC117" i="2" a="1"/>
  <c r="BC117" i="2" s="1"/>
  <c r="BC65" i="2" a="1"/>
  <c r="BC65" i="2" s="1"/>
  <c r="BC68" i="2" a="1"/>
  <c r="BC68" i="2" s="1"/>
  <c r="BC114" i="2" a="1"/>
  <c r="BC114" i="2" s="1"/>
  <c r="BC126" i="2" a="1"/>
  <c r="BC126" i="2" s="1"/>
  <c r="BC47" i="2" a="1"/>
  <c r="BC47" i="2" s="1"/>
  <c r="BC58" i="2" a="1"/>
  <c r="BC58" i="2" s="1"/>
  <c r="DN192" i="2" a="1"/>
  <c r="DN192" i="2" s="1"/>
  <c r="DN129" i="2" a="1"/>
  <c r="DN129" i="2" s="1"/>
  <c r="DN43" i="2" a="1"/>
  <c r="DN43" i="2" s="1"/>
  <c r="DN167" i="2" a="1"/>
  <c r="DN167" i="2" s="1"/>
  <c r="DN45" i="2" a="1"/>
  <c r="DN45" i="2" s="1"/>
  <c r="DN16" i="2" a="1"/>
  <c r="DN16" i="2" s="1"/>
  <c r="DN80" i="2" a="1"/>
  <c r="DN80" i="2" s="1"/>
  <c r="DN114" i="2" a="1"/>
  <c r="DN114" i="2" s="1"/>
  <c r="DN66" i="2" a="1"/>
  <c r="DN66" i="2" s="1"/>
  <c r="DN50" i="2" a="1"/>
  <c r="DN50" i="2" s="1"/>
  <c r="DN186" i="2" a="1"/>
  <c r="DN186" i="2" s="1"/>
  <c r="DN162" i="2" a="1"/>
  <c r="DN162" i="2" s="1"/>
  <c r="DN103" i="2" a="1"/>
  <c r="DN103" i="2" s="1"/>
  <c r="DN188" i="2" a="1"/>
  <c r="DN188" i="2" s="1"/>
  <c r="DN113" i="2" a="1"/>
  <c r="DN113" i="2" s="1"/>
  <c r="DN137" i="2" a="1"/>
  <c r="DN137" i="2" s="1"/>
  <c r="DN176" i="2" a="1"/>
  <c r="DN176" i="2" s="1"/>
  <c r="DN190" i="2" a="1"/>
  <c r="DN190" i="2" s="1"/>
  <c r="DN133" i="2" a="1"/>
  <c r="DN133" i="2" s="1"/>
  <c r="DN65" i="2" a="1"/>
  <c r="DN65" i="2" s="1"/>
  <c r="DN49" i="2" a="1"/>
  <c r="DN49" i="2" s="1"/>
  <c r="DN168" i="2" a="1"/>
  <c r="DN168" i="2" s="1"/>
  <c r="DN63" i="2" a="1"/>
  <c r="DN63" i="2" s="1"/>
  <c r="DN86" i="2" a="1"/>
  <c r="DN86" i="2" s="1"/>
  <c r="DN25" i="2" a="1"/>
  <c r="DN25" i="2" s="1"/>
  <c r="DN177" i="2" a="1"/>
  <c r="DN177" i="2" s="1"/>
  <c r="DN184" i="2" a="1"/>
  <c r="DN184" i="2" s="1"/>
  <c r="DN123" i="2" a="1"/>
  <c r="DN123" i="2" s="1"/>
  <c r="DN115" i="2" a="1"/>
  <c r="DN115" i="2" s="1"/>
  <c r="DN152" i="2" a="1"/>
  <c r="DN152" i="2" s="1"/>
  <c r="DN124" i="2" a="1"/>
  <c r="DN124" i="2" s="1"/>
  <c r="DN56" i="2" a="1"/>
  <c r="DN56" i="2" s="1"/>
  <c r="DN153" i="2" a="1"/>
  <c r="DN153" i="2" s="1"/>
  <c r="DN29" i="2" a="1"/>
  <c r="DN29" i="2" s="1"/>
  <c r="EY202" i="2"/>
  <c r="EI142" i="2" a="1"/>
  <c r="EI142" i="2" s="1"/>
  <c r="EI113" i="2" a="1"/>
  <c r="EI113" i="2" s="1"/>
  <c r="EI166" i="2" a="1"/>
  <c r="EI166" i="2" s="1"/>
  <c r="EI87" i="2" a="1"/>
  <c r="EI87" i="2" s="1"/>
  <c r="EI16" i="2" a="1"/>
  <c r="EI16" i="2" s="1"/>
  <c r="EI36" i="2" a="1"/>
  <c r="EI36" i="2" s="1"/>
  <c r="EI153" i="2" a="1"/>
  <c r="EI153" i="2" s="1"/>
  <c r="EI128" i="2" a="1"/>
  <c r="EI128" i="2" s="1"/>
  <c r="EI109" i="2" a="1"/>
  <c r="EI109" i="2" s="1"/>
  <c r="EI178" i="2" a="1"/>
  <c r="EI178" i="2" s="1"/>
  <c r="EI198" i="2" a="1"/>
  <c r="EI198" i="2" s="1"/>
  <c r="EI37" i="2" a="1"/>
  <c r="EI37" i="2" s="1"/>
  <c r="EI38" i="2" a="1"/>
  <c r="EI38" i="2" s="1"/>
  <c r="EI145" i="2" a="1"/>
  <c r="EI145" i="2" s="1"/>
  <c r="EI35" i="2" a="1"/>
  <c r="EI35" i="2" s="1"/>
  <c r="EI34" i="2" a="1"/>
  <c r="EI34" i="2" s="1"/>
  <c r="EI162" i="2" a="1"/>
  <c r="EI162" i="2" s="1"/>
  <c r="EI20" i="2" a="1"/>
  <c r="EI20" i="2" s="1"/>
  <c r="EI139" i="2" a="1"/>
  <c r="EI139" i="2" s="1"/>
  <c r="EI165" i="2" a="1"/>
  <c r="EI165" i="2" s="1"/>
  <c r="EI150" i="2" a="1"/>
  <c r="EI150" i="2" s="1"/>
  <c r="EI71" i="2" a="1"/>
  <c r="EI71" i="2" s="1"/>
  <c r="EI195" i="2" a="1"/>
  <c r="EI195" i="2" s="1"/>
  <c r="EI29" i="2" a="1"/>
  <c r="EI29" i="2" s="1"/>
  <c r="EI67" i="2" a="1"/>
  <c r="EI67" i="2" s="1"/>
  <c r="EI170" i="2" a="1"/>
  <c r="EI170" i="2" s="1"/>
  <c r="EI57" i="2" a="1"/>
  <c r="EI57" i="2" s="1"/>
  <c r="EI106" i="2" a="1"/>
  <c r="EI106" i="2" s="1"/>
  <c r="HG203" i="2"/>
  <c r="FR203" i="2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DI203" i="2" l="1"/>
  <c r="EY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FJ110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J30" i="2" l="1"/>
  <c r="FJ196" i="2"/>
  <c r="FJ146" i="2"/>
  <c r="FJ109" i="2"/>
  <c r="FJ154" i="2"/>
  <c r="FJ58" i="2"/>
  <c r="FJ117" i="2"/>
  <c r="FJ39" i="2"/>
  <c r="FJ182" i="2"/>
  <c r="FJ116" i="2"/>
  <c r="FJ79" i="2"/>
  <c r="FJ185" i="2"/>
  <c r="FJ62" i="2"/>
  <c r="FJ192" i="2"/>
  <c r="FJ200" i="2"/>
  <c r="FJ75" i="2"/>
  <c r="FJ125" i="2"/>
  <c r="FJ17" i="2"/>
  <c r="FJ4" i="2"/>
  <c r="FJ98" i="2"/>
  <c r="FJ165" i="2"/>
  <c r="FJ167" i="2"/>
  <c r="FJ94" i="2"/>
  <c r="FJ32" i="2"/>
  <c r="FJ60" i="2"/>
  <c r="FJ105" i="2"/>
  <c r="FJ198" i="2"/>
  <c r="FJ57" i="2"/>
  <c r="FJ113" i="2"/>
  <c r="FJ119" i="2"/>
  <c r="FJ15" i="2"/>
  <c r="FJ89" i="2"/>
  <c r="FJ86" i="2"/>
  <c r="FJ42" i="2"/>
  <c r="FJ199" i="2"/>
  <c r="FJ16" i="2"/>
  <c r="FJ70" i="2"/>
  <c r="FJ137" i="2"/>
  <c r="FJ195" i="2"/>
  <c r="FJ63" i="2"/>
  <c r="FJ65" i="2"/>
  <c r="FJ104" i="2"/>
  <c r="FJ106" i="2"/>
  <c r="FJ88" i="2"/>
  <c r="FJ124" i="2"/>
  <c r="FJ81" i="2"/>
  <c r="FJ115" i="2"/>
  <c r="FJ85" i="2"/>
  <c r="FJ181" i="2"/>
  <c r="FJ162" i="2"/>
  <c r="FJ74" i="2"/>
  <c r="FJ48" i="2"/>
  <c r="FJ183" i="2"/>
  <c r="FJ18" i="2"/>
  <c r="FJ36" i="2"/>
  <c r="FJ155" i="2"/>
  <c r="FJ142" i="2"/>
  <c r="FJ134" i="2"/>
  <c r="FJ46" i="2"/>
  <c r="FJ190" i="2"/>
  <c r="FJ143" i="2"/>
  <c r="FJ168" i="2"/>
  <c r="FJ123" i="2"/>
  <c r="FJ102" i="2"/>
  <c r="FJ107" i="2"/>
  <c r="FJ69" i="2"/>
  <c r="FJ101" i="2"/>
  <c r="FJ126" i="2"/>
  <c r="FJ67" i="2"/>
  <c r="FJ158" i="2"/>
  <c r="FJ41" i="2"/>
  <c r="FJ3" i="2"/>
  <c r="C13" i="4" s="1"/>
  <c r="E13" i="4" s="1"/>
  <c r="F13" i="4" s="1"/>
  <c r="G13" i="4" s="1"/>
  <c r="L13" i="4" s="1"/>
  <c r="FJ108" i="2"/>
  <c r="FJ68" i="2"/>
  <c r="FJ21" i="2"/>
  <c r="FJ78" i="2"/>
  <c r="FJ189" i="2"/>
  <c r="FJ37" i="2"/>
  <c r="FJ92" i="2"/>
  <c r="FJ22" i="2"/>
  <c r="FJ118" i="2"/>
  <c r="FJ149" i="2"/>
  <c r="FJ13" i="2"/>
  <c r="FJ178" i="2"/>
  <c r="FJ131" i="2"/>
  <c r="FJ93" i="2"/>
  <c r="FJ6" i="2"/>
  <c r="FJ34" i="2"/>
  <c r="FJ176" i="2"/>
  <c r="FJ132" i="2"/>
  <c r="FJ148" i="2"/>
  <c r="FJ172" i="2"/>
  <c r="FJ194" i="2"/>
  <c r="FJ38" i="2"/>
  <c r="FJ180" i="2"/>
  <c r="FJ23" i="2"/>
  <c r="FJ53" i="2"/>
  <c r="FJ9" i="2"/>
  <c r="FJ29" i="2"/>
  <c r="FJ12" i="2"/>
  <c r="FJ82" i="2"/>
  <c r="FJ152" i="2"/>
  <c r="FJ52" i="2"/>
  <c r="FJ157" i="2"/>
  <c r="FJ151" i="2"/>
  <c r="FJ77" i="2"/>
  <c r="FJ136" i="2"/>
  <c r="FJ164" i="2"/>
  <c r="FJ100" i="2"/>
  <c r="FJ54" i="2"/>
  <c r="FJ140" i="2"/>
  <c r="FJ95" i="2"/>
  <c r="FJ72" i="2"/>
  <c r="FJ144" i="2"/>
  <c r="FJ171" i="2"/>
  <c r="FJ153" i="2"/>
  <c r="FJ83" i="2"/>
  <c r="FJ163" i="2"/>
  <c r="FJ161" i="2"/>
  <c r="FJ174" i="2"/>
  <c r="FJ179" i="2"/>
  <c r="FJ169" i="2"/>
  <c r="FJ184" i="2"/>
  <c r="FJ128" i="2"/>
  <c r="FJ14" i="2"/>
  <c r="FJ197" i="2"/>
  <c r="FJ135" i="2"/>
  <c r="FJ50" i="2"/>
  <c r="FJ188" i="2"/>
  <c r="FJ141" i="2"/>
  <c r="FJ66" i="2"/>
  <c r="FJ26" i="2"/>
  <c r="FJ45" i="2"/>
  <c r="FJ33" i="2"/>
  <c r="FJ76" i="2"/>
  <c r="FJ28" i="2"/>
  <c r="FJ87" i="2"/>
  <c r="FJ8" i="2"/>
  <c r="FJ122" i="2"/>
  <c r="FJ96" i="2"/>
  <c r="FJ114" i="2"/>
  <c r="FJ10" i="2"/>
  <c r="FJ156" i="2"/>
  <c r="FJ201" i="2"/>
  <c r="FJ112" i="2"/>
  <c r="FJ133" i="2"/>
  <c r="FJ43" i="2"/>
  <c r="FJ20" i="2"/>
  <c r="FJ187" i="2"/>
  <c r="FJ35" i="2"/>
  <c r="FJ145" i="2"/>
  <c r="FJ61" i="2"/>
  <c r="FJ173" i="2"/>
  <c r="FJ64" i="2"/>
  <c r="FJ159" i="2"/>
  <c r="FJ59" i="2"/>
  <c r="FJ147" i="2"/>
  <c r="FJ97" i="2"/>
  <c r="FJ31" i="2"/>
  <c r="FJ49" i="2"/>
  <c r="FJ7" i="2"/>
  <c r="FJ11" i="2"/>
  <c r="FJ55" i="2"/>
  <c r="FJ44" i="2"/>
  <c r="FJ111" i="2"/>
  <c r="FJ170" i="2"/>
  <c r="FJ175" i="2"/>
  <c r="FJ25" i="2"/>
  <c r="FJ71" i="2"/>
  <c r="FJ150" i="2"/>
  <c r="FJ47" i="2"/>
  <c r="FJ193" i="2"/>
  <c r="FJ138" i="2"/>
  <c r="FJ56" i="2"/>
  <c r="FJ203" i="2"/>
  <c r="FJ191" i="2"/>
  <c r="FJ121" i="2"/>
  <c r="FJ130" i="2"/>
  <c r="FJ24" i="2"/>
  <c r="FJ186" i="2"/>
  <c r="FJ103" i="2"/>
  <c r="FJ129" i="2"/>
  <c r="FJ120" i="2"/>
  <c r="FJ73" i="2"/>
  <c r="FJ19" i="2"/>
  <c r="FJ166" i="2"/>
  <c r="FJ5" i="2"/>
  <c r="FJ160" i="2"/>
  <c r="FJ139" i="2"/>
  <c r="FJ177" i="2"/>
  <c r="FJ40" i="2"/>
  <c r="FJ91" i="2"/>
  <c r="FJ84" i="2"/>
  <c r="FJ90" i="2"/>
  <c r="FJ127" i="2"/>
  <c r="FJ80" i="2"/>
  <c r="FJ51" i="2"/>
  <c r="FJ99" i="2"/>
  <c r="FJ202" i="2"/>
  <c r="FJ27" i="2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<sst xmlns="http://schemas.openxmlformats.org/spreadsheetml/2006/main" count="1177" uniqueCount="324">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</sst>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" fontId="0" fillId="0" borderId="0" xfId="0" applyNumberFormat="1" applyProtection="1"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2.0202537000117871</c:v>
                </c:pt>
                <c:pt idx="2">
                  <c:v>2.6319066017014086</c:v>
                </c:pt>
                <c:pt idx="3">
                  <c:v>3.4294994811569341</c:v>
                </c:pt>
                <c:pt idx="4">
                  <c:v>4.4697740150584959</c:v>
                </c:pt>
                <c:pt idx="5">
                  <c:v>5.8268491216253588</c:v>
                </c:pt>
                <c:pt idx="6">
                  <c:v>7.5975603765731456</c:v>
                </c:pt>
                <c:pt idx="7">
                  <c:v>9.9084450343796355</c:v>
                </c:pt>
                <c:pt idx="8">
                  <c:v>12.92488123955205</c:v>
                </c:pt>
                <c:pt idx="9">
                  <c:v>16.863047591056695</c:v>
                </c:pt>
                <c:pt idx="10">
                  <c:v>22.005575736778237</c:v>
                </c:pt>
                <c:pt idx="11">
                  <c:v>28.722039351684362</c:v>
                </c:pt>
                <c:pt idx="12">
                  <c:v>37.495777668551568</c:v>
                </c:pt>
                <c:pt idx="13">
                  <c:v>48.959016888814439</c:v>
                </c:pt>
                <c:pt idx="14">
                  <c:v>63.938862684468994</c:v>
                </c:pt>
                <c:pt idx="15">
                  <c:v>83.517536721987668</c:v>
                </c:pt>
                <c:pt idx="16">
                  <c:v>109.11127889310849</c:v>
                </c:pt>
                <c:pt idx="17">
                  <c:v>106.81557526911295</c:v>
                </c:pt>
                <c:pt idx="18">
                  <c:v>124.16900365793684</c:v>
                </c:pt>
                <c:pt idx="19">
                  <c:v>141.46346401618726</c:v>
                </c:pt>
                <c:pt idx="20">
                  <c:v>158.70719102606964</c:v>
                </c:pt>
                <c:pt idx="21">
                  <c:v>149.60319730872013</c:v>
                </c:pt>
                <c:pt idx="22">
                  <c:v>169.09664015835338</c:v>
                </c:pt>
                <c:pt idx="23">
                  <c:v>188.53710283199996</c:v>
                </c:pt>
                <c:pt idx="24">
                  <c:v>207.9308195045044</c:v>
                </c:pt>
                <c:pt idx="25">
                  <c:v>188.53710283199996</c:v>
                </c:pt>
                <c:pt idx="26">
                  <c:v>209.22219955438308</c:v>
                </c:pt>
                <c:pt idx="27">
                  <c:v>229.86009453547467</c:v>
                </c:pt>
                <c:pt idx="28">
                  <c:v>250.45562182479364</c:v>
                </c:pt>
                <c:pt idx="29">
                  <c:v>224.48990116103005</c:v>
                </c:pt>
                <c:pt idx="30">
                  <c:v>243.5948932063433</c:v>
                </c:pt>
                <c:pt idx="31">
                  <c:v>262.66582457768635</c:v>
                </c:pt>
                <c:pt idx="32">
                  <c:v>281.70551574875822</c:v>
                </c:pt>
                <c:pt idx="33">
                  <c:v>300.7163746975063</c:v>
                </c:pt>
                <c:pt idx="34">
                  <c:v>319.7004800513119</c:v>
                </c:pt>
                <c:pt idx="35">
                  <c:v>277.21568679177352</c:v>
                </c:pt>
                <c:pt idx="36">
                  <c:v>293.67062981705698</c:v>
                </c:pt>
                <c:pt idx="37">
                  <c:v>310.10500044645323</c:v>
                </c:pt>
                <c:pt idx="38">
                  <c:v>326.52004227766406</c:v>
                </c:pt>
                <c:pt idx="39">
                  <c:v>342.9168636601741</c:v>
                </c:pt>
                <c:pt idx="40">
                  <c:v>359.29645830338887</c:v>
                </c:pt>
                <c:pt idx="41">
                  <c:v>319.4873172181201</c:v>
                </c:pt>
                <c:pt idx="42">
                  <c:v>332.05861703935699</c:v>
                </c:pt>
                <c:pt idx="43">
                  <c:v>344.61942555879472</c:v>
                </c:pt>
                <c:pt idx="44">
                  <c:v>357.17017912307307</c:v>
                </c:pt>
                <c:pt idx="45">
                  <c:v>369.7112809035753</c:v>
                </c:pt>
                <c:pt idx="46">
                  <c:v>382.24310448239459</c:v>
                </c:pt>
                <c:pt idx="47">
                  <c:v>352.75726329182407</c:v>
                </c:pt>
                <c:pt idx="48">
                  <c:v>360.25319399788003</c:v>
                </c:pt>
                <c:pt idx="49">
                  <c:v>367.74571370177881</c:v>
                </c:pt>
                <c:pt idx="50">
                  <c:v>375.23490175863367</c:v>
                </c:pt>
                <c:pt idx="51">
                  <c:v>382.72083409495696</c:v>
                </c:pt>
                <c:pt idx="52">
                  <c:v>390.20358342243782</c:v>
                </c:pt>
                <c:pt idx="53">
                  <c:v>397.68321943446034</c:v>
                </c:pt>
                <c:pt idx="54">
                  <c:v>405.15980898705612</c:v>
                </c:pt>
                <c:pt idx="55">
                  <c:v>388.13420118594587</c:v>
                </c:pt>
                <c:pt idx="56">
                  <c:v>391.47693094284676</c:v>
                </c:pt>
                <c:pt idx="57">
                  <c:v>394.81904151240332</c:v>
                </c:pt>
                <c:pt idx="58">
                  <c:v>398.16053888286166</c:v>
                </c:pt>
                <c:pt idx="59">
                  <c:v>401.50142893362187</c:v>
                </c:pt>
                <c:pt idx="60">
                  <c:v>404.84171743812561</c:v>
                </c:pt>
                <c:pt idx="61">
                  <c:v>408.18141006664501</c:v>
                </c:pt>
                <c:pt idx="62">
                  <c:v>411.52051238897451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2.0202537000117871</c:v>
                </c:pt>
                <c:pt idx="2">
                  <c:v>2.6319066017014086</c:v>
                </c:pt>
                <c:pt idx="3">
                  <c:v>3.4294994811569341</c:v>
                </c:pt>
                <c:pt idx="4">
                  <c:v>4.4697740150584959</c:v>
                </c:pt>
                <c:pt idx="5">
                  <c:v>5.8268491216253588</c:v>
                </c:pt>
                <c:pt idx="6">
                  <c:v>7.5975603765731456</c:v>
                </c:pt>
                <c:pt idx="7">
                  <c:v>9.9084450343796355</c:v>
                </c:pt>
                <c:pt idx="8">
                  <c:v>12.92488123955205</c:v>
                </c:pt>
                <c:pt idx="9">
                  <c:v>16.863047591056695</c:v>
                </c:pt>
                <c:pt idx="10">
                  <c:v>22.005575736778237</c:v>
                </c:pt>
                <c:pt idx="11">
                  <c:v>28.722039351684362</c:v>
                </c:pt>
                <c:pt idx="12">
                  <c:v>37.495777668551568</c:v>
                </c:pt>
                <c:pt idx="13">
                  <c:v>48.959016888814439</c:v>
                </c:pt>
                <c:pt idx="14">
                  <c:v>63.938862684468994</c:v>
                </c:pt>
                <c:pt idx="15">
                  <c:v>83.517536721987668</c:v>
                </c:pt>
                <c:pt idx="16">
                  <c:v>109.11127889310849</c:v>
                </c:pt>
                <c:pt idx="17">
                  <c:v>106.81557526911295</c:v>
                </c:pt>
                <c:pt idx="18">
                  <c:v>124.16900365793684</c:v>
                </c:pt>
                <c:pt idx="19">
                  <c:v>141.46346401618726</c:v>
                </c:pt>
                <c:pt idx="20">
                  <c:v>158.70719102606964</c:v>
                </c:pt>
                <c:pt idx="21">
                  <c:v>149.60319730872013</c:v>
                </c:pt>
                <c:pt idx="22">
                  <c:v>169.09664015835338</c:v>
                </c:pt>
                <c:pt idx="23">
                  <c:v>188.53710283199996</c:v>
                </c:pt>
                <c:pt idx="24">
                  <c:v>207.9308195045044</c:v>
                </c:pt>
                <c:pt idx="25">
                  <c:v>188.53710283199996</c:v>
                </c:pt>
                <c:pt idx="26">
                  <c:v>209.22219955438308</c:v>
                </c:pt>
                <c:pt idx="27">
                  <c:v>229.86009453547467</c:v>
                </c:pt>
                <c:pt idx="28">
                  <c:v>250.45562182479364</c:v>
                </c:pt>
                <c:pt idx="29">
                  <c:v>224.48990116103005</c:v>
                </c:pt>
                <c:pt idx="30">
                  <c:v>243.5948932063433</c:v>
                </c:pt>
                <c:pt idx="31">
                  <c:v>262.66582457768635</c:v>
                </c:pt>
                <c:pt idx="32">
                  <c:v>281.70551574875822</c:v>
                </c:pt>
                <c:pt idx="33">
                  <c:v>300.7163746975063</c:v>
                </c:pt>
                <c:pt idx="34">
                  <c:v>319.7004800513119</c:v>
                </c:pt>
                <c:pt idx="35">
                  <c:v>277.21568679177352</c:v>
                </c:pt>
                <c:pt idx="36">
                  <c:v>293.67062981705698</c:v>
                </c:pt>
                <c:pt idx="37">
                  <c:v>310.10500044645323</c:v>
                </c:pt>
                <c:pt idx="38">
                  <c:v>326.52004227766406</c:v>
                </c:pt>
                <c:pt idx="39">
                  <c:v>342.9168636601741</c:v>
                </c:pt>
                <c:pt idx="40">
                  <c:v>359.29645830338887</c:v>
                </c:pt>
                <c:pt idx="41">
                  <c:v>319.4873172181201</c:v>
                </c:pt>
                <c:pt idx="42">
                  <c:v>332.05861703935699</c:v>
                </c:pt>
                <c:pt idx="43">
                  <c:v>344.61942555879472</c:v>
                </c:pt>
                <c:pt idx="44">
                  <c:v>357.17017912307307</c:v>
                </c:pt>
                <c:pt idx="45">
                  <c:v>369.7112809035753</c:v>
                </c:pt>
                <c:pt idx="46">
                  <c:v>382.24310448239459</c:v>
                </c:pt>
                <c:pt idx="47">
                  <c:v>352.75726329182407</c:v>
                </c:pt>
                <c:pt idx="48">
                  <c:v>360.25319399788003</c:v>
                </c:pt>
                <c:pt idx="49">
                  <c:v>367.74571370177881</c:v>
                </c:pt>
                <c:pt idx="50">
                  <c:v>375.23490175863367</c:v>
                </c:pt>
                <c:pt idx="51">
                  <c:v>382.72083409495696</c:v>
                </c:pt>
                <c:pt idx="52">
                  <c:v>390.20358342243782</c:v>
                </c:pt>
                <c:pt idx="53">
                  <c:v>397.68321943446034</c:v>
                </c:pt>
                <c:pt idx="54">
                  <c:v>405.15980898705612</c:v>
                </c:pt>
                <c:pt idx="55">
                  <c:v>388.13420118594587</c:v>
                </c:pt>
                <c:pt idx="56">
                  <c:v>391.47693094284676</c:v>
                </c:pt>
                <c:pt idx="57">
                  <c:v>394.81904151240332</c:v>
                </c:pt>
                <c:pt idx="58">
                  <c:v>398.16053888286166</c:v>
                </c:pt>
                <c:pt idx="59">
                  <c:v>401.50142893362187</c:v>
                </c:pt>
                <c:pt idx="60">
                  <c:v>404.84171743812561</c:v>
                </c:pt>
                <c:pt idx="61">
                  <c:v>408.18141006664501</c:v>
                </c:pt>
                <c:pt idx="62">
                  <c:v>411.52051238897451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2.478119393861888</c:v>
                </c:pt>
                <c:pt idx="2">
                  <c:v>2.9527425964063188</c:v>
                </c:pt>
                <c:pt idx="3">
                  <c:v>3.5186065327909621</c:v>
                </c:pt>
                <c:pt idx="4">
                  <c:v>4.1933125811030143</c:v>
                </c:pt>
                <c:pt idx="5">
                  <c:v>4.9978687367477814</c:v>
                </c:pt>
                <c:pt idx="6">
                  <c:v>5.9573509411136714</c:v>
                </c:pt>
                <c:pt idx="7">
                  <c:v>7.1016931542572657</c:v>
                </c:pt>
                <c:pt idx="8">
                  <c:v>8.4666312992933879</c:v>
                </c:pt>
                <c:pt idx="9">
                  <c:v>10.094831122001354</c:v>
                </c:pt>
                <c:pt idx="10">
                  <c:v>12.037235888739211</c:v>
                </c:pt>
                <c:pt idx="11">
                  <c:v>14.354676878402325</c:v>
                </c:pt>
                <c:pt idx="12">
                  <c:v>17.119798036432517</c:v>
                </c:pt>
                <c:pt idx="13">
                  <c:v>20.419356221931722</c:v>
                </c:pt>
                <c:pt idx="14">
                  <c:v>24.35697051729559</c:v>
                </c:pt>
                <c:pt idx="15">
                  <c:v>29.056408471900628</c:v>
                </c:pt>
                <c:pt idx="16">
                  <c:v>34.665514382207711</c:v>
                </c:pt>
                <c:pt idx="17">
                  <c:v>41.360905326743577</c:v>
                </c:pt>
                <c:pt idx="18">
                  <c:v>49.353585342024054</c:v>
                </c:pt>
                <c:pt idx="19">
                  <c:v>58.895657642143874</c:v>
                </c:pt>
                <c:pt idx="20">
                  <c:v>70.288350105273665</c:v>
                </c:pt>
                <c:pt idx="21">
                  <c:v>77.115721108744836</c:v>
                </c:pt>
                <c:pt idx="22">
                  <c:v>83.927716731965816</c:v>
                </c:pt>
                <c:pt idx="23">
                  <c:v>90.725763926973229</c:v>
                </c:pt>
                <c:pt idx="24">
                  <c:v>97.511057643942991</c:v>
                </c:pt>
                <c:pt idx="25">
                  <c:v>104.28461245280984</c:v>
                </c:pt>
                <c:pt idx="26">
                  <c:v>91.083193034949701</c:v>
                </c:pt>
                <c:pt idx="27">
                  <c:v>97.511057643942991</c:v>
                </c:pt>
                <c:pt idx="28">
                  <c:v>103.92838758980963</c:v>
                </c:pt>
                <c:pt idx="29">
                  <c:v>110.33592656570862</c:v>
                </c:pt>
                <c:pt idx="30">
                  <c:v>116.73432460418319</c:v>
                </c:pt>
                <c:pt idx="31">
                  <c:v>110.69162732463077</c:v>
                </c:pt>
                <c:pt idx="32">
                  <c:v>117.08953497430657</c:v>
                </c:pt>
                <c:pt idx="33">
                  <c:v>123.47890428692081</c:v>
                </c:pt>
                <c:pt idx="34">
                  <c:v>129.86024032294594</c:v>
                </c:pt>
                <c:pt idx="35">
                  <c:v>136.23399433545887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F37" sqref="F37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8" t="s">
        <v>291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">
      <c r="B18" s="258" t="s">
        <v>292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69" zoomScale="80" zoomScaleNormal="80" workbookViewId="0">
      <selection activeCell="G87" sqref="G87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3" t="s">
        <v>190</v>
      </c>
      <c r="D1" s="263"/>
      <c r="E1" s="26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4" t="s">
        <v>192</v>
      </c>
      <c r="C3" s="265"/>
      <c r="D3" s="265"/>
      <c r="E3" s="265"/>
      <c r="F3" s="266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9" t="s">
        <v>231</v>
      </c>
      <c r="B5" s="269"/>
      <c r="C5" s="24">
        <v>73.739999999999995</v>
      </c>
      <c r="D5" s="270" t="s">
        <v>229</v>
      </c>
      <c r="E5" s="271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8" t="s">
        <v>226</v>
      </c>
      <c r="B7" s="268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0.64</v>
      </c>
      <c r="D9" s="33">
        <f t="shared" ref="D9:D18" si="0">C9*$C$5</f>
        <v>47.193599999999996</v>
      </c>
      <c r="E9" s="34">
        <v>62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138</v>
      </c>
      <c r="C10" s="32">
        <v>0.15</v>
      </c>
      <c r="D10" s="33">
        <f t="shared" si="0"/>
        <v>11.060999999999998</v>
      </c>
      <c r="E10" s="34">
        <v>62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5</v>
      </c>
      <c r="C11" s="32">
        <v>0.17</v>
      </c>
      <c r="D11" s="33">
        <f t="shared" si="0"/>
        <v>12.5358</v>
      </c>
      <c r="E11" s="34">
        <v>20</v>
      </c>
      <c r="F11" s="35" t="str">
        <f t="array" ref="F11">IF(E11="","",IF(INDEX(A:A,MAX(IF(ISNUMBER($A$88:$A$107),ROW($A$88:$A$107),"")))&lt;&gt;E11,"Corrigez : révolution incorrecte","OK"))</f>
        <v>Corrigez : révolution incorrecte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 t="s">
        <v>10</v>
      </c>
      <c r="C12" s="32">
        <v>8.9999999999999993E-3</v>
      </c>
      <c r="D12" s="33">
        <f t="shared" si="0"/>
        <v>0.66365999999999992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 t="s">
        <v>16</v>
      </c>
      <c r="C13" s="32">
        <v>0.01</v>
      </c>
      <c r="D13" s="33">
        <f t="shared" si="0"/>
        <v>0.73739999999999994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 t="s">
        <v>13</v>
      </c>
      <c r="C14" s="32">
        <v>1E-3</v>
      </c>
      <c r="D14" s="33">
        <f t="shared" si="0"/>
        <v>7.374E-2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 t="s">
        <v>12</v>
      </c>
      <c r="C15" s="32">
        <v>0.01</v>
      </c>
      <c r="D15" s="33">
        <f t="shared" si="0"/>
        <v>0.73739999999999994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 t="s">
        <v>15</v>
      </c>
      <c r="C16" s="32">
        <v>0.01</v>
      </c>
      <c r="D16" s="33">
        <f t="shared" si="0"/>
        <v>0.73739999999999994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73.739999999999966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E21" s="257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7" t="s">
        <v>232</v>
      </c>
      <c r="B22" s="26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8" t="s">
        <v>227</v>
      </c>
      <c r="B30" s="268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16</v>
      </c>
      <c r="B36" s="60">
        <f>66+D36</f>
        <v>81</v>
      </c>
      <c r="C36" s="60">
        <v>1</v>
      </c>
      <c r="D36" s="60">
        <v>15</v>
      </c>
      <c r="E36" s="51">
        <v>0</v>
      </c>
      <c r="F36" s="51">
        <v>0.5</v>
      </c>
      <c r="G36" s="51">
        <v>0.5</v>
      </c>
      <c r="H36" s="51">
        <v>0</v>
      </c>
      <c r="I36" s="49">
        <f>IFERROR(B36/A36,"")</f>
        <v>5.0625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20</v>
      </c>
      <c r="B37" s="60">
        <f>97+D37</f>
        <v>119</v>
      </c>
      <c r="C37" s="60">
        <v>2</v>
      </c>
      <c r="D37" s="60">
        <v>22</v>
      </c>
      <c r="E37" s="51">
        <v>0.2</v>
      </c>
      <c r="F37" s="51">
        <v>0.4</v>
      </c>
      <c r="G37" s="51">
        <v>0.4</v>
      </c>
      <c r="H37" s="51">
        <v>0</v>
      </c>
      <c r="I37" s="53">
        <f t="shared" ref="I37:I55" si="1">IF(A37&lt;&gt;0,(B37-(B36-D36))/(A37-A36),"")</f>
        <v>13.25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24</v>
      </c>
      <c r="B38" s="60">
        <f>126+D38</f>
        <v>157</v>
      </c>
      <c r="C38" s="60">
        <v>3</v>
      </c>
      <c r="D38" s="60">
        <v>31</v>
      </c>
      <c r="E38" s="51">
        <v>0.3</v>
      </c>
      <c r="F38" s="51">
        <v>0.35</v>
      </c>
      <c r="G38" s="51">
        <v>0.35</v>
      </c>
      <c r="H38" s="51">
        <v>0</v>
      </c>
      <c r="I38" s="53">
        <f t="shared" si="1"/>
        <v>15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28</v>
      </c>
      <c r="B39" s="60">
        <f>155+D39</f>
        <v>190</v>
      </c>
      <c r="C39" s="60">
        <v>4</v>
      </c>
      <c r="D39" s="60">
        <v>35</v>
      </c>
      <c r="E39" s="51">
        <v>0.4</v>
      </c>
      <c r="F39" s="51">
        <v>0.3</v>
      </c>
      <c r="G39" s="51">
        <v>0.3</v>
      </c>
      <c r="H39" s="51">
        <v>0</v>
      </c>
      <c r="I39" s="49">
        <f t="shared" si="1"/>
        <v>16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34</v>
      </c>
      <c r="B40" s="60">
        <f>198+D40</f>
        <v>244</v>
      </c>
      <c r="C40" s="60">
        <v>5</v>
      </c>
      <c r="D40" s="60">
        <v>46</v>
      </c>
      <c r="E40" s="51">
        <v>0.5</v>
      </c>
      <c r="F40" s="51">
        <v>0.25</v>
      </c>
      <c r="G40" s="51">
        <v>0.25</v>
      </c>
      <c r="H40" s="51">
        <v>0</v>
      </c>
      <c r="I40" s="49">
        <f t="shared" si="1"/>
        <v>14.833333333333334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40</v>
      </c>
      <c r="B41" s="60">
        <f>234+D41</f>
        <v>275</v>
      </c>
      <c r="C41" s="60">
        <v>6</v>
      </c>
      <c r="D41" s="60">
        <v>41</v>
      </c>
      <c r="E41" s="51">
        <v>0.6</v>
      </c>
      <c r="F41" s="51">
        <v>0.2</v>
      </c>
      <c r="G41" s="51">
        <v>0.2</v>
      </c>
      <c r="H41" s="51">
        <v>0</v>
      </c>
      <c r="I41" s="53">
        <f t="shared" si="1"/>
        <v>12.833333333333334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46</v>
      </c>
      <c r="B42" s="60">
        <f>264+D42</f>
        <v>293</v>
      </c>
      <c r="C42" s="60">
        <v>7</v>
      </c>
      <c r="D42" s="60">
        <v>29</v>
      </c>
      <c r="E42" s="51">
        <v>0.7</v>
      </c>
      <c r="F42" s="51">
        <v>0.15</v>
      </c>
      <c r="G42" s="51">
        <v>0.15</v>
      </c>
      <c r="H42" s="51">
        <v>0</v>
      </c>
      <c r="I42" s="53">
        <f t="shared" si="1"/>
        <v>9.8333333333333339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54</v>
      </c>
      <c r="B43" s="60">
        <f>295+D43</f>
        <v>311</v>
      </c>
      <c r="C43" s="60">
        <v>8</v>
      </c>
      <c r="D43" s="60">
        <v>16</v>
      </c>
      <c r="E43" s="51">
        <v>0.75</v>
      </c>
      <c r="F43" s="51">
        <v>0.1</v>
      </c>
      <c r="G43" s="51">
        <v>0.15</v>
      </c>
      <c r="H43" s="51">
        <v>0</v>
      </c>
      <c r="I43" s="49">
        <f t="shared" si="1"/>
        <v>5.875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62</v>
      </c>
      <c r="B44" s="60">
        <f>309+7</f>
        <v>316</v>
      </c>
      <c r="C44" s="60">
        <v>9</v>
      </c>
      <c r="D44" s="60">
        <v>316</v>
      </c>
      <c r="E44" s="51">
        <v>0.8</v>
      </c>
      <c r="F44" s="51">
        <v>0.1</v>
      </c>
      <c r="G44" s="51">
        <v>0.1</v>
      </c>
      <c r="H44" s="51">
        <v>0</v>
      </c>
      <c r="I44" s="49">
        <f t="shared" si="1"/>
        <v>2.625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Pin taeda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16</v>
      </c>
      <c r="B62" s="60">
        <f>66+D62</f>
        <v>81</v>
      </c>
      <c r="C62" s="60">
        <v>1</v>
      </c>
      <c r="D62" s="60">
        <v>15</v>
      </c>
      <c r="E62" s="51">
        <v>0</v>
      </c>
      <c r="F62" s="51">
        <v>0.5</v>
      </c>
      <c r="G62" s="51">
        <v>0.5</v>
      </c>
      <c r="H62" s="51">
        <v>0</v>
      </c>
      <c r="I62" s="53">
        <f>IFERROR(B62/A62,"")</f>
        <v>5.0625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20</v>
      </c>
      <c r="B63" s="60">
        <f>97+D63</f>
        <v>119</v>
      </c>
      <c r="C63" s="60">
        <v>2</v>
      </c>
      <c r="D63" s="60">
        <v>22</v>
      </c>
      <c r="E63" s="51">
        <v>0.2</v>
      </c>
      <c r="F63" s="51">
        <v>0.4</v>
      </c>
      <c r="G63" s="51">
        <v>0.4</v>
      </c>
      <c r="H63" s="51">
        <v>0</v>
      </c>
      <c r="I63" s="49">
        <f>IF(A63&lt;&gt;0,(B63-(B62-D62))/(A63-A62),"")</f>
        <v>13.25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24</v>
      </c>
      <c r="B64" s="60">
        <f>126+D64</f>
        <v>157</v>
      </c>
      <c r="C64" s="60">
        <v>3</v>
      </c>
      <c r="D64" s="60">
        <v>31</v>
      </c>
      <c r="E64" s="51">
        <v>0.3</v>
      </c>
      <c r="F64" s="51">
        <v>0.35</v>
      </c>
      <c r="G64" s="51">
        <v>0.35</v>
      </c>
      <c r="H64" s="51">
        <v>0</v>
      </c>
      <c r="I64" s="49">
        <f>IF(A64&lt;&gt;0,(B64-(B63-D63))/(A64-A63),"")</f>
        <v>15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28</v>
      </c>
      <c r="B65" s="60">
        <f>155+D65</f>
        <v>190</v>
      </c>
      <c r="C65" s="60">
        <v>4</v>
      </c>
      <c r="D65" s="60">
        <v>35</v>
      </c>
      <c r="E65" s="51">
        <v>0.4</v>
      </c>
      <c r="F65" s="51">
        <v>0.3</v>
      </c>
      <c r="G65" s="51">
        <v>0.3</v>
      </c>
      <c r="H65" s="51">
        <v>0</v>
      </c>
      <c r="I65" s="49">
        <f>IF(A65&lt;&gt;0,(B65-(B64-D64))/(A65-A64),"")</f>
        <v>16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34</v>
      </c>
      <c r="B66" s="60">
        <f>198+D66</f>
        <v>244</v>
      </c>
      <c r="C66" s="60">
        <v>5</v>
      </c>
      <c r="D66" s="60">
        <v>46</v>
      </c>
      <c r="E66" s="51">
        <v>0.5</v>
      </c>
      <c r="F66" s="51">
        <v>0.25</v>
      </c>
      <c r="G66" s="51">
        <v>0.25</v>
      </c>
      <c r="H66" s="51">
        <v>0</v>
      </c>
      <c r="I66" s="49">
        <f t="shared" ref="I66:I81" si="2">IF(A66&lt;&gt;0,(B66-(B65-D65))/(A66-A65),"")</f>
        <v>14.833333333333334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40</v>
      </c>
      <c r="B67" s="60">
        <f>234+D67</f>
        <v>275</v>
      </c>
      <c r="C67" s="60">
        <v>6</v>
      </c>
      <c r="D67" s="60">
        <v>41</v>
      </c>
      <c r="E67" s="51">
        <v>0.6</v>
      </c>
      <c r="F67" s="51">
        <v>0.2</v>
      </c>
      <c r="G67" s="51">
        <v>0.2</v>
      </c>
      <c r="H67" s="51">
        <v>0</v>
      </c>
      <c r="I67" s="49">
        <f t="shared" si="2"/>
        <v>12.833333333333334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46</v>
      </c>
      <c r="B68" s="60">
        <f>264+D68</f>
        <v>293</v>
      </c>
      <c r="C68" s="60">
        <v>7</v>
      </c>
      <c r="D68" s="60">
        <v>29</v>
      </c>
      <c r="E68" s="51">
        <v>0.7</v>
      </c>
      <c r="F68" s="51">
        <v>0.15</v>
      </c>
      <c r="G68" s="51">
        <v>0.15</v>
      </c>
      <c r="H68" s="51">
        <v>0</v>
      </c>
      <c r="I68" s="49">
        <f t="shared" si="2"/>
        <v>9.8333333333333339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54</v>
      </c>
      <c r="B69" s="50">
        <f>295+D69</f>
        <v>311</v>
      </c>
      <c r="C69" s="50">
        <v>8</v>
      </c>
      <c r="D69" s="50">
        <v>16</v>
      </c>
      <c r="E69" s="51">
        <v>0.75</v>
      </c>
      <c r="F69" s="51">
        <v>0.1</v>
      </c>
      <c r="G69" s="51">
        <v>0.15</v>
      </c>
      <c r="H69" s="51">
        <v>0</v>
      </c>
      <c r="I69" s="49">
        <f t="shared" si="2"/>
        <v>5.875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62</v>
      </c>
      <c r="B70" s="50">
        <f>309+7</f>
        <v>316</v>
      </c>
      <c r="C70" s="50">
        <v>9</v>
      </c>
      <c r="D70" s="50">
        <v>316</v>
      </c>
      <c r="E70" s="51">
        <v>0.8</v>
      </c>
      <c r="F70" s="51">
        <v>0.1</v>
      </c>
      <c r="G70" s="51">
        <v>0.1</v>
      </c>
      <c r="H70" s="51">
        <v>0</v>
      </c>
      <c r="I70" s="49">
        <f t="shared" si="2"/>
        <v>2.625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Bouleau verruqueux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20</v>
      </c>
      <c r="B88" s="60">
        <v>38</v>
      </c>
      <c r="C88" s="60"/>
      <c r="D88" s="60"/>
      <c r="E88" s="51"/>
      <c r="F88" s="51"/>
      <c r="G88" s="51"/>
      <c r="H88" s="87"/>
      <c r="I88" s="53">
        <f>IFERROR(B88/A88,"")</f>
        <v>1.9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25</v>
      </c>
      <c r="B89" s="60">
        <f>46+11</f>
        <v>57</v>
      </c>
      <c r="C89" s="60">
        <v>1</v>
      </c>
      <c r="D89" s="60">
        <v>11</v>
      </c>
      <c r="E89" s="51">
        <v>0</v>
      </c>
      <c r="F89" s="51">
        <v>0</v>
      </c>
      <c r="G89" s="51">
        <v>1</v>
      </c>
      <c r="H89" s="87">
        <v>0</v>
      </c>
      <c r="I89" s="53">
        <f t="shared" ref="I89:I107" si="3">IF(A89&lt;&gt;0,(B89-(B88-D88))/(A89-A88),"")</f>
        <v>3.8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30</v>
      </c>
      <c r="B90" s="60">
        <f>57+7</f>
        <v>64</v>
      </c>
      <c r="C90" s="60">
        <v>2</v>
      </c>
      <c r="D90" s="60">
        <v>7</v>
      </c>
      <c r="E90" s="87">
        <v>0</v>
      </c>
      <c r="F90" s="87">
        <v>0</v>
      </c>
      <c r="G90" s="87">
        <v>1</v>
      </c>
      <c r="H90" s="87">
        <v>0</v>
      </c>
      <c r="I90" s="53">
        <f t="shared" si="3"/>
        <v>3.6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35</v>
      </c>
      <c r="B91" s="60">
        <f>68+7</f>
        <v>75</v>
      </c>
      <c r="C91" s="60">
        <v>3</v>
      </c>
      <c r="D91" s="60">
        <v>75</v>
      </c>
      <c r="E91" s="87">
        <v>0</v>
      </c>
      <c r="F91" s="87">
        <v>0</v>
      </c>
      <c r="G91" s="87">
        <v>1</v>
      </c>
      <c r="H91" s="87">
        <v>0</v>
      </c>
      <c r="I91" s="53">
        <f t="shared" si="3"/>
        <v>3.6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Chêne-liège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>Chêne vert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>Chêne rouge d'Amérique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>Chêne pubescent</v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>Chêne tauzin</v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6" sqref="G16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3" t="s">
        <v>191</v>
      </c>
      <c r="C2" s="274"/>
      <c r="D2" s="274"/>
      <c r="E2" s="274"/>
      <c r="F2" s="274"/>
      <c r="G2" s="27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2"/>
      <c r="C4" s="272"/>
      <c r="D4" s="272"/>
      <c r="E4" s="272"/>
      <c r="F4" s="272"/>
      <c r="G4" s="27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9" t="s">
        <v>176</v>
      </c>
      <c r="C1" s="280"/>
      <c r="D1" s="280"/>
      <c r="E1" s="280"/>
      <c r="F1" s="280"/>
      <c r="G1" s="280"/>
      <c r="H1" s="281"/>
      <c r="I1" s="276" t="str">
        <f>IF('Données projet'!$B$9="","",'Données projet'!$B$9)</f>
        <v>Pin maritime</v>
      </c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8"/>
      <c r="AD1" s="277" t="str">
        <f>IF('Données projet'!$B$10="","",'Données projet'!$B$10)</f>
        <v>Pin taeda</v>
      </c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8"/>
      <c r="AY1" s="276" t="str">
        <f>IF('Données projet'!$B$11="","",'Données projet'!$B$11)</f>
        <v>Bouleau verruqueux</v>
      </c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8"/>
      <c r="BT1" s="276" t="str">
        <f>IF('Données projet'!$B$12="","",'Données projet'!$B$12)</f>
        <v>Chêne-liège</v>
      </c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8"/>
      <c r="CO1" s="276" t="str">
        <f>IF('Données projet'!$B$13="","",'Données projet'!$B$13)</f>
        <v>Chêne vert</v>
      </c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8"/>
      <c r="DJ1" s="276" t="str">
        <f>IF('Données projet'!$B$14="","",'Données projet'!$B$14)</f>
        <v>Chêne rouge d'Amérique</v>
      </c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8"/>
      <c r="EE1" s="276" t="str">
        <f>IF('Données projet'!$B$15="","",'Données projet'!$B$15)</f>
        <v>Chêne pubescent</v>
      </c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8"/>
      <c r="EZ1" s="276" t="str">
        <f>IF('Données projet'!$B$16="","",'Données projet'!$B$16)</f>
        <v>Chêne tauzin</v>
      </c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8"/>
      <c r="FU1" s="276" t="str">
        <f>IF('Données projet'!$B$17="","",'Données projet'!$B$17)</f>
        <v/>
      </c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8"/>
      <c r="GP1" s="276" t="str">
        <f>IF('Données projet'!$B$18="","",'Données projet'!$B$18)</f>
        <v/>
      </c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8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186.90544184210381</v>
      </c>
      <c r="T3" s="59">
        <f>IF('Données projet'!E9&gt;30,$R$33-$H$33,LOOKUP('Données projet'!$E$9,$A$3:$A$203,R3:R203)-LOOKUP('Données projet'!$E$9,$A$3:$A$203,$H$3:$H$203))</f>
        <v>202.05988514450519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186.90544184210381</v>
      </c>
      <c r="AO3" s="59">
        <f>IF('Données projet'!E10&gt;30,$AM$33-$H$33,LOOKUP('Données projet'!$E$10,$A$3:$A$203,AM3:AM203)-LOOKUP('Données projet'!$E$10,$A$3:$A$203,$H$3:$H$203))</f>
        <v>202.05988514450519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5.8584049049231908</v>
      </c>
      <c r="BJ3" s="59">
        <f>IF('Données projet'!E11&gt;30,$BH$33-$H$33,LOOKUP('Données projet'!$E$11,$A$3:$A$203,BH3:BH203)-LOOKUP('Données projet'!$E$11,$A$3:$A$203,$H$3:$H$203))</f>
        <v>42.266833200216638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0</v>
      </c>
      <c r="CE3" s="59">
        <f>IF('Données projet'!E12&gt;30,$CC$33-$H$33,LOOKUP('Données projet'!$E$12,$A$3:$A$203,CC3:CC203)-LOOKUP('Données projet'!$E$12,$A$3:$A$203,$H$3:$H$203))</f>
        <v>0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0</v>
      </c>
      <c r="CZ3" s="59">
        <f>IF('Données projet'!E13&gt;30,$CX$33-$H$33,LOOKUP('Données projet'!$E$13,$A$3:$A$203,CX3:CX203)-LOOKUP('Données projet'!$E$13,$A$3:$A$203,$H$3:$H$203))</f>
        <v>0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293.33333333333331</v>
      </c>
      <c r="DT3" s="59">
        <f ca="1">AVERAGE(OFFSET($DS$3,0,0,'Données projet'!$E$14+1,1))-AVERAGE(OFFSET($H$3,0,0,'Données projet'!$E$14+1,1))</f>
        <v>0</v>
      </c>
      <c r="DU3" s="59">
        <f>IF('Données projet'!E14&gt;30,$DS$33-$H$33,LOOKUP('Données projet'!$E$14,$A$3:$A$203,DS3:DS203)-LOOKUP('Données projet'!$E$14,$A$3:$A$203,$H$3:$H$203))</f>
        <v>0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293.33333333333331</v>
      </c>
      <c r="EO3" s="59">
        <f ca="1">AVERAGE(OFFSET($EN$3,0,0,'Données projet'!$E$15+1,1))-AVERAGE(OFFSET($H$3,0,0,'Données projet'!$E$15+1,1))</f>
        <v>0</v>
      </c>
      <c r="EP3" s="59">
        <f>IF('Données projet'!E15&gt;30,$EN$33-$H$33,LOOKUP('Données projet'!$E$15,$A$3:$A$203,EN3:EN203)-LOOKUP('Données projet'!$E$15,$A$3:$A$203,$H$3:$H$203))</f>
        <v>0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>
        <f>FE3*VLOOKUP('Données projet'!$B$16,Paramètres!$A$1:$I$89,3,0)*VLOOKUP('Données projet'!$B$16,Paramètres!$A$1:$I$89,5,0)</f>
        <v>0</v>
      </c>
      <c r="FG3" s="12">
        <v>0</v>
      </c>
      <c r="FH3" s="14">
        <f>(FF3+FG3)*0.475*44/12</f>
        <v>0</v>
      </c>
      <c r="FI3" s="59">
        <f>FH3+(EZ3+FA3)*44/12</f>
        <v>293.33333333333331</v>
      </c>
      <c r="FJ3" s="59">
        <f ca="1">AVERAGE(OFFSET($FI$3,0,0,'Données projet'!$E$16+1,1))-AVERAGE(OFFSET($H$3,0,0,'Données projet'!$E$16+1,1))</f>
        <v>0</v>
      </c>
      <c r="FK3" s="59">
        <f>IF('Données projet'!E16&gt;30,$FI$33-$H$33,LOOKUP('Données projet'!$E$16,$A$3:$A$203,FI3:FI203)-LOOKUP('Données projet'!$E$16,$A$3:$A$203,$H$3:$H$203))</f>
        <v>0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ref="H4:H67" si="1">(B4+E4+F4)*44/12+(C4+D4)*0.475*44/12</f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5.0625</v>
      </c>
      <c r="N4" s="13">
        <f>IF('Données projet'!$A$36&gt;35,N3+M4-V3,IF(A4&lt;'Données projet'!$A$36,$K$205^A4,IF(A4='Données projet'!$A$36,'Données projet'!$B$36,N3+M4-V3)))</f>
        <v>1.3160740129524926</v>
      </c>
      <c r="O4" s="13">
        <f>N4*VLOOKUP('Données projet'!$B$9,Paramètres!$A$1:$I$89,3,0)*VLOOKUP('Données projet'!$B$9,Paramètres!$A$1:$I$89,5,0)</f>
        <v>0.78701225974559064</v>
      </c>
      <c r="P4" s="13">
        <f>EXP(-1.0587+0.8836*LN(O4)+0.284)</f>
        <v>0.37294201777313857</v>
      </c>
      <c r="Q4" s="20">
        <f t="shared" ref="Q4:Q34" si="2">(O4+P4)*0.475*44/12</f>
        <v>2.0202537000117871</v>
      </c>
      <c r="R4" s="59">
        <f t="shared" si="0"/>
        <v>295.35358703334509</v>
      </c>
      <c r="S4" s="59">
        <f ca="1">AVERAGE(OFFSET($R$3,0,0,'Données projet'!$E$9+1,1))-AVERAGE(OFFSET($H$3,0,0,'Données projet'!$E$9+1,1))</f>
        <v>186.90544184210381</v>
      </c>
      <c r="T4" s="59">
        <f>$T$3</f>
        <v>202.05988514450519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5.0625</v>
      </c>
      <c r="AI4" s="13">
        <f>IF('Données projet'!$A$62&gt;35,AI3+AH4-AQ3,IF(A4&lt;'Données projet'!$A$62,$AF$205^A4,IF(A4='Données projet'!$A$62,'Données projet'!$B$62,AI3+AH4-AQ3)))</f>
        <v>1.3160740129524926</v>
      </c>
      <c r="AJ4" s="13">
        <f>AI4*VLOOKUP('Données projet'!$B$10,Paramètres!$A$1:$I$89,3,0)*VLOOKUP('Données projet'!$B$10,Paramètres!$A$1:$I$89,5,0)</f>
        <v>0.78701225974559064</v>
      </c>
      <c r="AK4" s="13">
        <f>EXP(-1.0587+0.8836*LN(AJ4)+0.284)</f>
        <v>0.37294201777313857</v>
      </c>
      <c r="AL4" s="20">
        <f t="shared" ref="AL4:AL67" si="4">(AJ4+AK4)*0.475*44/12</f>
        <v>2.0202537000117871</v>
      </c>
      <c r="AM4" s="59">
        <f t="shared" ref="AM4:AM67" si="5">AL4+(AD4+AE4)*44/12</f>
        <v>295.35358703334509</v>
      </c>
      <c r="AN4" s="59">
        <f ca="1">AVERAGE(OFFSET($AM$3,0,0,'Données projet'!$E$10+1,1))-AVERAGE(OFFSET($H$3,0,0,'Données projet'!$E$10+1,1))</f>
        <v>186.90544184210381</v>
      </c>
      <c r="AO4" s="59">
        <f>$AO$3</f>
        <v>202.05988514450519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1.9</v>
      </c>
      <c r="BD4" s="12">
        <f>IF('Données projet'!$A$88&gt;35,BD3+BC4-BL3,IF(A4&lt;'Données projet'!$A$88,$BA$205^A4,IF(A4='Données projet'!$A$88,'Données projet'!$B$88,BD3+BC4-BL3)))</f>
        <v>1.199469418763945</v>
      </c>
      <c r="BE4" s="13">
        <f>BD4*VLOOKUP('Données projet'!$B$11,Paramètres!$A$1:$I$89,3,0)*VLOOKUP('Données projet'!$B$11,Paramètres!$A$1:$I$89,5,0)</f>
        <v>0.97300959250131236</v>
      </c>
      <c r="BF4" s="13">
        <f>EXP(-1.0587+0.8836*LN(BE4)+0.284)</f>
        <v>0.44983407861556124</v>
      </c>
      <c r="BG4" s="20">
        <f t="shared" ref="BG4:BG67" si="7">(BE4+BF4)*0.475*44/12</f>
        <v>2.478119393861888</v>
      </c>
      <c r="BH4" s="59">
        <f t="shared" ref="BH4:BH67" si="8">BG4+(AY4+AZ4)*44/12</f>
        <v>295.81145272719522</v>
      </c>
      <c r="BI4" s="59">
        <f ca="1">AVERAGE(OFFSET($BH$3,0,0,'Données projet'!$E$11+1,1))-AVERAGE(OFFSET($H$3,0,0,'Données projet'!$E$11+1,1))</f>
        <v>5.8584049049231908</v>
      </c>
      <c r="BJ4" s="59">
        <f>$BJ$3</f>
        <v>42.266833200216638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>
        <f>BY4*VLOOKUP('Données projet'!$B$12,Paramètres!$A$1:$I$89,3,0)*VLOOKUP('Données projet'!$B$12,Paramètres!$A$1:$I$89,5,0)</f>
        <v>0</v>
      </c>
      <c r="CA4" s="13" t="e">
        <f>EXP(-1.0587+0.8836*LN(BZ4)+0.284)</f>
        <v>#NUM!</v>
      </c>
      <c r="CB4" s="20" t="e">
        <f t="shared" ref="CB4:CB67" si="10">(BZ4+CA4)*0.475*44/12</f>
        <v>#NUM!</v>
      </c>
      <c r="CC4" s="59" t="e">
        <f t="shared" ref="CC4:CC67" si="11">CB4+(BT4+BU4)*44/12</f>
        <v>#NUM!</v>
      </c>
      <c r="CD4" s="59">
        <f ca="1">AVERAGE(OFFSET($CC$3,0,0,'Données projet'!$E$12+1,1))-AVERAGE(OFFSET($H$3,0,0,'Données projet'!$E$12+1,1))</f>
        <v>0</v>
      </c>
      <c r="CE4" s="59">
        <f>$CE$3</f>
        <v>0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>
        <f>CT4*VLOOKUP('Données projet'!$B$13,Paramètres!$A$1:$I$89,3,0)*VLOOKUP('Données projet'!$B$13,Paramètres!$A$1:$I$89,5,0)</f>
        <v>0</v>
      </c>
      <c r="CV4" s="13" t="e">
        <f>EXP(-1.0587+0.8836*LN(CU4)+0.284)</f>
        <v>#NUM!</v>
      </c>
      <c r="CW4" s="20" t="e">
        <f t="shared" ref="CW4:CW67" si="13">(CU4+CV4)*0.475*44/12</f>
        <v>#NUM!</v>
      </c>
      <c r="CX4" s="59" t="e">
        <f t="shared" ref="CX4:CX67" si="14">CW4+(CO4+CP4)*44/12</f>
        <v>#NUM!</v>
      </c>
      <c r="CY4" s="59">
        <f ca="1">AVERAGE(OFFSET($CX$3,0,0,'Données projet'!$E$13+1,1))-AVERAGE(OFFSET($H$3,0,0,'Données projet'!$E$13+1,1))</f>
        <v>0</v>
      </c>
      <c r="CZ4" s="59">
        <f>$CZ$3</f>
        <v>0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>
        <f>DO4*VLOOKUP('Données projet'!$B$14,Paramètres!$A$1:$I$89,3,0)*VLOOKUP('Données projet'!$B$14,Paramètres!$A$1:$I$89,5,0)</f>
        <v>0</v>
      </c>
      <c r="DQ4" s="13" t="e">
        <f>EXP(-1.0587+0.8836*LN(DP4)+0.284)</f>
        <v>#NUM!</v>
      </c>
      <c r="DR4" s="20" t="e">
        <f t="shared" ref="DR4:DR67" si="16">(DP4+DQ4)*0.475*44/12</f>
        <v>#NUM!</v>
      </c>
      <c r="DS4" s="59" t="e">
        <f t="shared" ref="DS4:DS67" si="17">DR4+(DJ4+DK4)*44/12</f>
        <v>#NUM!</v>
      </c>
      <c r="DT4" s="59">
        <f ca="1">AVERAGE(OFFSET($DS$3,0,0,'Données projet'!$E$14+1,1))-AVERAGE(OFFSET($H$3,0,0,'Données projet'!$E$14+1,1))</f>
        <v>0</v>
      </c>
      <c r="DU4" s="59">
        <f>$DU$3</f>
        <v>0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>
        <f>EJ4*VLOOKUP('Données projet'!$B$15,Paramètres!$A$1:$I$89,3,0)*VLOOKUP('Données projet'!$B$15,Paramètres!$A$1:$I$89,5,0)</f>
        <v>0</v>
      </c>
      <c r="EL4" s="13" t="e">
        <f>EXP(-1.0587+0.8836*LN(EK4)+0.284)</f>
        <v>#NUM!</v>
      </c>
      <c r="EM4" s="20" t="e">
        <f t="shared" ref="EM4:EM67" si="19">(EK4+EL4)*0.475*44/12</f>
        <v>#NUM!</v>
      </c>
      <c r="EN4" s="59" t="e">
        <f t="shared" ref="EN4:EN67" si="20">EM4+(EE4+EF4)*44/12</f>
        <v>#NUM!</v>
      </c>
      <c r="EO4" s="59">
        <f ca="1">AVERAGE(OFFSET($EN$3,0,0,'Données projet'!$E$15+1,1))-AVERAGE(OFFSET($H$3,0,0,'Données projet'!$E$15+1,1))</f>
        <v>0</v>
      </c>
      <c r="EP4" s="59">
        <f>$EP$3</f>
        <v>0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>
        <f>FE4*VLOOKUP('Données projet'!$B$16,Paramètres!$A$1:$I$89,3,0)*VLOOKUP('Données projet'!$B$16,Paramètres!$A$1:$I$89,5,0)</f>
        <v>0</v>
      </c>
      <c r="FG4" s="13" t="e">
        <f>EXP(-1.0587+0.8836*LN(FF4)+0.284)</f>
        <v>#NUM!</v>
      </c>
      <c r="FH4" s="20" t="e">
        <f t="shared" ref="FH4:FH67" si="22">(FF4+FG4)*0.475*44/12</f>
        <v>#NUM!</v>
      </c>
      <c r="FI4" s="59" t="e">
        <f t="shared" ref="FI4:FI67" si="23">FH4+(EZ4+FA4)*44/12</f>
        <v>#NUM!</v>
      </c>
      <c r="FJ4" s="59">
        <f ca="1">AVERAGE(OFFSET($FI$3,0,0,'Données projet'!$E$16+1,1))-AVERAGE(OFFSET($H$3,0,0,'Données projet'!$E$16+1,1))</f>
        <v>0</v>
      </c>
      <c r="FK4" s="59">
        <f>$FK$3</f>
        <v>0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>
        <f>EXP(-LN(2)/35)*FQ3+(1-EXP(-LN(2)/35))/(LN(2)/35)*FM4*FN4*VLOOKUP('Données projet'!$B$16,Paramètres!$A$1:$I$89,3,0)*0.475*44/12</f>
        <v>0</v>
      </c>
      <c r="FR4" s="21">
        <f>EXP(-LN(2)/25)*FR3+(1-EXP(-LN(2)/25))/(LN(2)/25)*Calculateur!FM4*Calculateur!FO4*VLOOKUP('Données projet'!$B$16,Paramètres!$A$1:$I$89,3,0)*0.475*44/12</f>
        <v>0</v>
      </c>
      <c r="FS4" s="21">
        <f>EXP(-LN(2)/2)*FS3+(1-EXP(-LN(2)/2))/(LN(2)/2)*FM4*FP4*VLOOKUP('Données projet'!$B$16,Paramètres!$A$1:$I$89,3,0)*0.475*44/12</f>
        <v>0</v>
      </c>
      <c r="FT4" s="22">
        <f t="shared" ref="FT4:FT67" si="24">SUM(FQ4:FS4)</f>
        <v>0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1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5.0625</v>
      </c>
      <c r="N5" s="13">
        <f>IF('Données projet'!$A$36&gt;35,N4+M5-V4,IF(A5&lt;'Données projet'!$A$36,$K$205^A5,IF(A5='Données projet'!$A$36,'Données projet'!$B$36,N4+M5-V4)))</f>
        <v>1.7320508075688776</v>
      </c>
      <c r="O5" s="13">
        <f>N5*VLOOKUP('Données projet'!$B$9,Paramètres!$A$1:$I$89,3,0)*VLOOKUP('Données projet'!$B$9,Paramètres!$A$1:$I$89,5,0)</f>
        <v>1.0357663829261889</v>
      </c>
      <c r="P5" s="13">
        <f t="shared" ref="P5:P68" si="33">EXP(-1.0587+0.8836*LN(O5)+0.284)</f>
        <v>0.47537616350524192</v>
      </c>
      <c r="Q5" s="20">
        <f t="shared" si="2"/>
        <v>2.6319066017014086</v>
      </c>
      <c r="R5" s="59">
        <f t="shared" si="0"/>
        <v>295.96523993503473</v>
      </c>
      <c r="S5" s="59">
        <f ca="1">AVERAGE(OFFSET($R$3,0,0,'Données projet'!$E$9+1,1))-AVERAGE(OFFSET($H$3,0,0,'Données projet'!$E$9+1,1))</f>
        <v>186.90544184210381</v>
      </c>
      <c r="T5" s="59">
        <f t="shared" ref="T5:T68" si="34">$T$3</f>
        <v>202.05988514450519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5.0625</v>
      </c>
      <c r="AI5" s="13">
        <f>IF('Données projet'!$A$62&gt;35,AI4+AH5-AQ4,IF(A5&lt;'Données projet'!$A$62,$AF$205^A5,IF(A5='Données projet'!$A$62,'Données projet'!$B$62,AI4+AH5-AQ4)))</f>
        <v>1.7320508075688776</v>
      </c>
      <c r="AJ5" s="13">
        <f>AI5*VLOOKUP('Données projet'!$B$10,Paramètres!$A$1:$I$89,3,0)*VLOOKUP('Données projet'!$B$10,Paramètres!$A$1:$I$89,5,0)</f>
        <v>1.0357663829261889</v>
      </c>
      <c r="AK5" s="13">
        <f t="shared" ref="AK5:AK68" si="35">EXP(-1.0587+0.8836*LN(AJ5)+0.284)</f>
        <v>0.47537616350524192</v>
      </c>
      <c r="AL5" s="20">
        <f t="shared" si="4"/>
        <v>2.6319066017014086</v>
      </c>
      <c r="AM5" s="59">
        <f t="shared" si="5"/>
        <v>295.96523993503473</v>
      </c>
      <c r="AN5" s="59">
        <f ca="1">AVERAGE(OFFSET($AM$3,0,0,'Données projet'!$E$10+1,1))-AVERAGE(OFFSET($H$3,0,0,'Données projet'!$E$10+1,1))</f>
        <v>186.90544184210381</v>
      </c>
      <c r="AO5" s="59">
        <f t="shared" ref="AO5:AO68" si="36">$AO$3</f>
        <v>202.05988514450519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1.9</v>
      </c>
      <c r="BD5" s="12">
        <f>IF('Données projet'!$A$88&gt;35,BD4+BC5-BL4,IF(A5&lt;'Données projet'!$A$88,$BA$205^A5,IF(A5='Données projet'!$A$88,'Données projet'!$B$88,BD4+BC5-BL4)))</f>
        <v>1.4387268865499161</v>
      </c>
      <c r="BE5" s="13">
        <f>BD5*VLOOKUP('Données projet'!$B$11,Paramètres!$A$1:$I$89,3,0)*VLOOKUP('Données projet'!$B$11,Paramètres!$A$1:$I$89,5,0)</f>
        <v>1.167095250369292</v>
      </c>
      <c r="BF5" s="13">
        <f t="shared" ref="BF5:BF68" si="37">EXP(-1.0587+0.8836*LN(BE5)+0.284)</f>
        <v>0.52825935043816374</v>
      </c>
      <c r="BG5" s="20">
        <f t="shared" si="7"/>
        <v>2.9527425964063188</v>
      </c>
      <c r="BH5" s="59">
        <f t="shared" si="8"/>
        <v>296.28607592973964</v>
      </c>
      <c r="BI5" s="59">
        <f ca="1">AVERAGE(OFFSET($BH$3,0,0,'Données projet'!$E$11+1,1))-AVERAGE(OFFSET($H$3,0,0,'Données projet'!$E$11+1,1))</f>
        <v>5.8584049049231908</v>
      </c>
      <c r="BJ5" s="59">
        <f t="shared" ref="BJ5:BJ68" si="38">$BJ$3</f>
        <v>42.266833200216638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>
        <f>BY5*VLOOKUP('Données projet'!$B$12,Paramètres!$A$1:$I$89,3,0)*VLOOKUP('Données projet'!$B$12,Paramètres!$A$1:$I$89,5,0)</f>
        <v>0</v>
      </c>
      <c r="CA5" s="13" t="e">
        <f t="shared" ref="CA5:CA68" si="39">EXP(-1.0587+0.8836*LN(BZ5)+0.284)</f>
        <v>#NUM!</v>
      </c>
      <c r="CB5" s="20" t="e">
        <f t="shared" si="10"/>
        <v>#NUM!</v>
      </c>
      <c r="CC5" s="59" t="e">
        <f t="shared" si="11"/>
        <v>#NUM!</v>
      </c>
      <c r="CD5" s="59">
        <f ca="1">AVERAGE(OFFSET($CC$3,0,0,'Données projet'!$E$12+1,1))-AVERAGE(OFFSET($H$3,0,0,'Données projet'!$E$12+1,1))</f>
        <v>0</v>
      </c>
      <c r="CE5" s="59">
        <f t="shared" ref="CE5:CE68" si="40">$CE$3</f>
        <v>0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>
        <f>CT5*VLOOKUP('Données projet'!$B$13,Paramètres!$A$1:$I$89,3,0)*VLOOKUP('Données projet'!$B$13,Paramètres!$A$1:$I$89,5,0)</f>
        <v>0</v>
      </c>
      <c r="CV5" s="13" t="e">
        <f t="shared" ref="CV5:CV68" si="41">EXP(-1.0587+0.8836*LN(CU5)+0.284)</f>
        <v>#NUM!</v>
      </c>
      <c r="CW5" s="20" t="e">
        <f t="shared" si="13"/>
        <v>#NUM!</v>
      </c>
      <c r="CX5" s="59" t="e">
        <f t="shared" si="14"/>
        <v>#NUM!</v>
      </c>
      <c r="CY5" s="59">
        <f ca="1">AVERAGE(OFFSET($CX$3,0,0,'Données projet'!$E$13+1,1))-AVERAGE(OFFSET($H$3,0,0,'Données projet'!$E$13+1,1))</f>
        <v>0</v>
      </c>
      <c r="CZ5" s="59">
        <f t="shared" ref="CZ5:CZ68" si="42">$CZ$3</f>
        <v>0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>
        <f>DO5*VLOOKUP('Données projet'!$B$14,Paramètres!$A$1:$I$89,3,0)*VLOOKUP('Données projet'!$B$14,Paramètres!$A$1:$I$89,5,0)</f>
        <v>0</v>
      </c>
      <c r="DQ5" s="13" t="e">
        <f t="shared" ref="DQ5:DQ68" si="43">EXP(-1.0587+0.8836*LN(DP5)+0.284)</f>
        <v>#NUM!</v>
      </c>
      <c r="DR5" s="20" t="e">
        <f t="shared" si="16"/>
        <v>#NUM!</v>
      </c>
      <c r="DS5" s="59" t="e">
        <f t="shared" si="17"/>
        <v>#NUM!</v>
      </c>
      <c r="DT5" s="59">
        <f ca="1">AVERAGE(OFFSET($DS$3,0,0,'Données projet'!$E$14+1,1))-AVERAGE(OFFSET($H$3,0,0,'Données projet'!$E$14+1,1))</f>
        <v>0</v>
      </c>
      <c r="DU5" s="59">
        <f t="shared" ref="DU5:DU68" si="44">$DU$3</f>
        <v>0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>
        <f>EJ5*VLOOKUP('Données projet'!$B$15,Paramètres!$A$1:$I$89,3,0)*VLOOKUP('Données projet'!$B$15,Paramètres!$A$1:$I$89,5,0)</f>
        <v>0</v>
      </c>
      <c r="EL5" s="13" t="e">
        <f t="shared" ref="EL5:EL68" si="45">EXP(-1.0587+0.8836*LN(EK5)+0.284)</f>
        <v>#NUM!</v>
      </c>
      <c r="EM5" s="20" t="e">
        <f t="shared" si="19"/>
        <v>#NUM!</v>
      </c>
      <c r="EN5" s="59" t="e">
        <f t="shared" si="20"/>
        <v>#NUM!</v>
      </c>
      <c r="EO5" s="59">
        <f ca="1">AVERAGE(OFFSET($EN$3,0,0,'Données projet'!$E$15+1,1))-AVERAGE(OFFSET($H$3,0,0,'Données projet'!$E$15+1,1))</f>
        <v>0</v>
      </c>
      <c r="EP5" s="59">
        <f t="shared" ref="EP5:EP68" si="46">$EP$3</f>
        <v>0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>
        <f>FE5*VLOOKUP('Données projet'!$B$16,Paramètres!$A$1:$I$89,3,0)*VLOOKUP('Données projet'!$B$16,Paramètres!$A$1:$I$89,5,0)</f>
        <v>0</v>
      </c>
      <c r="FG5" s="13" t="e">
        <f t="shared" ref="FG5:FG68" si="47">EXP(-1.0587+0.8836*LN(FF5)+0.284)</f>
        <v>#NUM!</v>
      </c>
      <c r="FH5" s="20" t="e">
        <f t="shared" si="22"/>
        <v>#NUM!</v>
      </c>
      <c r="FI5" s="59" t="e">
        <f t="shared" si="23"/>
        <v>#NUM!</v>
      </c>
      <c r="FJ5" s="59">
        <f ca="1">AVERAGE(OFFSET($FI$3,0,0,'Données projet'!$E$16+1,1))-AVERAGE(OFFSET($H$3,0,0,'Données projet'!$E$16+1,1))</f>
        <v>0</v>
      </c>
      <c r="FK5" s="59">
        <f t="shared" ref="FK5:FK68" si="48">$FK$3</f>
        <v>0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>
        <f>EXP(-LN(2)/35)*FQ4+(1-EXP(-LN(2)/35))/(LN(2)/35)*FM5*FN5*VLOOKUP('Données projet'!$B$16,Paramètres!$A$1:$I$89,3,0)*0.475*44/12</f>
        <v>0</v>
      </c>
      <c r="FR5" s="21">
        <f>EXP(-LN(2)/25)*FR4+(1-EXP(-LN(2)/25))/(LN(2)/25)*Calculateur!FM5*Calculateur!FO5*VLOOKUP('Données projet'!$B$16,Paramètres!$A$1:$I$89,3,0)*0.475*44/12</f>
        <v>0</v>
      </c>
      <c r="FS5" s="21">
        <f>EXP(-LN(2)/2)*FS4+(1-EXP(-LN(2)/2))/(LN(2)/2)*FM5*FP5*VLOOKUP('Données projet'!$B$16,Paramètres!$A$1:$I$89,3,0)*0.475*44/12</f>
        <v>0</v>
      </c>
      <c r="FT5" s="22">
        <f t="shared" si="24"/>
        <v>0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1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5.0625</v>
      </c>
      <c r="N6" s="13">
        <f>IF('Données projet'!$A$36&gt;35,N5+M6-V5,IF(A6&lt;'Données projet'!$A$36,$K$205^A6,IF(A6='Données projet'!$A$36,'Données projet'!$B$36,N5+M6-V5)))</f>
        <v>2.2795070569547784</v>
      </c>
      <c r="O6" s="13">
        <f>N6*VLOOKUP('Données projet'!$B$9,Paramètres!$A$1:$I$89,3,0)*VLOOKUP('Données projet'!$B$9,Paramètres!$A$1:$I$89,5,0)</f>
        <v>1.3631452200589576</v>
      </c>
      <c r="P6" s="13">
        <f t="shared" si="33"/>
        <v>0.6059453911316266</v>
      </c>
      <c r="Q6" s="20">
        <f t="shared" si="2"/>
        <v>3.4294994811569341</v>
      </c>
      <c r="R6" s="59">
        <f t="shared" si="0"/>
        <v>296.76283281449025</v>
      </c>
      <c r="S6" s="59">
        <f ca="1">AVERAGE(OFFSET($R$3,0,0,'Données projet'!$E$9+1,1))-AVERAGE(OFFSET($H$3,0,0,'Données projet'!$E$9+1,1))</f>
        <v>186.90544184210381</v>
      </c>
      <c r="T6" s="59">
        <f t="shared" si="34"/>
        <v>202.05988514450519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5.0625</v>
      </c>
      <c r="AI6" s="13">
        <f>IF('Données projet'!$A$62&gt;35,AI5+AH6-AQ5,IF(A6&lt;'Données projet'!$A$62,$AF$205^A6,IF(A6='Données projet'!$A$62,'Données projet'!$B$62,AI5+AH6-AQ5)))</f>
        <v>2.2795070569547784</v>
      </c>
      <c r="AJ6" s="13">
        <f>AI6*VLOOKUP('Données projet'!$B$10,Paramètres!$A$1:$I$89,3,0)*VLOOKUP('Données projet'!$B$10,Paramètres!$A$1:$I$89,5,0)</f>
        <v>1.3631452200589576</v>
      </c>
      <c r="AK6" s="13">
        <f t="shared" si="35"/>
        <v>0.6059453911316266</v>
      </c>
      <c r="AL6" s="20">
        <f t="shared" si="4"/>
        <v>3.4294994811569341</v>
      </c>
      <c r="AM6" s="59">
        <f t="shared" si="5"/>
        <v>296.76283281449025</v>
      </c>
      <c r="AN6" s="59">
        <f ca="1">AVERAGE(OFFSET($AM$3,0,0,'Données projet'!$E$10+1,1))-AVERAGE(OFFSET($H$3,0,0,'Données projet'!$E$10+1,1))</f>
        <v>186.90544184210381</v>
      </c>
      <c r="AO6" s="59">
        <f t="shared" si="36"/>
        <v>202.05988514450519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1.9</v>
      </c>
      <c r="BD6" s="12">
        <f>IF('Données projet'!$A$88&gt;35,BD5+BC6-BL5,IF(A6&lt;'Données projet'!$A$88,$BA$205^A6,IF(A6='Données projet'!$A$88,'Données projet'!$B$88,BD5+BC6-BL5)))</f>
        <v>1.725708902370088</v>
      </c>
      <c r="BE6" s="13">
        <f>BD6*VLOOKUP('Données projet'!$B$11,Paramètres!$A$1:$I$89,3,0)*VLOOKUP('Données projet'!$B$11,Paramètres!$A$1:$I$89,5,0)</f>
        <v>1.3998950616026153</v>
      </c>
      <c r="BF6" s="13">
        <f t="shared" si="37"/>
        <v>0.62035749310989874</v>
      </c>
      <c r="BG6" s="20">
        <f t="shared" si="7"/>
        <v>3.5186065327909621</v>
      </c>
      <c r="BH6" s="59">
        <f t="shared" si="8"/>
        <v>296.85193986612427</v>
      </c>
      <c r="BI6" s="59">
        <f ca="1">AVERAGE(OFFSET($BH$3,0,0,'Données projet'!$E$11+1,1))-AVERAGE(OFFSET($H$3,0,0,'Données projet'!$E$11+1,1))</f>
        <v>5.8584049049231908</v>
      </c>
      <c r="BJ6" s="59">
        <f t="shared" si="38"/>
        <v>42.266833200216638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>
        <f>BY6*VLOOKUP('Données projet'!$B$12,Paramètres!$A$1:$I$89,3,0)*VLOOKUP('Données projet'!$B$12,Paramètres!$A$1:$I$89,5,0)</f>
        <v>0</v>
      </c>
      <c r="CA6" s="13" t="e">
        <f t="shared" si="39"/>
        <v>#NUM!</v>
      </c>
      <c r="CB6" s="20" t="e">
        <f t="shared" si="10"/>
        <v>#NUM!</v>
      </c>
      <c r="CC6" s="59" t="e">
        <f t="shared" si="11"/>
        <v>#NUM!</v>
      </c>
      <c r="CD6" s="59">
        <f ca="1">AVERAGE(OFFSET($CC$3,0,0,'Données projet'!$E$12+1,1))-AVERAGE(OFFSET($H$3,0,0,'Données projet'!$E$12+1,1))</f>
        <v>0</v>
      </c>
      <c r="CE6" s="59">
        <f t="shared" si="40"/>
        <v>0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>
        <f>CT6*VLOOKUP('Données projet'!$B$13,Paramètres!$A$1:$I$89,3,0)*VLOOKUP('Données projet'!$B$13,Paramètres!$A$1:$I$89,5,0)</f>
        <v>0</v>
      </c>
      <c r="CV6" s="13" t="e">
        <f t="shared" si="41"/>
        <v>#NUM!</v>
      </c>
      <c r="CW6" s="20" t="e">
        <f t="shared" si="13"/>
        <v>#NUM!</v>
      </c>
      <c r="CX6" s="59" t="e">
        <f t="shared" si="14"/>
        <v>#NUM!</v>
      </c>
      <c r="CY6" s="59">
        <f ca="1">AVERAGE(OFFSET($CX$3,0,0,'Données projet'!$E$13+1,1))-AVERAGE(OFFSET($H$3,0,0,'Données projet'!$E$13+1,1))</f>
        <v>0</v>
      </c>
      <c r="CZ6" s="59">
        <f t="shared" si="42"/>
        <v>0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>
        <f>DO6*VLOOKUP('Données projet'!$B$14,Paramètres!$A$1:$I$89,3,0)*VLOOKUP('Données projet'!$B$14,Paramètres!$A$1:$I$89,5,0)</f>
        <v>0</v>
      </c>
      <c r="DQ6" s="13" t="e">
        <f t="shared" si="43"/>
        <v>#NUM!</v>
      </c>
      <c r="DR6" s="20" t="e">
        <f t="shared" si="16"/>
        <v>#NUM!</v>
      </c>
      <c r="DS6" s="59" t="e">
        <f t="shared" si="17"/>
        <v>#NUM!</v>
      </c>
      <c r="DT6" s="59">
        <f ca="1">AVERAGE(OFFSET($DS$3,0,0,'Données projet'!$E$14+1,1))-AVERAGE(OFFSET($H$3,0,0,'Données projet'!$E$14+1,1))</f>
        <v>0</v>
      </c>
      <c r="DU6" s="59">
        <f t="shared" si="44"/>
        <v>0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>
        <f>EJ6*VLOOKUP('Données projet'!$B$15,Paramètres!$A$1:$I$89,3,0)*VLOOKUP('Données projet'!$B$15,Paramètres!$A$1:$I$89,5,0)</f>
        <v>0</v>
      </c>
      <c r="EL6" s="13" t="e">
        <f t="shared" si="45"/>
        <v>#NUM!</v>
      </c>
      <c r="EM6" s="20" t="e">
        <f t="shared" si="19"/>
        <v>#NUM!</v>
      </c>
      <c r="EN6" s="59" t="e">
        <f t="shared" si="20"/>
        <v>#NUM!</v>
      </c>
      <c r="EO6" s="59">
        <f ca="1">AVERAGE(OFFSET($EN$3,0,0,'Données projet'!$E$15+1,1))-AVERAGE(OFFSET($H$3,0,0,'Données projet'!$E$15+1,1))</f>
        <v>0</v>
      </c>
      <c r="EP6" s="59">
        <f t="shared" si="46"/>
        <v>0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>
        <f>FE6*VLOOKUP('Données projet'!$B$16,Paramètres!$A$1:$I$89,3,0)*VLOOKUP('Données projet'!$B$16,Paramètres!$A$1:$I$89,5,0)</f>
        <v>0</v>
      </c>
      <c r="FG6" s="13" t="e">
        <f t="shared" si="47"/>
        <v>#NUM!</v>
      </c>
      <c r="FH6" s="20" t="e">
        <f t="shared" si="22"/>
        <v>#NUM!</v>
      </c>
      <c r="FI6" s="59" t="e">
        <f t="shared" si="23"/>
        <v>#NUM!</v>
      </c>
      <c r="FJ6" s="59">
        <f ca="1">AVERAGE(OFFSET($FI$3,0,0,'Données projet'!$E$16+1,1))-AVERAGE(OFFSET($H$3,0,0,'Données projet'!$E$16+1,1))</f>
        <v>0</v>
      </c>
      <c r="FK6" s="59">
        <f t="shared" si="48"/>
        <v>0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>
        <f>EXP(-LN(2)/35)*FQ5+(1-EXP(-LN(2)/35))/(LN(2)/35)*FM6*FN6*VLOOKUP('Données projet'!$B$16,Paramètres!$A$1:$I$89,3,0)*0.475*44/12</f>
        <v>0</v>
      </c>
      <c r="FR6" s="21">
        <f>EXP(-LN(2)/25)*FR5+(1-EXP(-LN(2)/25))/(LN(2)/25)*Calculateur!FM6*Calculateur!FO6*VLOOKUP('Données projet'!$B$16,Paramètres!$A$1:$I$89,3,0)*0.475*44/12</f>
        <v>0</v>
      </c>
      <c r="FS6" s="21">
        <f>EXP(-LN(2)/2)*FS5+(1-EXP(-LN(2)/2))/(LN(2)/2)*FM6*FP6*VLOOKUP('Données projet'!$B$16,Paramètres!$A$1:$I$89,3,0)*0.475*44/12</f>
        <v>0</v>
      </c>
      <c r="FT6" s="22">
        <f t="shared" si="24"/>
        <v>0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1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5.0625</v>
      </c>
      <c r="N7" s="13">
        <f>IF('Données projet'!$A$36&gt;35,N6+M7-V6,IF(A7&lt;'Données projet'!$A$36,$K$205^A7,IF(A7='Données projet'!$A$36,'Données projet'!$B$36,N6+M7-V6)))</f>
        <v>3.0000000000000013</v>
      </c>
      <c r="O7" s="13">
        <f>N7*VLOOKUP('Données projet'!$B$9,Paramètres!$A$1:$I$89,3,0)*VLOOKUP('Données projet'!$B$9,Paramètres!$A$1:$I$89,5,0)</f>
        <v>1.7940000000000011</v>
      </c>
      <c r="P7" s="13">
        <f t="shared" si="33"/>
        <v>0.77237742491396777</v>
      </c>
      <c r="Q7" s="20">
        <f t="shared" si="2"/>
        <v>4.4697740150584959</v>
      </c>
      <c r="R7" s="59">
        <f t="shared" si="0"/>
        <v>297.80310734839179</v>
      </c>
      <c r="S7" s="59">
        <f ca="1">AVERAGE(OFFSET($R$3,0,0,'Données projet'!$E$9+1,1))-AVERAGE(OFFSET($H$3,0,0,'Données projet'!$E$9+1,1))</f>
        <v>186.90544184210381</v>
      </c>
      <c r="T7" s="59">
        <f t="shared" si="34"/>
        <v>202.05988514450519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5.0625</v>
      </c>
      <c r="AI7" s="13">
        <f>IF('Données projet'!$A$62&gt;35,AI6+AH7-AQ6,IF(A7&lt;'Données projet'!$A$62,$AF$205^A7,IF(A7='Données projet'!$A$62,'Données projet'!$B$62,AI6+AH7-AQ6)))</f>
        <v>3.0000000000000013</v>
      </c>
      <c r="AJ7" s="13">
        <f>AI7*VLOOKUP('Données projet'!$B$10,Paramètres!$A$1:$I$89,3,0)*VLOOKUP('Données projet'!$B$10,Paramètres!$A$1:$I$89,5,0)</f>
        <v>1.7940000000000011</v>
      </c>
      <c r="AK7" s="13">
        <f t="shared" si="35"/>
        <v>0.77237742491396777</v>
      </c>
      <c r="AL7" s="20">
        <f t="shared" si="4"/>
        <v>4.4697740150584959</v>
      </c>
      <c r="AM7" s="59">
        <f t="shared" si="5"/>
        <v>297.80310734839179</v>
      </c>
      <c r="AN7" s="59">
        <f ca="1">AVERAGE(OFFSET($AM$3,0,0,'Données projet'!$E$10+1,1))-AVERAGE(OFFSET($H$3,0,0,'Données projet'!$E$10+1,1))</f>
        <v>186.90544184210381</v>
      </c>
      <c r="AO7" s="59">
        <f t="shared" si="36"/>
        <v>202.05988514450519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1.9</v>
      </c>
      <c r="BD7" s="12">
        <f>IF('Données projet'!$A$88&gt;35,BD6+BC7-BL6,IF(A7&lt;'Données projet'!$A$88,$BA$205^A7,IF(A7='Données projet'!$A$88,'Données projet'!$B$88,BD6+BC7-BL6)))</f>
        <v>2.0699350540816153</v>
      </c>
      <c r="BE7" s="13">
        <f>BD7*VLOOKUP('Données projet'!$B$11,Paramètres!$A$1:$I$89,3,0)*VLOOKUP('Données projet'!$B$11,Paramètres!$A$1:$I$89,5,0)</f>
        <v>1.6791313158710064</v>
      </c>
      <c r="BF7" s="13">
        <f t="shared" si="37"/>
        <v>0.72851227136517427</v>
      </c>
      <c r="BG7" s="20">
        <f t="shared" si="7"/>
        <v>4.1933125811030143</v>
      </c>
      <c r="BH7" s="59">
        <f t="shared" si="8"/>
        <v>297.5266459144363</v>
      </c>
      <c r="BI7" s="59">
        <f ca="1">AVERAGE(OFFSET($BH$3,0,0,'Données projet'!$E$11+1,1))-AVERAGE(OFFSET($H$3,0,0,'Données projet'!$E$11+1,1))</f>
        <v>5.8584049049231908</v>
      </c>
      <c r="BJ7" s="59">
        <f t="shared" si="38"/>
        <v>42.266833200216638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>
        <f>BY7*VLOOKUP('Données projet'!$B$12,Paramètres!$A$1:$I$89,3,0)*VLOOKUP('Données projet'!$B$12,Paramètres!$A$1:$I$89,5,0)</f>
        <v>0</v>
      </c>
      <c r="CA7" s="13" t="e">
        <f t="shared" si="39"/>
        <v>#NUM!</v>
      </c>
      <c r="CB7" s="20" t="e">
        <f t="shared" si="10"/>
        <v>#NUM!</v>
      </c>
      <c r="CC7" s="59" t="e">
        <f t="shared" si="11"/>
        <v>#NUM!</v>
      </c>
      <c r="CD7" s="59">
        <f ca="1">AVERAGE(OFFSET($CC$3,0,0,'Données projet'!$E$12+1,1))-AVERAGE(OFFSET($H$3,0,0,'Données projet'!$E$12+1,1))</f>
        <v>0</v>
      </c>
      <c r="CE7" s="59">
        <f t="shared" si="40"/>
        <v>0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>
        <f>CT7*VLOOKUP('Données projet'!$B$13,Paramètres!$A$1:$I$89,3,0)*VLOOKUP('Données projet'!$B$13,Paramètres!$A$1:$I$89,5,0)</f>
        <v>0</v>
      </c>
      <c r="CV7" s="13" t="e">
        <f t="shared" si="41"/>
        <v>#NUM!</v>
      </c>
      <c r="CW7" s="20" t="e">
        <f t="shared" si="13"/>
        <v>#NUM!</v>
      </c>
      <c r="CX7" s="59" t="e">
        <f t="shared" si="14"/>
        <v>#NUM!</v>
      </c>
      <c r="CY7" s="59">
        <f ca="1">AVERAGE(OFFSET($CX$3,0,0,'Données projet'!$E$13+1,1))-AVERAGE(OFFSET($H$3,0,0,'Données projet'!$E$13+1,1))</f>
        <v>0</v>
      </c>
      <c r="CZ7" s="59">
        <f t="shared" si="42"/>
        <v>0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>
        <f>DO7*VLOOKUP('Données projet'!$B$14,Paramètres!$A$1:$I$89,3,0)*VLOOKUP('Données projet'!$B$14,Paramètres!$A$1:$I$89,5,0)</f>
        <v>0</v>
      </c>
      <c r="DQ7" s="13" t="e">
        <f t="shared" si="43"/>
        <v>#NUM!</v>
      </c>
      <c r="DR7" s="20" t="e">
        <f t="shared" si="16"/>
        <v>#NUM!</v>
      </c>
      <c r="DS7" s="59" t="e">
        <f t="shared" si="17"/>
        <v>#NUM!</v>
      </c>
      <c r="DT7" s="59">
        <f ca="1">AVERAGE(OFFSET($DS$3,0,0,'Données projet'!$E$14+1,1))-AVERAGE(OFFSET($H$3,0,0,'Données projet'!$E$14+1,1))</f>
        <v>0</v>
      </c>
      <c r="DU7" s="59">
        <f t="shared" si="44"/>
        <v>0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>
        <f>EJ7*VLOOKUP('Données projet'!$B$15,Paramètres!$A$1:$I$89,3,0)*VLOOKUP('Données projet'!$B$15,Paramètres!$A$1:$I$89,5,0)</f>
        <v>0</v>
      </c>
      <c r="EL7" s="13" t="e">
        <f t="shared" si="45"/>
        <v>#NUM!</v>
      </c>
      <c r="EM7" s="20" t="e">
        <f t="shared" si="19"/>
        <v>#NUM!</v>
      </c>
      <c r="EN7" s="59" t="e">
        <f t="shared" si="20"/>
        <v>#NUM!</v>
      </c>
      <c r="EO7" s="59">
        <f ca="1">AVERAGE(OFFSET($EN$3,0,0,'Données projet'!$E$15+1,1))-AVERAGE(OFFSET($H$3,0,0,'Données projet'!$E$15+1,1))</f>
        <v>0</v>
      </c>
      <c r="EP7" s="59">
        <f t="shared" si="46"/>
        <v>0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>
        <f>FE7*VLOOKUP('Données projet'!$B$16,Paramètres!$A$1:$I$89,3,0)*VLOOKUP('Données projet'!$B$16,Paramètres!$A$1:$I$89,5,0)</f>
        <v>0</v>
      </c>
      <c r="FG7" s="13" t="e">
        <f t="shared" si="47"/>
        <v>#NUM!</v>
      </c>
      <c r="FH7" s="20" t="e">
        <f t="shared" si="22"/>
        <v>#NUM!</v>
      </c>
      <c r="FI7" s="59" t="e">
        <f t="shared" si="23"/>
        <v>#NUM!</v>
      </c>
      <c r="FJ7" s="59">
        <f ca="1">AVERAGE(OFFSET($FI$3,0,0,'Données projet'!$E$16+1,1))-AVERAGE(OFFSET($H$3,0,0,'Données projet'!$E$16+1,1))</f>
        <v>0</v>
      </c>
      <c r="FK7" s="59">
        <f t="shared" si="48"/>
        <v>0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>
        <f>EXP(-LN(2)/35)*FQ6+(1-EXP(-LN(2)/35))/(LN(2)/35)*FM7*FN7*VLOOKUP('Données projet'!$B$16,Paramètres!$A$1:$I$89,3,0)*0.475*44/12</f>
        <v>0</v>
      </c>
      <c r="FR7" s="21">
        <f>EXP(-LN(2)/25)*FR6+(1-EXP(-LN(2)/25))/(LN(2)/25)*Calculateur!FM7*Calculateur!FO7*VLOOKUP('Données projet'!$B$16,Paramètres!$A$1:$I$89,3,0)*0.475*44/12</f>
        <v>0</v>
      </c>
      <c r="FS7" s="21">
        <f>EXP(-LN(2)/2)*FS6+(1-EXP(-LN(2)/2))/(LN(2)/2)*FM7*FP7*VLOOKUP('Données projet'!$B$16,Paramètres!$A$1:$I$89,3,0)*0.475*44/12</f>
        <v>0</v>
      </c>
      <c r="FT7" s="22">
        <f t="shared" si="24"/>
        <v>0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1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5.0625</v>
      </c>
      <c r="N8" s="13">
        <f>IF('Données projet'!$A$36&gt;35,N7+M8-V7,IF(A8&lt;'Données projet'!$A$36,$K$205^A8,IF(A8='Données projet'!$A$36,'Données projet'!$B$36,N7+M8-V7)))</f>
        <v>3.9482220388574794</v>
      </c>
      <c r="O8" s="13">
        <f>N8*VLOOKUP('Données projet'!$B$9,Paramètres!$A$1:$I$89,3,0)*VLOOKUP('Données projet'!$B$9,Paramètres!$A$1:$I$89,5,0)</f>
        <v>2.3610367792367728</v>
      </c>
      <c r="P8" s="13">
        <f t="shared" si="33"/>
        <v>0.98452252504573023</v>
      </c>
      <c r="Q8" s="20">
        <f t="shared" si="2"/>
        <v>5.8268491216253588</v>
      </c>
      <c r="R8" s="59">
        <f t="shared" si="0"/>
        <v>299.16018245495866</v>
      </c>
      <c r="S8" s="59">
        <f ca="1">AVERAGE(OFFSET($R$3,0,0,'Données projet'!$E$9+1,1))-AVERAGE(OFFSET($H$3,0,0,'Données projet'!$E$9+1,1))</f>
        <v>186.90544184210381</v>
      </c>
      <c r="T8" s="59">
        <f t="shared" si="34"/>
        <v>202.05988514450519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5.0625</v>
      </c>
      <c r="AI8" s="13">
        <f>IF('Données projet'!$A$62&gt;35,AI7+AH8-AQ7,IF(A8&lt;'Données projet'!$A$62,$AF$205^A8,IF(A8='Données projet'!$A$62,'Données projet'!$B$62,AI7+AH8-AQ7)))</f>
        <v>3.9482220388574794</v>
      </c>
      <c r="AJ8" s="13">
        <f>AI8*VLOOKUP('Données projet'!$B$10,Paramètres!$A$1:$I$89,3,0)*VLOOKUP('Données projet'!$B$10,Paramètres!$A$1:$I$89,5,0)</f>
        <v>2.3610367792367728</v>
      </c>
      <c r="AK8" s="13">
        <f t="shared" si="35"/>
        <v>0.98452252504573023</v>
      </c>
      <c r="AL8" s="20">
        <f t="shared" si="4"/>
        <v>5.8268491216253588</v>
      </c>
      <c r="AM8" s="59">
        <f t="shared" si="5"/>
        <v>299.16018245495866</v>
      </c>
      <c r="AN8" s="59">
        <f ca="1">AVERAGE(OFFSET($AM$3,0,0,'Données projet'!$E$10+1,1))-AVERAGE(OFFSET($H$3,0,0,'Données projet'!$E$10+1,1))</f>
        <v>186.90544184210381</v>
      </c>
      <c r="AO8" s="59">
        <f t="shared" si="36"/>
        <v>202.05988514450519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1.9</v>
      </c>
      <c r="BD8" s="12">
        <f>IF('Données projet'!$A$88&gt;35,BD7+BC8-BL7,IF(A8&lt;'Données projet'!$A$88,$BA$205^A8,IF(A8='Données projet'!$A$88,'Données projet'!$B$88,BD7+BC8-BL7)))</f>
        <v>2.4828237961983901</v>
      </c>
      <c r="BE8" s="13">
        <f>BD8*VLOOKUP('Données projet'!$B$11,Paramètres!$A$1:$I$89,3,0)*VLOOKUP('Données projet'!$B$11,Paramètres!$A$1:$I$89,5,0)</f>
        <v>2.0140666634761342</v>
      </c>
      <c r="BF8" s="13">
        <f t="shared" si="37"/>
        <v>0.85552304183359684</v>
      </c>
      <c r="BG8" s="20">
        <f t="shared" si="7"/>
        <v>4.9978687367477814</v>
      </c>
      <c r="BH8" s="59">
        <f t="shared" si="8"/>
        <v>298.33120207008108</v>
      </c>
      <c r="BI8" s="59">
        <f ca="1">AVERAGE(OFFSET($BH$3,0,0,'Données projet'!$E$11+1,1))-AVERAGE(OFFSET($H$3,0,0,'Données projet'!$E$11+1,1))</f>
        <v>5.8584049049231908</v>
      </c>
      <c r="BJ8" s="59">
        <f t="shared" si="38"/>
        <v>42.266833200216638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>
        <f>BY8*VLOOKUP('Données projet'!$B$12,Paramètres!$A$1:$I$89,3,0)*VLOOKUP('Données projet'!$B$12,Paramètres!$A$1:$I$89,5,0)</f>
        <v>0</v>
      </c>
      <c r="CA8" s="13" t="e">
        <f t="shared" si="39"/>
        <v>#NUM!</v>
      </c>
      <c r="CB8" s="20" t="e">
        <f t="shared" si="10"/>
        <v>#NUM!</v>
      </c>
      <c r="CC8" s="59" t="e">
        <f t="shared" si="11"/>
        <v>#NUM!</v>
      </c>
      <c r="CD8" s="59">
        <f ca="1">AVERAGE(OFFSET($CC$3,0,0,'Données projet'!$E$12+1,1))-AVERAGE(OFFSET($H$3,0,0,'Données projet'!$E$12+1,1))</f>
        <v>0</v>
      </c>
      <c r="CE8" s="59">
        <f t="shared" si="40"/>
        <v>0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>
        <f>CT8*VLOOKUP('Données projet'!$B$13,Paramètres!$A$1:$I$89,3,0)*VLOOKUP('Données projet'!$B$13,Paramètres!$A$1:$I$89,5,0)</f>
        <v>0</v>
      </c>
      <c r="CV8" s="13" t="e">
        <f t="shared" si="41"/>
        <v>#NUM!</v>
      </c>
      <c r="CW8" s="20" t="e">
        <f t="shared" si="13"/>
        <v>#NUM!</v>
      </c>
      <c r="CX8" s="59" t="e">
        <f t="shared" si="14"/>
        <v>#NUM!</v>
      </c>
      <c r="CY8" s="59">
        <f ca="1">AVERAGE(OFFSET($CX$3,0,0,'Données projet'!$E$13+1,1))-AVERAGE(OFFSET($H$3,0,0,'Données projet'!$E$13+1,1))</f>
        <v>0</v>
      </c>
      <c r="CZ8" s="59">
        <f t="shared" si="42"/>
        <v>0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>
        <f>DO8*VLOOKUP('Données projet'!$B$14,Paramètres!$A$1:$I$89,3,0)*VLOOKUP('Données projet'!$B$14,Paramètres!$A$1:$I$89,5,0)</f>
        <v>0</v>
      </c>
      <c r="DQ8" s="13" t="e">
        <f t="shared" si="43"/>
        <v>#NUM!</v>
      </c>
      <c r="DR8" s="20" t="e">
        <f t="shared" si="16"/>
        <v>#NUM!</v>
      </c>
      <c r="DS8" s="59" t="e">
        <f t="shared" si="17"/>
        <v>#NUM!</v>
      </c>
      <c r="DT8" s="59">
        <f ca="1">AVERAGE(OFFSET($DS$3,0,0,'Données projet'!$E$14+1,1))-AVERAGE(OFFSET($H$3,0,0,'Données projet'!$E$14+1,1))</f>
        <v>0</v>
      </c>
      <c r="DU8" s="59">
        <f t="shared" si="44"/>
        <v>0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>
        <f>EJ8*VLOOKUP('Données projet'!$B$15,Paramètres!$A$1:$I$89,3,0)*VLOOKUP('Données projet'!$B$15,Paramètres!$A$1:$I$89,5,0)</f>
        <v>0</v>
      </c>
      <c r="EL8" s="13" t="e">
        <f t="shared" si="45"/>
        <v>#NUM!</v>
      </c>
      <c r="EM8" s="20" t="e">
        <f t="shared" si="19"/>
        <v>#NUM!</v>
      </c>
      <c r="EN8" s="59" t="e">
        <f t="shared" si="20"/>
        <v>#NUM!</v>
      </c>
      <c r="EO8" s="59">
        <f ca="1">AVERAGE(OFFSET($EN$3,0,0,'Données projet'!$E$15+1,1))-AVERAGE(OFFSET($H$3,0,0,'Données projet'!$E$15+1,1))</f>
        <v>0</v>
      </c>
      <c r="EP8" s="59">
        <f t="shared" si="46"/>
        <v>0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>
        <f>FE8*VLOOKUP('Données projet'!$B$16,Paramètres!$A$1:$I$89,3,0)*VLOOKUP('Données projet'!$B$16,Paramètres!$A$1:$I$89,5,0)</f>
        <v>0</v>
      </c>
      <c r="FG8" s="13" t="e">
        <f t="shared" si="47"/>
        <v>#NUM!</v>
      </c>
      <c r="FH8" s="20" t="e">
        <f t="shared" si="22"/>
        <v>#NUM!</v>
      </c>
      <c r="FI8" s="59" t="e">
        <f t="shared" si="23"/>
        <v>#NUM!</v>
      </c>
      <c r="FJ8" s="59">
        <f ca="1">AVERAGE(OFFSET($FI$3,0,0,'Données projet'!$E$16+1,1))-AVERAGE(OFFSET($H$3,0,0,'Données projet'!$E$16+1,1))</f>
        <v>0</v>
      </c>
      <c r="FK8" s="59">
        <f t="shared" si="48"/>
        <v>0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>
        <f>EXP(-LN(2)/35)*FQ7+(1-EXP(-LN(2)/35))/(LN(2)/35)*FM8*FN8*VLOOKUP('Données projet'!$B$16,Paramètres!$A$1:$I$89,3,0)*0.475*44/12</f>
        <v>0</v>
      </c>
      <c r="FR8" s="21">
        <f>EXP(-LN(2)/25)*FR7+(1-EXP(-LN(2)/25))/(LN(2)/25)*Calculateur!FM8*Calculateur!FO8*VLOOKUP('Données projet'!$B$16,Paramètres!$A$1:$I$89,3,0)*0.475*44/12</f>
        <v>0</v>
      </c>
      <c r="FS8" s="21">
        <f>EXP(-LN(2)/2)*FS7+(1-EXP(-LN(2)/2))/(LN(2)/2)*FM8*FP8*VLOOKUP('Données projet'!$B$16,Paramètres!$A$1:$I$89,3,0)*0.475*44/12</f>
        <v>0</v>
      </c>
      <c r="FT8" s="22">
        <f t="shared" si="24"/>
        <v>0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1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5.0625</v>
      </c>
      <c r="N9" s="13">
        <f>IF('Données projet'!$A$36&gt;35,N8+M9-V8,IF(A9&lt;'Données projet'!$A$36,$K$205^A9,IF(A9='Données projet'!$A$36,'Données projet'!$B$36,N8+M9-V8)))</f>
        <v>5.1961524227066356</v>
      </c>
      <c r="O9" s="13">
        <f>N9*VLOOKUP('Données projet'!$B$9,Paramètres!$A$1:$I$89,3,0)*VLOOKUP('Données projet'!$B$9,Paramètres!$A$1:$I$89,5,0)</f>
        <v>3.1072991487785684</v>
      </c>
      <c r="P9" s="13">
        <f t="shared" si="33"/>
        <v>1.254936474134243</v>
      </c>
      <c r="Q9" s="20">
        <f t="shared" si="2"/>
        <v>7.5975603765731456</v>
      </c>
      <c r="R9" s="59">
        <f t="shared" si="0"/>
        <v>300.93089370990646</v>
      </c>
      <c r="S9" s="59">
        <f ca="1">AVERAGE(OFFSET($R$3,0,0,'Données projet'!$E$9+1,1))-AVERAGE(OFFSET($H$3,0,0,'Données projet'!$E$9+1,1))</f>
        <v>186.90544184210381</v>
      </c>
      <c r="T9" s="59">
        <f t="shared" si="34"/>
        <v>202.05988514450519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5.0625</v>
      </c>
      <c r="AI9" s="13">
        <f>IF('Données projet'!$A$62&gt;35,AI8+AH9-AQ8,IF(A9&lt;'Données projet'!$A$62,$AF$205^A9,IF(A9='Données projet'!$A$62,'Données projet'!$B$62,AI8+AH9-AQ8)))</f>
        <v>5.1961524227066356</v>
      </c>
      <c r="AJ9" s="13">
        <f>AI9*VLOOKUP('Données projet'!$B$10,Paramètres!$A$1:$I$89,3,0)*VLOOKUP('Données projet'!$B$10,Paramètres!$A$1:$I$89,5,0)</f>
        <v>3.1072991487785684</v>
      </c>
      <c r="AK9" s="13">
        <f t="shared" si="35"/>
        <v>1.254936474134243</v>
      </c>
      <c r="AL9" s="20">
        <f t="shared" si="4"/>
        <v>7.5975603765731456</v>
      </c>
      <c r="AM9" s="59">
        <f t="shared" si="5"/>
        <v>300.93089370990646</v>
      </c>
      <c r="AN9" s="59">
        <f ca="1">AVERAGE(OFFSET($AM$3,0,0,'Données projet'!$E$10+1,1))-AVERAGE(OFFSET($H$3,0,0,'Données projet'!$E$10+1,1))</f>
        <v>186.90544184210381</v>
      </c>
      <c r="AO9" s="59">
        <f t="shared" si="36"/>
        <v>202.05988514450519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1.9</v>
      </c>
      <c r="BD9" s="12">
        <f>IF('Données projet'!$A$88&gt;35,BD8+BC9-BL8,IF(A9&lt;'Données projet'!$A$88,$BA$205^A9,IF(A9='Données projet'!$A$88,'Données projet'!$B$88,BD8+BC9-BL8)))</f>
        <v>2.9780712157193747</v>
      </c>
      <c r="BE9" s="13">
        <f>BD9*VLOOKUP('Données projet'!$B$11,Paramètres!$A$1:$I$89,3,0)*VLOOKUP('Données projet'!$B$11,Paramètres!$A$1:$I$89,5,0)</f>
        <v>2.4158113701915571</v>
      </c>
      <c r="BF9" s="13">
        <f t="shared" si="37"/>
        <v>1.0046772084383024</v>
      </c>
      <c r="BG9" s="20">
        <f t="shared" si="7"/>
        <v>5.9573509411136714</v>
      </c>
      <c r="BH9" s="59">
        <f t="shared" si="8"/>
        <v>299.29068427444696</v>
      </c>
      <c r="BI9" s="59">
        <f ca="1">AVERAGE(OFFSET($BH$3,0,0,'Données projet'!$E$11+1,1))-AVERAGE(OFFSET($H$3,0,0,'Données projet'!$E$11+1,1))</f>
        <v>5.8584049049231908</v>
      </c>
      <c r="BJ9" s="59">
        <f t="shared" si="38"/>
        <v>42.266833200216638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>
        <f>BY9*VLOOKUP('Données projet'!$B$12,Paramètres!$A$1:$I$89,3,0)*VLOOKUP('Données projet'!$B$12,Paramètres!$A$1:$I$89,5,0)</f>
        <v>0</v>
      </c>
      <c r="CA9" s="13" t="e">
        <f t="shared" si="39"/>
        <v>#NUM!</v>
      </c>
      <c r="CB9" s="20" t="e">
        <f t="shared" si="10"/>
        <v>#NUM!</v>
      </c>
      <c r="CC9" s="59" t="e">
        <f t="shared" si="11"/>
        <v>#NUM!</v>
      </c>
      <c r="CD9" s="59">
        <f ca="1">AVERAGE(OFFSET($CC$3,0,0,'Données projet'!$E$12+1,1))-AVERAGE(OFFSET($H$3,0,0,'Données projet'!$E$12+1,1))</f>
        <v>0</v>
      </c>
      <c r="CE9" s="59">
        <f t="shared" si="40"/>
        <v>0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>
        <f>CT9*VLOOKUP('Données projet'!$B$13,Paramètres!$A$1:$I$89,3,0)*VLOOKUP('Données projet'!$B$13,Paramètres!$A$1:$I$89,5,0)</f>
        <v>0</v>
      </c>
      <c r="CV9" s="13" t="e">
        <f t="shared" si="41"/>
        <v>#NUM!</v>
      </c>
      <c r="CW9" s="20" t="e">
        <f t="shared" si="13"/>
        <v>#NUM!</v>
      </c>
      <c r="CX9" s="59" t="e">
        <f t="shared" si="14"/>
        <v>#NUM!</v>
      </c>
      <c r="CY9" s="59">
        <f ca="1">AVERAGE(OFFSET($CX$3,0,0,'Données projet'!$E$13+1,1))-AVERAGE(OFFSET($H$3,0,0,'Données projet'!$E$13+1,1))</f>
        <v>0</v>
      </c>
      <c r="CZ9" s="59">
        <f t="shared" si="42"/>
        <v>0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>
        <f>DO9*VLOOKUP('Données projet'!$B$14,Paramètres!$A$1:$I$89,3,0)*VLOOKUP('Données projet'!$B$14,Paramètres!$A$1:$I$89,5,0)</f>
        <v>0</v>
      </c>
      <c r="DQ9" s="13" t="e">
        <f t="shared" si="43"/>
        <v>#NUM!</v>
      </c>
      <c r="DR9" s="20" t="e">
        <f t="shared" si="16"/>
        <v>#NUM!</v>
      </c>
      <c r="DS9" s="59" t="e">
        <f t="shared" si="17"/>
        <v>#NUM!</v>
      </c>
      <c r="DT9" s="59">
        <f ca="1">AVERAGE(OFFSET($DS$3,0,0,'Données projet'!$E$14+1,1))-AVERAGE(OFFSET($H$3,0,0,'Données projet'!$E$14+1,1))</f>
        <v>0</v>
      </c>
      <c r="DU9" s="59">
        <f t="shared" si="44"/>
        <v>0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>
        <f>EJ9*VLOOKUP('Données projet'!$B$15,Paramètres!$A$1:$I$89,3,0)*VLOOKUP('Données projet'!$B$15,Paramètres!$A$1:$I$89,5,0)</f>
        <v>0</v>
      </c>
      <c r="EL9" s="13" t="e">
        <f t="shared" si="45"/>
        <v>#NUM!</v>
      </c>
      <c r="EM9" s="20" t="e">
        <f t="shared" si="19"/>
        <v>#NUM!</v>
      </c>
      <c r="EN9" s="59" t="e">
        <f t="shared" si="20"/>
        <v>#NUM!</v>
      </c>
      <c r="EO9" s="59">
        <f ca="1">AVERAGE(OFFSET($EN$3,0,0,'Données projet'!$E$15+1,1))-AVERAGE(OFFSET($H$3,0,0,'Données projet'!$E$15+1,1))</f>
        <v>0</v>
      </c>
      <c r="EP9" s="59">
        <f t="shared" si="46"/>
        <v>0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>
        <f>FE9*VLOOKUP('Données projet'!$B$16,Paramètres!$A$1:$I$89,3,0)*VLOOKUP('Données projet'!$B$16,Paramètres!$A$1:$I$89,5,0)</f>
        <v>0</v>
      </c>
      <c r="FG9" s="13" t="e">
        <f t="shared" si="47"/>
        <v>#NUM!</v>
      </c>
      <c r="FH9" s="20" t="e">
        <f t="shared" si="22"/>
        <v>#NUM!</v>
      </c>
      <c r="FI9" s="59" t="e">
        <f t="shared" si="23"/>
        <v>#NUM!</v>
      </c>
      <c r="FJ9" s="59">
        <f ca="1">AVERAGE(OFFSET($FI$3,0,0,'Données projet'!$E$16+1,1))-AVERAGE(OFFSET($H$3,0,0,'Données projet'!$E$16+1,1))</f>
        <v>0</v>
      </c>
      <c r="FK9" s="59">
        <f t="shared" si="48"/>
        <v>0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>
        <f>EXP(-LN(2)/35)*FQ8+(1-EXP(-LN(2)/35))/(LN(2)/35)*FM9*FN9*VLOOKUP('Données projet'!$B$16,Paramètres!$A$1:$I$89,3,0)*0.475*44/12</f>
        <v>0</v>
      </c>
      <c r="FR9" s="21">
        <f>EXP(-LN(2)/25)*FR8+(1-EXP(-LN(2)/25))/(LN(2)/25)*Calculateur!FM9*Calculateur!FO9*VLOOKUP('Données projet'!$B$16,Paramètres!$A$1:$I$89,3,0)*0.475*44/12</f>
        <v>0</v>
      </c>
      <c r="FS9" s="21">
        <f>EXP(-LN(2)/2)*FS8+(1-EXP(-LN(2)/2))/(LN(2)/2)*FM9*FP9*VLOOKUP('Données projet'!$B$16,Paramètres!$A$1:$I$89,3,0)*0.475*44/12</f>
        <v>0</v>
      </c>
      <c r="FT9" s="22">
        <f t="shared" si="24"/>
        <v>0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1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5.0625</v>
      </c>
      <c r="N10" s="13">
        <f>IF('Données projet'!$A$36&gt;35,N9+M10-V9,IF(A10&lt;'Données projet'!$A$36,$K$205^A10,IF(A10='Données projet'!$A$36,'Données projet'!$B$36,N9+M10-V9)))</f>
        <v>6.8385211708643379</v>
      </c>
      <c r="O10" s="13">
        <f>N10*VLOOKUP('Données projet'!$B$9,Paramètres!$A$1:$I$89,3,0)*VLOOKUP('Données projet'!$B$9,Paramètres!$A$1:$I$89,5,0)</f>
        <v>4.0894356601768749</v>
      </c>
      <c r="P10" s="13">
        <f t="shared" si="33"/>
        <v>1.5996236897061695</v>
      </c>
      <c r="Q10" s="20">
        <f t="shared" si="2"/>
        <v>9.9084450343796355</v>
      </c>
      <c r="R10" s="59">
        <f t="shared" si="0"/>
        <v>303.24177836771293</v>
      </c>
      <c r="S10" s="59">
        <f ca="1">AVERAGE(OFFSET($R$3,0,0,'Données projet'!$E$9+1,1))-AVERAGE(OFFSET($H$3,0,0,'Données projet'!$E$9+1,1))</f>
        <v>186.90544184210381</v>
      </c>
      <c r="T10" s="59">
        <f t="shared" si="34"/>
        <v>202.05988514450519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5.0625</v>
      </c>
      <c r="AI10" s="13">
        <f>IF('Données projet'!$A$62&gt;35,AI9+AH10-AQ9,IF(A10&lt;'Données projet'!$A$62,$AF$205^A10,IF(A10='Données projet'!$A$62,'Données projet'!$B$62,AI9+AH10-AQ9)))</f>
        <v>6.8385211708643379</v>
      </c>
      <c r="AJ10" s="13">
        <f>AI10*VLOOKUP('Données projet'!$B$10,Paramètres!$A$1:$I$89,3,0)*VLOOKUP('Données projet'!$B$10,Paramètres!$A$1:$I$89,5,0)</f>
        <v>4.0894356601768749</v>
      </c>
      <c r="AK10" s="13">
        <f t="shared" si="35"/>
        <v>1.5996236897061695</v>
      </c>
      <c r="AL10" s="20">
        <f t="shared" si="4"/>
        <v>9.9084450343796355</v>
      </c>
      <c r="AM10" s="59">
        <f t="shared" si="5"/>
        <v>303.24177836771293</v>
      </c>
      <c r="AN10" s="59">
        <f ca="1">AVERAGE(OFFSET($AM$3,0,0,'Données projet'!$E$10+1,1))-AVERAGE(OFFSET($H$3,0,0,'Données projet'!$E$10+1,1))</f>
        <v>186.90544184210381</v>
      </c>
      <c r="AO10" s="59">
        <f t="shared" si="36"/>
        <v>202.05988514450519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1.9</v>
      </c>
      <c r="BD10" s="12">
        <f>IF('Données projet'!$A$88&gt;35,BD9+BC10-BL9,IF(A10&lt;'Données projet'!$A$88,$BA$205^A10,IF(A10='Données projet'!$A$88,'Données projet'!$B$88,BD9+BC10-BL9)))</f>
        <v>3.5721053501565532</v>
      </c>
      <c r="BE10" s="13">
        <f>BD10*VLOOKUP('Données projet'!$B$11,Paramètres!$A$1:$I$89,3,0)*VLOOKUP('Données projet'!$B$11,Paramètres!$A$1:$I$89,5,0)</f>
        <v>2.8976918600469959</v>
      </c>
      <c r="BF10" s="13">
        <f t="shared" si="37"/>
        <v>1.1798353098614829</v>
      </c>
      <c r="BG10" s="20">
        <f t="shared" si="7"/>
        <v>7.1016931542572657</v>
      </c>
      <c r="BH10" s="59">
        <f t="shared" si="8"/>
        <v>300.43502648759056</v>
      </c>
      <c r="BI10" s="59">
        <f ca="1">AVERAGE(OFFSET($BH$3,0,0,'Données projet'!$E$11+1,1))-AVERAGE(OFFSET($H$3,0,0,'Données projet'!$E$11+1,1))</f>
        <v>5.8584049049231908</v>
      </c>
      <c r="BJ10" s="59">
        <f t="shared" si="38"/>
        <v>42.266833200216638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>
        <f>BY10*VLOOKUP('Données projet'!$B$12,Paramètres!$A$1:$I$89,3,0)*VLOOKUP('Données projet'!$B$12,Paramètres!$A$1:$I$89,5,0)</f>
        <v>0</v>
      </c>
      <c r="CA10" s="13" t="e">
        <f t="shared" si="39"/>
        <v>#NUM!</v>
      </c>
      <c r="CB10" s="20" t="e">
        <f t="shared" si="10"/>
        <v>#NUM!</v>
      </c>
      <c r="CC10" s="59" t="e">
        <f t="shared" si="11"/>
        <v>#NUM!</v>
      </c>
      <c r="CD10" s="59">
        <f ca="1">AVERAGE(OFFSET($CC$3,0,0,'Données projet'!$E$12+1,1))-AVERAGE(OFFSET($H$3,0,0,'Données projet'!$E$12+1,1))</f>
        <v>0</v>
      </c>
      <c r="CE10" s="59">
        <f t="shared" si="40"/>
        <v>0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>
        <f>CT10*VLOOKUP('Données projet'!$B$13,Paramètres!$A$1:$I$89,3,0)*VLOOKUP('Données projet'!$B$13,Paramètres!$A$1:$I$89,5,0)</f>
        <v>0</v>
      </c>
      <c r="CV10" s="13" t="e">
        <f t="shared" si="41"/>
        <v>#NUM!</v>
      </c>
      <c r="CW10" s="20" t="e">
        <f t="shared" si="13"/>
        <v>#NUM!</v>
      </c>
      <c r="CX10" s="59" t="e">
        <f t="shared" si="14"/>
        <v>#NUM!</v>
      </c>
      <c r="CY10" s="59">
        <f ca="1">AVERAGE(OFFSET($CX$3,0,0,'Données projet'!$E$13+1,1))-AVERAGE(OFFSET($H$3,0,0,'Données projet'!$E$13+1,1))</f>
        <v>0</v>
      </c>
      <c r="CZ10" s="59">
        <f t="shared" si="42"/>
        <v>0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>
        <f>DO10*VLOOKUP('Données projet'!$B$14,Paramètres!$A$1:$I$89,3,0)*VLOOKUP('Données projet'!$B$14,Paramètres!$A$1:$I$89,5,0)</f>
        <v>0</v>
      </c>
      <c r="DQ10" s="13" t="e">
        <f t="shared" si="43"/>
        <v>#NUM!</v>
      </c>
      <c r="DR10" s="20" t="e">
        <f t="shared" si="16"/>
        <v>#NUM!</v>
      </c>
      <c r="DS10" s="59" t="e">
        <f t="shared" si="17"/>
        <v>#NUM!</v>
      </c>
      <c r="DT10" s="59">
        <f ca="1">AVERAGE(OFFSET($DS$3,0,0,'Données projet'!$E$14+1,1))-AVERAGE(OFFSET($H$3,0,0,'Données projet'!$E$14+1,1))</f>
        <v>0</v>
      </c>
      <c r="DU10" s="59">
        <f t="shared" si="44"/>
        <v>0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>
        <f>EJ10*VLOOKUP('Données projet'!$B$15,Paramètres!$A$1:$I$89,3,0)*VLOOKUP('Données projet'!$B$15,Paramètres!$A$1:$I$89,5,0)</f>
        <v>0</v>
      </c>
      <c r="EL10" s="13" t="e">
        <f t="shared" si="45"/>
        <v>#NUM!</v>
      </c>
      <c r="EM10" s="20" t="e">
        <f t="shared" si="19"/>
        <v>#NUM!</v>
      </c>
      <c r="EN10" s="59" t="e">
        <f t="shared" si="20"/>
        <v>#NUM!</v>
      </c>
      <c r="EO10" s="59">
        <f ca="1">AVERAGE(OFFSET($EN$3,0,0,'Données projet'!$E$15+1,1))-AVERAGE(OFFSET($H$3,0,0,'Données projet'!$E$15+1,1))</f>
        <v>0</v>
      </c>
      <c r="EP10" s="59">
        <f t="shared" si="46"/>
        <v>0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>
        <f>FE10*VLOOKUP('Données projet'!$B$16,Paramètres!$A$1:$I$89,3,0)*VLOOKUP('Données projet'!$B$16,Paramètres!$A$1:$I$89,5,0)</f>
        <v>0</v>
      </c>
      <c r="FG10" s="13" t="e">
        <f t="shared" si="47"/>
        <v>#NUM!</v>
      </c>
      <c r="FH10" s="20" t="e">
        <f t="shared" si="22"/>
        <v>#NUM!</v>
      </c>
      <c r="FI10" s="59" t="e">
        <f t="shared" si="23"/>
        <v>#NUM!</v>
      </c>
      <c r="FJ10" s="59">
        <f ca="1">AVERAGE(OFFSET($FI$3,0,0,'Données projet'!$E$16+1,1))-AVERAGE(OFFSET($H$3,0,0,'Données projet'!$E$16+1,1))</f>
        <v>0</v>
      </c>
      <c r="FK10" s="59">
        <f t="shared" si="48"/>
        <v>0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>
        <f>EXP(-LN(2)/35)*FQ9+(1-EXP(-LN(2)/35))/(LN(2)/35)*FM10*FN10*VLOOKUP('Données projet'!$B$16,Paramètres!$A$1:$I$89,3,0)*0.475*44/12</f>
        <v>0</v>
      </c>
      <c r="FR10" s="21">
        <f>EXP(-LN(2)/25)*FR9+(1-EXP(-LN(2)/25))/(LN(2)/25)*Calculateur!FM10*Calculateur!FO10*VLOOKUP('Données projet'!$B$16,Paramètres!$A$1:$I$89,3,0)*0.475*44/12</f>
        <v>0</v>
      </c>
      <c r="FS10" s="21">
        <f>EXP(-LN(2)/2)*FS9+(1-EXP(-LN(2)/2))/(LN(2)/2)*FM10*FP10*VLOOKUP('Données projet'!$B$16,Paramètres!$A$1:$I$89,3,0)*0.475*44/12</f>
        <v>0</v>
      </c>
      <c r="FT10" s="22">
        <f t="shared" si="24"/>
        <v>0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1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5.0625</v>
      </c>
      <c r="N11" s="13">
        <f>IF('Données projet'!$A$36&gt;35,N10+M11-V10,IF(A11&lt;'Données projet'!$A$36,$K$205^A11,IF(A11='Données projet'!$A$36,'Données projet'!$B$36,N10+M11-V10)))</f>
        <v>9.0000000000000071</v>
      </c>
      <c r="O11" s="13">
        <f>N11*VLOOKUP('Données projet'!$B$9,Paramètres!$A$1:$I$89,3,0)*VLOOKUP('Données projet'!$B$9,Paramètres!$A$1:$I$89,5,0)</f>
        <v>5.3820000000000041</v>
      </c>
      <c r="P11" s="13">
        <f t="shared" si="33"/>
        <v>2.0389844437619393</v>
      </c>
      <c r="Q11" s="20">
        <f t="shared" si="2"/>
        <v>12.92488123955205</v>
      </c>
      <c r="R11" s="59">
        <f t="shared" si="0"/>
        <v>306.25821457288538</v>
      </c>
      <c r="S11" s="59">
        <f ca="1">AVERAGE(OFFSET($R$3,0,0,'Données projet'!$E$9+1,1))-AVERAGE(OFFSET($H$3,0,0,'Données projet'!$E$9+1,1))</f>
        <v>186.90544184210381</v>
      </c>
      <c r="T11" s="59">
        <f t="shared" si="34"/>
        <v>202.05988514450519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5.0625</v>
      </c>
      <c r="AI11" s="13">
        <f>IF('Données projet'!$A$62&gt;35,AI10+AH11-AQ10,IF(A11&lt;'Données projet'!$A$62,$AF$205^A11,IF(A11='Données projet'!$A$62,'Données projet'!$B$62,AI10+AH11-AQ10)))</f>
        <v>9.0000000000000071</v>
      </c>
      <c r="AJ11" s="13">
        <f>AI11*VLOOKUP('Données projet'!$B$10,Paramètres!$A$1:$I$89,3,0)*VLOOKUP('Données projet'!$B$10,Paramètres!$A$1:$I$89,5,0)</f>
        <v>5.3820000000000041</v>
      </c>
      <c r="AK11" s="13">
        <f t="shared" si="35"/>
        <v>2.0389844437619393</v>
      </c>
      <c r="AL11" s="20">
        <f t="shared" si="4"/>
        <v>12.92488123955205</v>
      </c>
      <c r="AM11" s="59">
        <f t="shared" si="5"/>
        <v>306.25821457288538</v>
      </c>
      <c r="AN11" s="59">
        <f ca="1">AVERAGE(OFFSET($AM$3,0,0,'Données projet'!$E$10+1,1))-AVERAGE(OFFSET($H$3,0,0,'Données projet'!$E$10+1,1))</f>
        <v>186.90544184210381</v>
      </c>
      <c r="AO11" s="59">
        <f t="shared" si="36"/>
        <v>202.05988514450519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1.9</v>
      </c>
      <c r="BD11" s="12">
        <f>IF('Données projet'!$A$88&gt;35,BD10+BC11-BL10,IF(A11&lt;'Données projet'!$A$88,$BA$205^A11,IF(A11='Données projet'!$A$88,'Données projet'!$B$88,BD10+BC11-BL10)))</f>
        <v>4.2846311281158593</v>
      </c>
      <c r="BE11" s="13">
        <f>BD11*VLOOKUP('Données projet'!$B$11,Paramètres!$A$1:$I$89,3,0)*VLOOKUP('Données projet'!$B$11,Paramètres!$A$1:$I$89,5,0)</f>
        <v>3.4756927711275853</v>
      </c>
      <c r="BF11" s="13">
        <f t="shared" si="37"/>
        <v>1.3855309413853645</v>
      </c>
      <c r="BG11" s="20">
        <f t="shared" si="7"/>
        <v>8.4666312992933879</v>
      </c>
      <c r="BH11" s="59">
        <f t="shared" si="8"/>
        <v>301.79996463262671</v>
      </c>
      <c r="BI11" s="59">
        <f ca="1">AVERAGE(OFFSET($BH$3,0,0,'Données projet'!$E$11+1,1))-AVERAGE(OFFSET($H$3,0,0,'Données projet'!$E$11+1,1))</f>
        <v>5.8584049049231908</v>
      </c>
      <c r="BJ11" s="59">
        <f t="shared" si="38"/>
        <v>42.266833200216638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>
        <f>BY11*VLOOKUP('Données projet'!$B$12,Paramètres!$A$1:$I$89,3,0)*VLOOKUP('Données projet'!$B$12,Paramètres!$A$1:$I$89,5,0)</f>
        <v>0</v>
      </c>
      <c r="CA11" s="13" t="e">
        <f t="shared" si="39"/>
        <v>#NUM!</v>
      </c>
      <c r="CB11" s="20" t="e">
        <f t="shared" si="10"/>
        <v>#NUM!</v>
      </c>
      <c r="CC11" s="59" t="e">
        <f t="shared" si="11"/>
        <v>#NUM!</v>
      </c>
      <c r="CD11" s="59">
        <f ca="1">AVERAGE(OFFSET($CC$3,0,0,'Données projet'!$E$12+1,1))-AVERAGE(OFFSET($H$3,0,0,'Données projet'!$E$12+1,1))</f>
        <v>0</v>
      </c>
      <c r="CE11" s="59">
        <f t="shared" si="40"/>
        <v>0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>
        <f>CT11*VLOOKUP('Données projet'!$B$13,Paramètres!$A$1:$I$89,3,0)*VLOOKUP('Données projet'!$B$13,Paramètres!$A$1:$I$89,5,0)</f>
        <v>0</v>
      </c>
      <c r="CV11" s="13" t="e">
        <f t="shared" si="41"/>
        <v>#NUM!</v>
      </c>
      <c r="CW11" s="20" t="e">
        <f t="shared" si="13"/>
        <v>#NUM!</v>
      </c>
      <c r="CX11" s="59" t="e">
        <f t="shared" si="14"/>
        <v>#NUM!</v>
      </c>
      <c r="CY11" s="59">
        <f ca="1">AVERAGE(OFFSET($CX$3,0,0,'Données projet'!$E$13+1,1))-AVERAGE(OFFSET($H$3,0,0,'Données projet'!$E$13+1,1))</f>
        <v>0</v>
      </c>
      <c r="CZ11" s="59">
        <f t="shared" si="42"/>
        <v>0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>
        <f>DO11*VLOOKUP('Données projet'!$B$14,Paramètres!$A$1:$I$89,3,0)*VLOOKUP('Données projet'!$B$14,Paramètres!$A$1:$I$89,5,0)</f>
        <v>0</v>
      </c>
      <c r="DQ11" s="13" t="e">
        <f t="shared" si="43"/>
        <v>#NUM!</v>
      </c>
      <c r="DR11" s="20" t="e">
        <f t="shared" si="16"/>
        <v>#NUM!</v>
      </c>
      <c r="DS11" s="59" t="e">
        <f t="shared" si="17"/>
        <v>#NUM!</v>
      </c>
      <c r="DT11" s="59">
        <f ca="1">AVERAGE(OFFSET($DS$3,0,0,'Données projet'!$E$14+1,1))-AVERAGE(OFFSET($H$3,0,0,'Données projet'!$E$14+1,1))</f>
        <v>0</v>
      </c>
      <c r="DU11" s="59">
        <f t="shared" si="44"/>
        <v>0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>
        <f>EJ11*VLOOKUP('Données projet'!$B$15,Paramètres!$A$1:$I$89,3,0)*VLOOKUP('Données projet'!$B$15,Paramètres!$A$1:$I$89,5,0)</f>
        <v>0</v>
      </c>
      <c r="EL11" s="13" t="e">
        <f t="shared" si="45"/>
        <v>#NUM!</v>
      </c>
      <c r="EM11" s="20" t="e">
        <f t="shared" si="19"/>
        <v>#NUM!</v>
      </c>
      <c r="EN11" s="59" t="e">
        <f t="shared" si="20"/>
        <v>#NUM!</v>
      </c>
      <c r="EO11" s="59">
        <f ca="1">AVERAGE(OFFSET($EN$3,0,0,'Données projet'!$E$15+1,1))-AVERAGE(OFFSET($H$3,0,0,'Données projet'!$E$15+1,1))</f>
        <v>0</v>
      </c>
      <c r="EP11" s="59">
        <f t="shared" si="46"/>
        <v>0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>
        <f>FE11*VLOOKUP('Données projet'!$B$16,Paramètres!$A$1:$I$89,3,0)*VLOOKUP('Données projet'!$B$16,Paramètres!$A$1:$I$89,5,0)</f>
        <v>0</v>
      </c>
      <c r="FG11" s="13" t="e">
        <f t="shared" si="47"/>
        <v>#NUM!</v>
      </c>
      <c r="FH11" s="20" t="e">
        <f t="shared" si="22"/>
        <v>#NUM!</v>
      </c>
      <c r="FI11" s="59" t="e">
        <f t="shared" si="23"/>
        <v>#NUM!</v>
      </c>
      <c r="FJ11" s="59">
        <f ca="1">AVERAGE(OFFSET($FI$3,0,0,'Données projet'!$E$16+1,1))-AVERAGE(OFFSET($H$3,0,0,'Données projet'!$E$16+1,1))</f>
        <v>0</v>
      </c>
      <c r="FK11" s="59">
        <f t="shared" si="48"/>
        <v>0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>
        <f>EXP(-LN(2)/35)*FQ10+(1-EXP(-LN(2)/35))/(LN(2)/35)*FM11*FN11*VLOOKUP('Données projet'!$B$16,Paramètres!$A$1:$I$89,3,0)*0.475*44/12</f>
        <v>0</v>
      </c>
      <c r="FR11" s="21">
        <f>EXP(-LN(2)/25)*FR10+(1-EXP(-LN(2)/25))/(LN(2)/25)*Calculateur!FM11*Calculateur!FO11*VLOOKUP('Données projet'!$B$16,Paramètres!$A$1:$I$89,3,0)*0.475*44/12</f>
        <v>0</v>
      </c>
      <c r="FS11" s="21">
        <f>EXP(-LN(2)/2)*FS10+(1-EXP(-LN(2)/2))/(LN(2)/2)*FM11*FP11*VLOOKUP('Données projet'!$B$16,Paramètres!$A$1:$I$89,3,0)*0.475*44/12</f>
        <v>0</v>
      </c>
      <c r="FT11" s="22">
        <f t="shared" si="24"/>
        <v>0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1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5.0625</v>
      </c>
      <c r="N12" s="13">
        <f>IF('Données projet'!$A$36&gt;35,N11+M12-V11,IF(A12&lt;'Données projet'!$A$36,$K$205^A12,IF(A12='Données projet'!$A$36,'Données projet'!$B$36,N11+M12-V11)))</f>
        <v>11.844666116572443</v>
      </c>
      <c r="O12" s="13">
        <f>N12*VLOOKUP('Données projet'!$B$9,Paramètres!$A$1:$I$89,3,0)*VLOOKUP('Données projet'!$B$9,Paramètres!$A$1:$I$89,5,0)</f>
        <v>7.0831103377103206</v>
      </c>
      <c r="P12" s="13">
        <f t="shared" si="33"/>
        <v>2.5990222504562044</v>
      </c>
      <c r="Q12" s="20">
        <f t="shared" si="2"/>
        <v>16.863047591056695</v>
      </c>
      <c r="R12" s="59">
        <f t="shared" si="0"/>
        <v>310.19638092438998</v>
      </c>
      <c r="S12" s="59">
        <f ca="1">AVERAGE(OFFSET($R$3,0,0,'Données projet'!$E$9+1,1))-AVERAGE(OFFSET($H$3,0,0,'Données projet'!$E$9+1,1))</f>
        <v>186.90544184210381</v>
      </c>
      <c r="T12" s="59">
        <f t="shared" si="34"/>
        <v>202.05988514450519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5.0625</v>
      </c>
      <c r="AI12" s="13">
        <f>IF('Données projet'!$A$62&gt;35,AI11+AH12-AQ11,IF(A12&lt;'Données projet'!$A$62,$AF$205^A12,IF(A12='Données projet'!$A$62,'Données projet'!$B$62,AI11+AH12-AQ11)))</f>
        <v>11.844666116572443</v>
      </c>
      <c r="AJ12" s="13">
        <f>AI12*VLOOKUP('Données projet'!$B$10,Paramètres!$A$1:$I$89,3,0)*VLOOKUP('Données projet'!$B$10,Paramètres!$A$1:$I$89,5,0)</f>
        <v>7.0831103377103206</v>
      </c>
      <c r="AK12" s="13">
        <f t="shared" si="35"/>
        <v>2.5990222504562044</v>
      </c>
      <c r="AL12" s="20">
        <f t="shared" si="4"/>
        <v>16.863047591056695</v>
      </c>
      <c r="AM12" s="59">
        <f t="shared" si="5"/>
        <v>310.19638092438998</v>
      </c>
      <c r="AN12" s="59">
        <f ca="1">AVERAGE(OFFSET($AM$3,0,0,'Données projet'!$E$10+1,1))-AVERAGE(OFFSET($H$3,0,0,'Données projet'!$E$10+1,1))</f>
        <v>186.90544184210381</v>
      </c>
      <c r="AO12" s="59">
        <f t="shared" si="36"/>
        <v>202.05988514450519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1.9</v>
      </c>
      <c r="BD12" s="12">
        <f>IF('Données projet'!$A$88&gt;35,BD11+BC12-BL11,IF(A12&lt;'Données projet'!$A$88,$BA$205^A12,IF(A12='Données projet'!$A$88,'Données projet'!$B$88,BD11+BC12-BL11)))</f>
        <v>5.1392840088590352</v>
      </c>
      <c r="BE12" s="13">
        <f>BD12*VLOOKUP('Données projet'!$B$11,Paramètres!$A$1:$I$89,3,0)*VLOOKUP('Données projet'!$B$11,Paramètres!$A$1:$I$89,5,0)</f>
        <v>4.16898718798645</v>
      </c>
      <c r="BF12" s="13">
        <f t="shared" si="37"/>
        <v>1.6270880973731783</v>
      </c>
      <c r="BG12" s="20">
        <f t="shared" si="7"/>
        <v>10.094831122001354</v>
      </c>
      <c r="BH12" s="59">
        <f t="shared" si="8"/>
        <v>303.4281644553347</v>
      </c>
      <c r="BI12" s="59">
        <f ca="1">AVERAGE(OFFSET($BH$3,0,0,'Données projet'!$E$11+1,1))-AVERAGE(OFFSET($H$3,0,0,'Données projet'!$E$11+1,1))</f>
        <v>5.8584049049231908</v>
      </c>
      <c r="BJ12" s="59">
        <f t="shared" si="38"/>
        <v>42.266833200216638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>
        <f>BY12*VLOOKUP('Données projet'!$B$12,Paramètres!$A$1:$I$89,3,0)*VLOOKUP('Données projet'!$B$12,Paramètres!$A$1:$I$89,5,0)</f>
        <v>0</v>
      </c>
      <c r="CA12" s="13" t="e">
        <f t="shared" si="39"/>
        <v>#NUM!</v>
      </c>
      <c r="CB12" s="20" t="e">
        <f t="shared" si="10"/>
        <v>#NUM!</v>
      </c>
      <c r="CC12" s="59" t="e">
        <f t="shared" si="11"/>
        <v>#NUM!</v>
      </c>
      <c r="CD12" s="59">
        <f ca="1">AVERAGE(OFFSET($CC$3,0,0,'Données projet'!$E$12+1,1))-AVERAGE(OFFSET($H$3,0,0,'Données projet'!$E$12+1,1))</f>
        <v>0</v>
      </c>
      <c r="CE12" s="59">
        <f t="shared" si="40"/>
        <v>0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>
        <f>CT12*VLOOKUP('Données projet'!$B$13,Paramètres!$A$1:$I$89,3,0)*VLOOKUP('Données projet'!$B$13,Paramètres!$A$1:$I$89,5,0)</f>
        <v>0</v>
      </c>
      <c r="CV12" s="13" t="e">
        <f t="shared" si="41"/>
        <v>#NUM!</v>
      </c>
      <c r="CW12" s="20" t="e">
        <f t="shared" si="13"/>
        <v>#NUM!</v>
      </c>
      <c r="CX12" s="59" t="e">
        <f t="shared" si="14"/>
        <v>#NUM!</v>
      </c>
      <c r="CY12" s="59">
        <f ca="1">AVERAGE(OFFSET($CX$3,0,0,'Données projet'!$E$13+1,1))-AVERAGE(OFFSET($H$3,0,0,'Données projet'!$E$13+1,1))</f>
        <v>0</v>
      </c>
      <c r="CZ12" s="59">
        <f t="shared" si="42"/>
        <v>0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>
        <f>DO12*VLOOKUP('Données projet'!$B$14,Paramètres!$A$1:$I$89,3,0)*VLOOKUP('Données projet'!$B$14,Paramètres!$A$1:$I$89,5,0)</f>
        <v>0</v>
      </c>
      <c r="DQ12" s="13" t="e">
        <f t="shared" si="43"/>
        <v>#NUM!</v>
      </c>
      <c r="DR12" s="20" t="e">
        <f t="shared" si="16"/>
        <v>#NUM!</v>
      </c>
      <c r="DS12" s="59" t="e">
        <f t="shared" si="17"/>
        <v>#NUM!</v>
      </c>
      <c r="DT12" s="59">
        <f ca="1">AVERAGE(OFFSET($DS$3,0,0,'Données projet'!$E$14+1,1))-AVERAGE(OFFSET($H$3,0,0,'Données projet'!$E$14+1,1))</f>
        <v>0</v>
      </c>
      <c r="DU12" s="59">
        <f t="shared" si="44"/>
        <v>0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>
        <f>EJ12*VLOOKUP('Données projet'!$B$15,Paramètres!$A$1:$I$89,3,0)*VLOOKUP('Données projet'!$B$15,Paramètres!$A$1:$I$89,5,0)</f>
        <v>0</v>
      </c>
      <c r="EL12" s="13" t="e">
        <f t="shared" si="45"/>
        <v>#NUM!</v>
      </c>
      <c r="EM12" s="20" t="e">
        <f t="shared" si="19"/>
        <v>#NUM!</v>
      </c>
      <c r="EN12" s="59" t="e">
        <f t="shared" si="20"/>
        <v>#NUM!</v>
      </c>
      <c r="EO12" s="59">
        <f ca="1">AVERAGE(OFFSET($EN$3,0,0,'Données projet'!$E$15+1,1))-AVERAGE(OFFSET($H$3,0,0,'Données projet'!$E$15+1,1))</f>
        <v>0</v>
      </c>
      <c r="EP12" s="59">
        <f t="shared" si="46"/>
        <v>0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>
        <f>FE12*VLOOKUP('Données projet'!$B$16,Paramètres!$A$1:$I$89,3,0)*VLOOKUP('Données projet'!$B$16,Paramètres!$A$1:$I$89,5,0)</f>
        <v>0</v>
      </c>
      <c r="FG12" s="13" t="e">
        <f t="shared" si="47"/>
        <v>#NUM!</v>
      </c>
      <c r="FH12" s="20" t="e">
        <f t="shared" si="22"/>
        <v>#NUM!</v>
      </c>
      <c r="FI12" s="59" t="e">
        <f t="shared" si="23"/>
        <v>#NUM!</v>
      </c>
      <c r="FJ12" s="59">
        <f ca="1">AVERAGE(OFFSET($FI$3,0,0,'Données projet'!$E$16+1,1))-AVERAGE(OFFSET($H$3,0,0,'Données projet'!$E$16+1,1))</f>
        <v>0</v>
      </c>
      <c r="FK12" s="59">
        <f t="shared" si="48"/>
        <v>0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>
        <f>EXP(-LN(2)/35)*FQ11+(1-EXP(-LN(2)/35))/(LN(2)/35)*FM12*FN12*VLOOKUP('Données projet'!$B$16,Paramètres!$A$1:$I$89,3,0)*0.475*44/12</f>
        <v>0</v>
      </c>
      <c r="FR12" s="21">
        <f>EXP(-LN(2)/25)*FR11+(1-EXP(-LN(2)/25))/(LN(2)/25)*Calculateur!FM12*Calculateur!FO12*VLOOKUP('Données projet'!$B$16,Paramètres!$A$1:$I$89,3,0)*0.475*44/12</f>
        <v>0</v>
      </c>
      <c r="FS12" s="21">
        <f>EXP(-LN(2)/2)*FS11+(1-EXP(-LN(2)/2))/(LN(2)/2)*FM12*FP12*VLOOKUP('Données projet'!$B$16,Paramètres!$A$1:$I$89,3,0)*0.475*44/12</f>
        <v>0</v>
      </c>
      <c r="FT12" s="22">
        <f t="shared" si="24"/>
        <v>0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1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5.0625</v>
      </c>
      <c r="N13" s="13">
        <f>IF('Données projet'!$A$36&gt;35,N12+M13-V12,IF(A13&lt;'Données projet'!$A$36,$K$205^A13,IF(A13='Données projet'!$A$36,'Données projet'!$B$36,N12+M13-V12)))</f>
        <v>15.58845726811991</v>
      </c>
      <c r="O13" s="13">
        <f>N13*VLOOKUP('Données projet'!$B$9,Paramètres!$A$1:$I$89,3,0)*VLOOKUP('Données projet'!$B$9,Paramètres!$A$1:$I$89,5,0)</f>
        <v>9.3218974463357078</v>
      </c>
      <c r="P13" s="13">
        <f t="shared" si="33"/>
        <v>3.312882881001078</v>
      </c>
      <c r="Q13" s="20">
        <f t="shared" si="2"/>
        <v>22.005575736778237</v>
      </c>
      <c r="R13" s="59">
        <f t="shared" si="0"/>
        <v>315.33890907011153</v>
      </c>
      <c r="S13" s="59">
        <f ca="1">AVERAGE(OFFSET($R$3,0,0,'Données projet'!$E$9+1,1))-AVERAGE(OFFSET($H$3,0,0,'Données projet'!$E$9+1,1))</f>
        <v>186.90544184210381</v>
      </c>
      <c r="T13" s="59">
        <f t="shared" si="34"/>
        <v>202.05988514450519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5.0625</v>
      </c>
      <c r="AI13" s="13">
        <f>IF('Données projet'!$A$62&gt;35,AI12+AH13-AQ12,IF(A13&lt;'Données projet'!$A$62,$AF$205^A13,IF(A13='Données projet'!$A$62,'Données projet'!$B$62,AI12+AH13-AQ12)))</f>
        <v>15.58845726811991</v>
      </c>
      <c r="AJ13" s="13">
        <f>AI13*VLOOKUP('Données projet'!$B$10,Paramètres!$A$1:$I$89,3,0)*VLOOKUP('Données projet'!$B$10,Paramètres!$A$1:$I$89,5,0)</f>
        <v>9.3218974463357078</v>
      </c>
      <c r="AK13" s="13">
        <f t="shared" si="35"/>
        <v>3.312882881001078</v>
      </c>
      <c r="AL13" s="20">
        <f t="shared" si="4"/>
        <v>22.005575736778237</v>
      </c>
      <c r="AM13" s="59">
        <f t="shared" si="5"/>
        <v>315.33890907011153</v>
      </c>
      <c r="AN13" s="59">
        <f ca="1">AVERAGE(OFFSET($AM$3,0,0,'Données projet'!$E$10+1,1))-AVERAGE(OFFSET($H$3,0,0,'Données projet'!$E$10+1,1))</f>
        <v>186.90544184210381</v>
      </c>
      <c r="AO13" s="59">
        <f t="shared" si="36"/>
        <v>202.05988514450519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1.9</v>
      </c>
      <c r="BD13" s="12">
        <f>IF('Données projet'!$A$88&gt;35,BD12+BC13-BL12,IF(A13&lt;'Données projet'!$A$88,$BA$205^A13,IF(A13='Données projet'!$A$88,'Données projet'!$B$88,BD12+BC13-BL12)))</f>
        <v>6.1644140029689849</v>
      </c>
      <c r="BE13" s="13">
        <f>BD13*VLOOKUP('Données projet'!$B$11,Paramètres!$A$1:$I$89,3,0)*VLOOKUP('Données projet'!$B$11,Paramètres!$A$1:$I$89,5,0)</f>
        <v>5.0005726392084409</v>
      </c>
      <c r="BF13" s="13">
        <f t="shared" si="37"/>
        <v>1.9107589715509148</v>
      </c>
      <c r="BG13" s="20">
        <f t="shared" si="7"/>
        <v>12.037235888739211</v>
      </c>
      <c r="BH13" s="59">
        <f t="shared" si="8"/>
        <v>305.3705692220725</v>
      </c>
      <c r="BI13" s="59">
        <f ca="1">AVERAGE(OFFSET($BH$3,0,0,'Données projet'!$E$11+1,1))-AVERAGE(OFFSET($H$3,0,0,'Données projet'!$E$11+1,1))</f>
        <v>5.8584049049231908</v>
      </c>
      <c r="BJ13" s="59">
        <f t="shared" si="38"/>
        <v>42.266833200216638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>
        <f>BY13*VLOOKUP('Données projet'!$B$12,Paramètres!$A$1:$I$89,3,0)*VLOOKUP('Données projet'!$B$12,Paramètres!$A$1:$I$89,5,0)</f>
        <v>0</v>
      </c>
      <c r="CA13" s="13" t="e">
        <f t="shared" si="39"/>
        <v>#NUM!</v>
      </c>
      <c r="CB13" s="20" t="e">
        <f t="shared" si="10"/>
        <v>#NUM!</v>
      </c>
      <c r="CC13" s="59" t="e">
        <f t="shared" si="11"/>
        <v>#NUM!</v>
      </c>
      <c r="CD13" s="59">
        <f ca="1">AVERAGE(OFFSET($CC$3,0,0,'Données projet'!$E$12+1,1))-AVERAGE(OFFSET($H$3,0,0,'Données projet'!$E$12+1,1))</f>
        <v>0</v>
      </c>
      <c r="CE13" s="59">
        <f t="shared" si="40"/>
        <v>0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>
        <f>CT13*VLOOKUP('Données projet'!$B$13,Paramètres!$A$1:$I$89,3,0)*VLOOKUP('Données projet'!$B$13,Paramètres!$A$1:$I$89,5,0)</f>
        <v>0</v>
      </c>
      <c r="CV13" s="13" t="e">
        <f t="shared" si="41"/>
        <v>#NUM!</v>
      </c>
      <c r="CW13" s="20" t="e">
        <f t="shared" si="13"/>
        <v>#NUM!</v>
      </c>
      <c r="CX13" s="59" t="e">
        <f t="shared" si="14"/>
        <v>#NUM!</v>
      </c>
      <c r="CY13" s="59">
        <f ca="1">AVERAGE(OFFSET($CX$3,0,0,'Données projet'!$E$13+1,1))-AVERAGE(OFFSET($H$3,0,0,'Données projet'!$E$13+1,1))</f>
        <v>0</v>
      </c>
      <c r="CZ13" s="59">
        <f t="shared" si="42"/>
        <v>0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>
        <f>DO13*VLOOKUP('Données projet'!$B$14,Paramètres!$A$1:$I$89,3,0)*VLOOKUP('Données projet'!$B$14,Paramètres!$A$1:$I$89,5,0)</f>
        <v>0</v>
      </c>
      <c r="DQ13" s="13" t="e">
        <f t="shared" si="43"/>
        <v>#NUM!</v>
      </c>
      <c r="DR13" s="20" t="e">
        <f t="shared" si="16"/>
        <v>#NUM!</v>
      </c>
      <c r="DS13" s="59" t="e">
        <f t="shared" si="17"/>
        <v>#NUM!</v>
      </c>
      <c r="DT13" s="59">
        <f ca="1">AVERAGE(OFFSET($DS$3,0,0,'Données projet'!$E$14+1,1))-AVERAGE(OFFSET($H$3,0,0,'Données projet'!$E$14+1,1))</f>
        <v>0</v>
      </c>
      <c r="DU13" s="59">
        <f t="shared" si="44"/>
        <v>0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>
        <f>EJ13*VLOOKUP('Données projet'!$B$15,Paramètres!$A$1:$I$89,3,0)*VLOOKUP('Données projet'!$B$15,Paramètres!$A$1:$I$89,5,0)</f>
        <v>0</v>
      </c>
      <c r="EL13" s="13" t="e">
        <f t="shared" si="45"/>
        <v>#NUM!</v>
      </c>
      <c r="EM13" s="20" t="e">
        <f t="shared" si="19"/>
        <v>#NUM!</v>
      </c>
      <c r="EN13" s="59" t="e">
        <f t="shared" si="20"/>
        <v>#NUM!</v>
      </c>
      <c r="EO13" s="59">
        <f ca="1">AVERAGE(OFFSET($EN$3,0,0,'Données projet'!$E$15+1,1))-AVERAGE(OFFSET($H$3,0,0,'Données projet'!$E$15+1,1))</f>
        <v>0</v>
      </c>
      <c r="EP13" s="59">
        <f t="shared" si="46"/>
        <v>0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>
        <f>FE13*VLOOKUP('Données projet'!$B$16,Paramètres!$A$1:$I$89,3,0)*VLOOKUP('Données projet'!$B$16,Paramètres!$A$1:$I$89,5,0)</f>
        <v>0</v>
      </c>
      <c r="FG13" s="13" t="e">
        <f t="shared" si="47"/>
        <v>#NUM!</v>
      </c>
      <c r="FH13" s="20" t="e">
        <f t="shared" si="22"/>
        <v>#NUM!</v>
      </c>
      <c r="FI13" s="59" t="e">
        <f t="shared" si="23"/>
        <v>#NUM!</v>
      </c>
      <c r="FJ13" s="59">
        <f ca="1">AVERAGE(OFFSET($FI$3,0,0,'Données projet'!$E$16+1,1))-AVERAGE(OFFSET($H$3,0,0,'Données projet'!$E$16+1,1))</f>
        <v>0</v>
      </c>
      <c r="FK13" s="59">
        <f t="shared" si="48"/>
        <v>0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>
        <f>EXP(-LN(2)/35)*FQ12+(1-EXP(-LN(2)/35))/(LN(2)/35)*FM13*FN13*VLOOKUP('Données projet'!$B$16,Paramètres!$A$1:$I$89,3,0)*0.475*44/12</f>
        <v>0</v>
      </c>
      <c r="FR13" s="21">
        <f>EXP(-LN(2)/25)*FR12+(1-EXP(-LN(2)/25))/(LN(2)/25)*Calculateur!FM13*Calculateur!FO13*VLOOKUP('Données projet'!$B$16,Paramètres!$A$1:$I$89,3,0)*0.475*44/12</f>
        <v>0</v>
      </c>
      <c r="FS13" s="21">
        <f>EXP(-LN(2)/2)*FS12+(1-EXP(-LN(2)/2))/(LN(2)/2)*FM13*FP13*VLOOKUP('Données projet'!$B$16,Paramètres!$A$1:$I$89,3,0)*0.475*44/12</f>
        <v>0</v>
      </c>
      <c r="FT13" s="22">
        <f t="shared" si="24"/>
        <v>0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1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5.0625</v>
      </c>
      <c r="N14" s="13">
        <f>IF('Données projet'!$A$36&gt;35,N13+M14-V13,IF(A14&lt;'Données projet'!$A$36,$K$205^A14,IF(A14='Données projet'!$A$36,'Données projet'!$B$36,N13+M14-V13)))</f>
        <v>20.515563512593022</v>
      </c>
      <c r="O14" s="13">
        <f>N14*VLOOKUP('Données projet'!$B$9,Paramètres!$A$1:$I$89,3,0)*VLOOKUP('Données projet'!$B$9,Paramètres!$A$1:$I$89,5,0)</f>
        <v>12.268306980530628</v>
      </c>
      <c r="P14" s="13">
        <f t="shared" si="33"/>
        <v>4.2228160922068056</v>
      </c>
      <c r="Q14" s="20">
        <f t="shared" si="2"/>
        <v>28.722039351684362</v>
      </c>
      <c r="R14" s="59">
        <f t="shared" si="0"/>
        <v>322.05537268501769</v>
      </c>
      <c r="S14" s="59">
        <f ca="1">AVERAGE(OFFSET($R$3,0,0,'Données projet'!$E$9+1,1))-AVERAGE(OFFSET($H$3,0,0,'Données projet'!$E$9+1,1))</f>
        <v>186.90544184210381</v>
      </c>
      <c r="T14" s="59">
        <f t="shared" si="34"/>
        <v>202.05988514450519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5.0625</v>
      </c>
      <c r="AI14" s="13">
        <f>IF('Données projet'!$A$62&gt;35,AI13+AH14-AQ13,IF(A14&lt;'Données projet'!$A$62,$AF$205^A14,IF(A14='Données projet'!$A$62,'Données projet'!$B$62,AI13+AH14-AQ13)))</f>
        <v>20.515563512593022</v>
      </c>
      <c r="AJ14" s="13">
        <f>AI14*VLOOKUP('Données projet'!$B$10,Paramètres!$A$1:$I$89,3,0)*VLOOKUP('Données projet'!$B$10,Paramètres!$A$1:$I$89,5,0)</f>
        <v>12.268306980530628</v>
      </c>
      <c r="AK14" s="13">
        <f t="shared" si="35"/>
        <v>4.2228160922068056</v>
      </c>
      <c r="AL14" s="20">
        <f t="shared" si="4"/>
        <v>28.722039351684362</v>
      </c>
      <c r="AM14" s="59">
        <f t="shared" si="5"/>
        <v>322.05537268501769</v>
      </c>
      <c r="AN14" s="59">
        <f ca="1">AVERAGE(OFFSET($AM$3,0,0,'Données projet'!$E$10+1,1))-AVERAGE(OFFSET($H$3,0,0,'Données projet'!$E$10+1,1))</f>
        <v>186.90544184210381</v>
      </c>
      <c r="AO14" s="59">
        <f t="shared" si="36"/>
        <v>202.05988514450519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1.9</v>
      </c>
      <c r="BD14" s="12">
        <f>IF('Données projet'!$A$88&gt;35,BD13+BC14-BL13,IF(A14&lt;'Données projet'!$A$88,$BA$205^A14,IF(A14='Données projet'!$A$88,'Données projet'!$B$88,BD13+BC14-BL13)))</f>
        <v>7.3940260811615319</v>
      </c>
      <c r="BE14" s="13">
        <f>BD14*VLOOKUP('Données projet'!$B$11,Paramètres!$A$1:$I$89,3,0)*VLOOKUP('Données projet'!$B$11,Paramètres!$A$1:$I$89,5,0)</f>
        <v>5.9980339570382348</v>
      </c>
      <c r="BF14" s="13">
        <f t="shared" si="37"/>
        <v>2.243885781757359</v>
      </c>
      <c r="BG14" s="20">
        <f t="shared" si="7"/>
        <v>14.354676878402325</v>
      </c>
      <c r="BH14" s="59">
        <f t="shared" si="8"/>
        <v>307.68801021173562</v>
      </c>
      <c r="BI14" s="59">
        <f ca="1">AVERAGE(OFFSET($BH$3,0,0,'Données projet'!$E$11+1,1))-AVERAGE(OFFSET($H$3,0,0,'Données projet'!$E$11+1,1))</f>
        <v>5.8584049049231908</v>
      </c>
      <c r="BJ14" s="59">
        <f t="shared" si="38"/>
        <v>42.266833200216638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>
        <f>BY14*VLOOKUP('Données projet'!$B$12,Paramètres!$A$1:$I$89,3,0)*VLOOKUP('Données projet'!$B$12,Paramètres!$A$1:$I$89,5,0)</f>
        <v>0</v>
      </c>
      <c r="CA14" s="13" t="e">
        <f t="shared" si="39"/>
        <v>#NUM!</v>
      </c>
      <c r="CB14" s="20" t="e">
        <f t="shared" si="10"/>
        <v>#NUM!</v>
      </c>
      <c r="CC14" s="59" t="e">
        <f t="shared" si="11"/>
        <v>#NUM!</v>
      </c>
      <c r="CD14" s="59">
        <f ca="1">AVERAGE(OFFSET($CC$3,0,0,'Données projet'!$E$12+1,1))-AVERAGE(OFFSET($H$3,0,0,'Données projet'!$E$12+1,1))</f>
        <v>0</v>
      </c>
      <c r="CE14" s="59">
        <f t="shared" si="40"/>
        <v>0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>
        <f>CT14*VLOOKUP('Données projet'!$B$13,Paramètres!$A$1:$I$89,3,0)*VLOOKUP('Données projet'!$B$13,Paramètres!$A$1:$I$89,5,0)</f>
        <v>0</v>
      </c>
      <c r="CV14" s="13" t="e">
        <f t="shared" si="41"/>
        <v>#NUM!</v>
      </c>
      <c r="CW14" s="20" t="e">
        <f t="shared" si="13"/>
        <v>#NUM!</v>
      </c>
      <c r="CX14" s="59" t="e">
        <f t="shared" si="14"/>
        <v>#NUM!</v>
      </c>
      <c r="CY14" s="59">
        <f ca="1">AVERAGE(OFFSET($CX$3,0,0,'Données projet'!$E$13+1,1))-AVERAGE(OFFSET($H$3,0,0,'Données projet'!$E$13+1,1))</f>
        <v>0</v>
      </c>
      <c r="CZ14" s="59">
        <f t="shared" si="42"/>
        <v>0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>
        <f>DO14*VLOOKUP('Données projet'!$B$14,Paramètres!$A$1:$I$89,3,0)*VLOOKUP('Données projet'!$B$14,Paramètres!$A$1:$I$89,5,0)</f>
        <v>0</v>
      </c>
      <c r="DQ14" s="13" t="e">
        <f t="shared" si="43"/>
        <v>#NUM!</v>
      </c>
      <c r="DR14" s="20" t="e">
        <f t="shared" si="16"/>
        <v>#NUM!</v>
      </c>
      <c r="DS14" s="59" t="e">
        <f t="shared" si="17"/>
        <v>#NUM!</v>
      </c>
      <c r="DT14" s="59">
        <f ca="1">AVERAGE(OFFSET($DS$3,0,0,'Données projet'!$E$14+1,1))-AVERAGE(OFFSET($H$3,0,0,'Données projet'!$E$14+1,1))</f>
        <v>0</v>
      </c>
      <c r="DU14" s="59">
        <f t="shared" si="44"/>
        <v>0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>
        <f>EJ14*VLOOKUP('Données projet'!$B$15,Paramètres!$A$1:$I$89,3,0)*VLOOKUP('Données projet'!$B$15,Paramètres!$A$1:$I$89,5,0)</f>
        <v>0</v>
      </c>
      <c r="EL14" s="13" t="e">
        <f t="shared" si="45"/>
        <v>#NUM!</v>
      </c>
      <c r="EM14" s="20" t="e">
        <f t="shared" si="19"/>
        <v>#NUM!</v>
      </c>
      <c r="EN14" s="59" t="e">
        <f t="shared" si="20"/>
        <v>#NUM!</v>
      </c>
      <c r="EO14" s="59">
        <f ca="1">AVERAGE(OFFSET($EN$3,0,0,'Données projet'!$E$15+1,1))-AVERAGE(OFFSET($H$3,0,0,'Données projet'!$E$15+1,1))</f>
        <v>0</v>
      </c>
      <c r="EP14" s="59">
        <f t="shared" si="46"/>
        <v>0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>
        <f>FE14*VLOOKUP('Données projet'!$B$16,Paramètres!$A$1:$I$89,3,0)*VLOOKUP('Données projet'!$B$16,Paramètres!$A$1:$I$89,5,0)</f>
        <v>0</v>
      </c>
      <c r="FG14" s="13" t="e">
        <f t="shared" si="47"/>
        <v>#NUM!</v>
      </c>
      <c r="FH14" s="20" t="e">
        <f t="shared" si="22"/>
        <v>#NUM!</v>
      </c>
      <c r="FI14" s="59" t="e">
        <f t="shared" si="23"/>
        <v>#NUM!</v>
      </c>
      <c r="FJ14" s="59">
        <f ca="1">AVERAGE(OFFSET($FI$3,0,0,'Données projet'!$E$16+1,1))-AVERAGE(OFFSET($H$3,0,0,'Données projet'!$E$16+1,1))</f>
        <v>0</v>
      </c>
      <c r="FK14" s="59">
        <f t="shared" si="48"/>
        <v>0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>
        <f>EXP(-LN(2)/35)*FQ13+(1-EXP(-LN(2)/35))/(LN(2)/35)*FM14*FN14*VLOOKUP('Données projet'!$B$16,Paramètres!$A$1:$I$89,3,0)*0.475*44/12</f>
        <v>0</v>
      </c>
      <c r="FR14" s="21">
        <f>EXP(-LN(2)/25)*FR13+(1-EXP(-LN(2)/25))/(LN(2)/25)*Calculateur!FM14*Calculateur!FO14*VLOOKUP('Données projet'!$B$16,Paramètres!$A$1:$I$89,3,0)*0.475*44/12</f>
        <v>0</v>
      </c>
      <c r="FS14" s="21">
        <f>EXP(-LN(2)/2)*FS13+(1-EXP(-LN(2)/2))/(LN(2)/2)*FM14*FP14*VLOOKUP('Données projet'!$B$16,Paramètres!$A$1:$I$89,3,0)*0.475*44/12</f>
        <v>0</v>
      </c>
      <c r="FT14" s="22">
        <f t="shared" si="24"/>
        <v>0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1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5.0625</v>
      </c>
      <c r="N15" s="13">
        <f>IF('Données projet'!$A$36&gt;35,N14+M15-V14,IF(A15&lt;'Données projet'!$A$36,$K$205^A15,IF(A15='Données projet'!$A$36,'Données projet'!$B$36,N14+M15-V14)))</f>
        <v>27.000000000000032</v>
      </c>
      <c r="O15" s="13">
        <f>N15*VLOOKUP('Données projet'!$B$9,Paramètres!$A$1:$I$89,3,0)*VLOOKUP('Données projet'!$B$9,Paramètres!$A$1:$I$89,5,0)</f>
        <v>16.146000000000022</v>
      </c>
      <c r="P15" s="13">
        <f t="shared" si="33"/>
        <v>5.3826761733310242</v>
      </c>
      <c r="Q15" s="20">
        <f t="shared" si="2"/>
        <v>37.495777668551568</v>
      </c>
      <c r="R15" s="59">
        <f t="shared" si="0"/>
        <v>330.82911100188488</v>
      </c>
      <c r="S15" s="59">
        <f ca="1">AVERAGE(OFFSET($R$3,0,0,'Données projet'!$E$9+1,1))-AVERAGE(OFFSET($H$3,0,0,'Données projet'!$E$9+1,1))</f>
        <v>186.90544184210381</v>
      </c>
      <c r="T15" s="59">
        <f t="shared" si="34"/>
        <v>202.05988514450519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5.0625</v>
      </c>
      <c r="AI15" s="13">
        <f>IF('Données projet'!$A$62&gt;35,AI14+AH15-AQ14,IF(A15&lt;'Données projet'!$A$62,$AF$205^A15,IF(A15='Données projet'!$A$62,'Données projet'!$B$62,AI14+AH15-AQ14)))</f>
        <v>27.000000000000032</v>
      </c>
      <c r="AJ15" s="13">
        <f>AI15*VLOOKUP('Données projet'!$B$10,Paramètres!$A$1:$I$89,3,0)*VLOOKUP('Données projet'!$B$10,Paramètres!$A$1:$I$89,5,0)</f>
        <v>16.146000000000022</v>
      </c>
      <c r="AK15" s="13">
        <f t="shared" si="35"/>
        <v>5.3826761733310242</v>
      </c>
      <c r="AL15" s="20">
        <f t="shared" si="4"/>
        <v>37.495777668551568</v>
      </c>
      <c r="AM15" s="59">
        <f t="shared" si="5"/>
        <v>330.82911100188488</v>
      </c>
      <c r="AN15" s="59">
        <f ca="1">AVERAGE(OFFSET($AM$3,0,0,'Données projet'!$E$10+1,1))-AVERAGE(OFFSET($H$3,0,0,'Données projet'!$E$10+1,1))</f>
        <v>186.90544184210381</v>
      </c>
      <c r="AO15" s="59">
        <f t="shared" si="36"/>
        <v>202.05988514450519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1.9</v>
      </c>
      <c r="BD15" s="12">
        <f>IF('Données projet'!$A$88&gt;35,BD14+BC15-BL14,IF(A15&lt;'Données projet'!$A$88,$BA$205^A15,IF(A15='Données projet'!$A$88,'Données projet'!$B$88,BD14+BC15-BL14)))</f>
        <v>8.8689081658962738</v>
      </c>
      <c r="BE15" s="13">
        <f>BD15*VLOOKUP('Données projet'!$B$11,Paramètres!$A$1:$I$89,3,0)*VLOOKUP('Données projet'!$B$11,Paramètres!$A$1:$I$89,5,0)</f>
        <v>7.1944583041750576</v>
      </c>
      <c r="BF15" s="13">
        <f t="shared" si="37"/>
        <v>2.6350908076522259</v>
      </c>
      <c r="BG15" s="20">
        <f t="shared" si="7"/>
        <v>17.119798036432517</v>
      </c>
      <c r="BH15" s="59">
        <f t="shared" si="8"/>
        <v>310.45313136976586</v>
      </c>
      <c r="BI15" s="59">
        <f ca="1">AVERAGE(OFFSET($BH$3,0,0,'Données projet'!$E$11+1,1))-AVERAGE(OFFSET($H$3,0,0,'Données projet'!$E$11+1,1))</f>
        <v>5.8584049049231908</v>
      </c>
      <c r="BJ15" s="59">
        <f t="shared" si="38"/>
        <v>42.266833200216638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>
        <f>BY15*VLOOKUP('Données projet'!$B$12,Paramètres!$A$1:$I$89,3,0)*VLOOKUP('Données projet'!$B$12,Paramètres!$A$1:$I$89,5,0)</f>
        <v>0</v>
      </c>
      <c r="CA15" s="13" t="e">
        <f t="shared" si="39"/>
        <v>#NUM!</v>
      </c>
      <c r="CB15" s="20" t="e">
        <f t="shared" si="10"/>
        <v>#NUM!</v>
      </c>
      <c r="CC15" s="59" t="e">
        <f t="shared" si="11"/>
        <v>#NUM!</v>
      </c>
      <c r="CD15" s="59">
        <f ca="1">AVERAGE(OFFSET($CC$3,0,0,'Données projet'!$E$12+1,1))-AVERAGE(OFFSET($H$3,0,0,'Données projet'!$E$12+1,1))</f>
        <v>0</v>
      </c>
      <c r="CE15" s="59">
        <f t="shared" si="40"/>
        <v>0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>
        <f>CT15*VLOOKUP('Données projet'!$B$13,Paramètres!$A$1:$I$89,3,0)*VLOOKUP('Données projet'!$B$13,Paramètres!$A$1:$I$89,5,0)</f>
        <v>0</v>
      </c>
      <c r="CV15" s="13" t="e">
        <f t="shared" si="41"/>
        <v>#NUM!</v>
      </c>
      <c r="CW15" s="20" t="e">
        <f t="shared" si="13"/>
        <v>#NUM!</v>
      </c>
      <c r="CX15" s="59" t="e">
        <f t="shared" si="14"/>
        <v>#NUM!</v>
      </c>
      <c r="CY15" s="59">
        <f ca="1">AVERAGE(OFFSET($CX$3,0,0,'Données projet'!$E$13+1,1))-AVERAGE(OFFSET($H$3,0,0,'Données projet'!$E$13+1,1))</f>
        <v>0</v>
      </c>
      <c r="CZ15" s="59">
        <f t="shared" si="42"/>
        <v>0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>
        <f>DO15*VLOOKUP('Données projet'!$B$14,Paramètres!$A$1:$I$89,3,0)*VLOOKUP('Données projet'!$B$14,Paramètres!$A$1:$I$89,5,0)</f>
        <v>0</v>
      </c>
      <c r="DQ15" s="13" t="e">
        <f t="shared" si="43"/>
        <v>#NUM!</v>
      </c>
      <c r="DR15" s="20" t="e">
        <f t="shared" si="16"/>
        <v>#NUM!</v>
      </c>
      <c r="DS15" s="59" t="e">
        <f t="shared" si="17"/>
        <v>#NUM!</v>
      </c>
      <c r="DT15" s="59">
        <f ca="1">AVERAGE(OFFSET($DS$3,0,0,'Données projet'!$E$14+1,1))-AVERAGE(OFFSET($H$3,0,0,'Données projet'!$E$14+1,1))</f>
        <v>0</v>
      </c>
      <c r="DU15" s="59">
        <f t="shared" si="44"/>
        <v>0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>
        <f>EJ15*VLOOKUP('Données projet'!$B$15,Paramètres!$A$1:$I$89,3,0)*VLOOKUP('Données projet'!$B$15,Paramètres!$A$1:$I$89,5,0)</f>
        <v>0</v>
      </c>
      <c r="EL15" s="13" t="e">
        <f t="shared" si="45"/>
        <v>#NUM!</v>
      </c>
      <c r="EM15" s="20" t="e">
        <f t="shared" si="19"/>
        <v>#NUM!</v>
      </c>
      <c r="EN15" s="59" t="e">
        <f t="shared" si="20"/>
        <v>#NUM!</v>
      </c>
      <c r="EO15" s="59">
        <f ca="1">AVERAGE(OFFSET($EN$3,0,0,'Données projet'!$E$15+1,1))-AVERAGE(OFFSET($H$3,0,0,'Données projet'!$E$15+1,1))</f>
        <v>0</v>
      </c>
      <c r="EP15" s="59">
        <f t="shared" si="46"/>
        <v>0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>
        <f>FE15*VLOOKUP('Données projet'!$B$16,Paramètres!$A$1:$I$89,3,0)*VLOOKUP('Données projet'!$B$16,Paramètres!$A$1:$I$89,5,0)</f>
        <v>0</v>
      </c>
      <c r="FG15" s="13" t="e">
        <f t="shared" si="47"/>
        <v>#NUM!</v>
      </c>
      <c r="FH15" s="20" t="e">
        <f t="shared" si="22"/>
        <v>#NUM!</v>
      </c>
      <c r="FI15" s="59" t="e">
        <f t="shared" si="23"/>
        <v>#NUM!</v>
      </c>
      <c r="FJ15" s="59">
        <f ca="1">AVERAGE(OFFSET($FI$3,0,0,'Données projet'!$E$16+1,1))-AVERAGE(OFFSET($H$3,0,0,'Données projet'!$E$16+1,1))</f>
        <v>0</v>
      </c>
      <c r="FK15" s="59">
        <f t="shared" si="48"/>
        <v>0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>
        <f>EXP(-LN(2)/35)*FQ14+(1-EXP(-LN(2)/35))/(LN(2)/35)*FM15*FN15*VLOOKUP('Données projet'!$B$16,Paramètres!$A$1:$I$89,3,0)*0.475*44/12</f>
        <v>0</v>
      </c>
      <c r="FR15" s="21">
        <f>EXP(-LN(2)/25)*FR14+(1-EXP(-LN(2)/25))/(LN(2)/25)*Calculateur!FM15*Calculateur!FO15*VLOOKUP('Données projet'!$B$16,Paramètres!$A$1:$I$89,3,0)*0.475*44/12</f>
        <v>0</v>
      </c>
      <c r="FS15" s="21">
        <f>EXP(-LN(2)/2)*FS14+(1-EXP(-LN(2)/2))/(LN(2)/2)*FM15*FP15*VLOOKUP('Données projet'!$B$16,Paramètres!$A$1:$I$89,3,0)*0.475*44/12</f>
        <v>0</v>
      </c>
      <c r="FT15" s="22">
        <f t="shared" si="24"/>
        <v>0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1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5.0625</v>
      </c>
      <c r="N16" s="13">
        <f>IF('Données projet'!$A$36&gt;35,N15+M16-V15,IF(A16&lt;'Données projet'!$A$36,$K$205^A16,IF(A16='Données projet'!$A$36,'Données projet'!$B$36,N15+M16-V15)))</f>
        <v>35.533998349717344</v>
      </c>
      <c r="O16" s="13">
        <f>N16*VLOOKUP('Données projet'!$B$9,Paramètres!$A$1:$I$89,3,0)*VLOOKUP('Données projet'!$B$9,Paramètres!$A$1:$I$89,5,0)</f>
        <v>21.249331013130973</v>
      </c>
      <c r="P16" s="13">
        <f t="shared" si="33"/>
        <v>6.8611093058055497</v>
      </c>
      <c r="Q16" s="20">
        <f t="shared" si="2"/>
        <v>48.959016888814439</v>
      </c>
      <c r="R16" s="59">
        <f t="shared" si="0"/>
        <v>342.29235022214777</v>
      </c>
      <c r="S16" s="59">
        <f ca="1">AVERAGE(OFFSET($R$3,0,0,'Données projet'!$E$9+1,1))-AVERAGE(OFFSET($H$3,0,0,'Données projet'!$E$9+1,1))</f>
        <v>186.90544184210381</v>
      </c>
      <c r="T16" s="59">
        <f t="shared" si="34"/>
        <v>202.05988514450519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5.0625</v>
      </c>
      <c r="AI16" s="13">
        <f>IF('Données projet'!$A$62&gt;35,AI15+AH16-AQ15,IF(A16&lt;'Données projet'!$A$62,$AF$205^A16,IF(A16='Données projet'!$A$62,'Données projet'!$B$62,AI15+AH16-AQ15)))</f>
        <v>35.533998349717344</v>
      </c>
      <c r="AJ16" s="13">
        <f>AI16*VLOOKUP('Données projet'!$B$10,Paramètres!$A$1:$I$89,3,0)*VLOOKUP('Données projet'!$B$10,Paramètres!$A$1:$I$89,5,0)</f>
        <v>21.249331013130973</v>
      </c>
      <c r="AK16" s="13">
        <f t="shared" si="35"/>
        <v>6.8611093058055497</v>
      </c>
      <c r="AL16" s="20">
        <f t="shared" si="4"/>
        <v>48.959016888814439</v>
      </c>
      <c r="AM16" s="59">
        <f t="shared" si="5"/>
        <v>342.29235022214777</v>
      </c>
      <c r="AN16" s="59">
        <f ca="1">AVERAGE(OFFSET($AM$3,0,0,'Données projet'!$E$10+1,1))-AVERAGE(OFFSET($H$3,0,0,'Données projet'!$E$10+1,1))</f>
        <v>186.90544184210381</v>
      </c>
      <c r="AO16" s="59">
        <f t="shared" si="36"/>
        <v>202.05988514450519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1.9</v>
      </c>
      <c r="BD16" s="12">
        <f>IF('Données projet'!$A$88&gt;35,BD15+BC16-BL15,IF(A16&lt;'Données projet'!$A$88,$BA$205^A16,IF(A16='Données projet'!$A$88,'Données projet'!$B$88,BD15+BC16-BL15)))</f>
        <v>10.637984122818409</v>
      </c>
      <c r="BE16" s="13">
        <f>BD16*VLOOKUP('Données projet'!$B$11,Paramètres!$A$1:$I$89,3,0)*VLOOKUP('Données projet'!$B$11,Paramètres!$A$1:$I$89,5,0)</f>
        <v>8.6295327204302943</v>
      </c>
      <c r="BF16" s="13">
        <f t="shared" si="37"/>
        <v>3.0944995601046648</v>
      </c>
      <c r="BG16" s="20">
        <f t="shared" si="7"/>
        <v>20.419356221931722</v>
      </c>
      <c r="BH16" s="59">
        <f t="shared" si="8"/>
        <v>313.75268955526502</v>
      </c>
      <c r="BI16" s="59">
        <f ca="1">AVERAGE(OFFSET($BH$3,0,0,'Données projet'!$E$11+1,1))-AVERAGE(OFFSET($H$3,0,0,'Données projet'!$E$11+1,1))</f>
        <v>5.8584049049231908</v>
      </c>
      <c r="BJ16" s="59">
        <f t="shared" si="38"/>
        <v>42.266833200216638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>
        <f>BY16*VLOOKUP('Données projet'!$B$12,Paramètres!$A$1:$I$89,3,0)*VLOOKUP('Données projet'!$B$12,Paramètres!$A$1:$I$89,5,0)</f>
        <v>0</v>
      </c>
      <c r="CA16" s="13" t="e">
        <f t="shared" si="39"/>
        <v>#NUM!</v>
      </c>
      <c r="CB16" s="20" t="e">
        <f t="shared" si="10"/>
        <v>#NUM!</v>
      </c>
      <c r="CC16" s="59" t="e">
        <f t="shared" si="11"/>
        <v>#NUM!</v>
      </c>
      <c r="CD16" s="59">
        <f ca="1">AVERAGE(OFFSET($CC$3,0,0,'Données projet'!$E$12+1,1))-AVERAGE(OFFSET($H$3,0,0,'Données projet'!$E$12+1,1))</f>
        <v>0</v>
      </c>
      <c r="CE16" s="59">
        <f t="shared" si="40"/>
        <v>0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>
        <f>CT16*VLOOKUP('Données projet'!$B$13,Paramètres!$A$1:$I$89,3,0)*VLOOKUP('Données projet'!$B$13,Paramètres!$A$1:$I$89,5,0)</f>
        <v>0</v>
      </c>
      <c r="CV16" s="13" t="e">
        <f t="shared" si="41"/>
        <v>#NUM!</v>
      </c>
      <c r="CW16" s="20" t="e">
        <f t="shared" si="13"/>
        <v>#NUM!</v>
      </c>
      <c r="CX16" s="59" t="e">
        <f t="shared" si="14"/>
        <v>#NUM!</v>
      </c>
      <c r="CY16" s="59">
        <f ca="1">AVERAGE(OFFSET($CX$3,0,0,'Données projet'!$E$13+1,1))-AVERAGE(OFFSET($H$3,0,0,'Données projet'!$E$13+1,1))</f>
        <v>0</v>
      </c>
      <c r="CZ16" s="59">
        <f t="shared" si="42"/>
        <v>0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>
        <f>DO16*VLOOKUP('Données projet'!$B$14,Paramètres!$A$1:$I$89,3,0)*VLOOKUP('Données projet'!$B$14,Paramètres!$A$1:$I$89,5,0)</f>
        <v>0</v>
      </c>
      <c r="DQ16" s="13" t="e">
        <f t="shared" si="43"/>
        <v>#NUM!</v>
      </c>
      <c r="DR16" s="20" t="e">
        <f t="shared" si="16"/>
        <v>#NUM!</v>
      </c>
      <c r="DS16" s="59" t="e">
        <f t="shared" si="17"/>
        <v>#NUM!</v>
      </c>
      <c r="DT16" s="59">
        <f ca="1">AVERAGE(OFFSET($DS$3,0,0,'Données projet'!$E$14+1,1))-AVERAGE(OFFSET($H$3,0,0,'Données projet'!$E$14+1,1))</f>
        <v>0</v>
      </c>
      <c r="DU16" s="59">
        <f t="shared" si="44"/>
        <v>0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>
        <f>EJ16*VLOOKUP('Données projet'!$B$15,Paramètres!$A$1:$I$89,3,0)*VLOOKUP('Données projet'!$B$15,Paramètres!$A$1:$I$89,5,0)</f>
        <v>0</v>
      </c>
      <c r="EL16" s="13" t="e">
        <f t="shared" si="45"/>
        <v>#NUM!</v>
      </c>
      <c r="EM16" s="20" t="e">
        <f t="shared" si="19"/>
        <v>#NUM!</v>
      </c>
      <c r="EN16" s="59" t="e">
        <f t="shared" si="20"/>
        <v>#NUM!</v>
      </c>
      <c r="EO16" s="59">
        <f ca="1">AVERAGE(OFFSET($EN$3,0,0,'Données projet'!$E$15+1,1))-AVERAGE(OFFSET($H$3,0,0,'Données projet'!$E$15+1,1))</f>
        <v>0</v>
      </c>
      <c r="EP16" s="59">
        <f t="shared" si="46"/>
        <v>0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>
        <f>FE16*VLOOKUP('Données projet'!$B$16,Paramètres!$A$1:$I$89,3,0)*VLOOKUP('Données projet'!$B$16,Paramètres!$A$1:$I$89,5,0)</f>
        <v>0</v>
      </c>
      <c r="FG16" s="13" t="e">
        <f t="shared" si="47"/>
        <v>#NUM!</v>
      </c>
      <c r="FH16" s="20" t="e">
        <f t="shared" si="22"/>
        <v>#NUM!</v>
      </c>
      <c r="FI16" s="59" t="e">
        <f t="shared" si="23"/>
        <v>#NUM!</v>
      </c>
      <c r="FJ16" s="59">
        <f ca="1">AVERAGE(OFFSET($FI$3,0,0,'Données projet'!$E$16+1,1))-AVERAGE(OFFSET($H$3,0,0,'Données projet'!$E$16+1,1))</f>
        <v>0</v>
      </c>
      <c r="FK16" s="59">
        <f t="shared" si="48"/>
        <v>0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>
        <f>EXP(-LN(2)/35)*FQ15+(1-EXP(-LN(2)/35))/(LN(2)/35)*FM16*FN16*VLOOKUP('Données projet'!$B$16,Paramètres!$A$1:$I$89,3,0)*0.475*44/12</f>
        <v>0</v>
      </c>
      <c r="FR16" s="21">
        <f>EXP(-LN(2)/25)*FR15+(1-EXP(-LN(2)/25))/(LN(2)/25)*Calculateur!FM16*Calculateur!FO16*VLOOKUP('Données projet'!$B$16,Paramètres!$A$1:$I$89,3,0)*0.475*44/12</f>
        <v>0</v>
      </c>
      <c r="FS16" s="21">
        <f>EXP(-LN(2)/2)*FS15+(1-EXP(-LN(2)/2))/(LN(2)/2)*FM16*FP16*VLOOKUP('Données projet'!$B$16,Paramètres!$A$1:$I$89,3,0)*0.475*44/12</f>
        <v>0</v>
      </c>
      <c r="FT16" s="22">
        <f t="shared" si="24"/>
        <v>0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1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5.0625</v>
      </c>
      <c r="N17" s="13">
        <f>IF('Données projet'!$A$36&gt;35,N16+M17-V16,IF(A17&lt;'Données projet'!$A$36,$K$205^A17,IF(A17='Données projet'!$A$36,'Données projet'!$B$36,N16+M17-V16)))</f>
        <v>46.765371804359759</v>
      </c>
      <c r="O17" s="13">
        <f>N17*VLOOKUP('Données projet'!$B$9,Paramètres!$A$1:$I$89,3,0)*VLOOKUP('Données projet'!$B$9,Paramètres!$A$1:$I$89,5,0)</f>
        <v>27.965692339007138</v>
      </c>
      <c r="P17" s="13">
        <f t="shared" si="33"/>
        <v>8.7456163793482684</v>
      </c>
      <c r="Q17" s="20">
        <f t="shared" si="2"/>
        <v>63.938862684468994</v>
      </c>
      <c r="R17" s="59">
        <f t="shared" si="0"/>
        <v>357.27219601780229</v>
      </c>
      <c r="S17" s="59">
        <f ca="1">AVERAGE(OFFSET($R$3,0,0,'Données projet'!$E$9+1,1))-AVERAGE(OFFSET($H$3,0,0,'Données projet'!$E$9+1,1))</f>
        <v>186.90544184210381</v>
      </c>
      <c r="T17" s="59">
        <f t="shared" si="34"/>
        <v>202.05988514450519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5.0625</v>
      </c>
      <c r="AI17" s="13">
        <f>IF('Données projet'!$A$62&gt;35,AI16+AH17-AQ16,IF(A17&lt;'Données projet'!$A$62,$AF$205^A17,IF(A17='Données projet'!$A$62,'Données projet'!$B$62,AI16+AH17-AQ16)))</f>
        <v>46.765371804359759</v>
      </c>
      <c r="AJ17" s="13">
        <f>AI17*VLOOKUP('Données projet'!$B$10,Paramètres!$A$1:$I$89,3,0)*VLOOKUP('Données projet'!$B$10,Paramètres!$A$1:$I$89,5,0)</f>
        <v>27.965692339007138</v>
      </c>
      <c r="AK17" s="13">
        <f t="shared" si="35"/>
        <v>8.7456163793482684</v>
      </c>
      <c r="AL17" s="20">
        <f t="shared" si="4"/>
        <v>63.938862684468994</v>
      </c>
      <c r="AM17" s="59">
        <f t="shared" si="5"/>
        <v>357.27219601780229</v>
      </c>
      <c r="AN17" s="59">
        <f ca="1">AVERAGE(OFFSET($AM$3,0,0,'Données projet'!$E$10+1,1))-AVERAGE(OFFSET($H$3,0,0,'Données projet'!$E$10+1,1))</f>
        <v>186.90544184210381</v>
      </c>
      <c r="AO17" s="59">
        <f t="shared" si="36"/>
        <v>202.05988514450519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1.9</v>
      </c>
      <c r="BD17" s="12">
        <f>IF('Données projet'!$A$88&gt;35,BD16+BC17-BL16,IF(A17&lt;'Données projet'!$A$88,$BA$205^A17,IF(A17='Données projet'!$A$88,'Données projet'!$B$88,BD16+BC17-BL16)))</f>
        <v>12.759936632617073</v>
      </c>
      <c r="BE17" s="13">
        <f>BD17*VLOOKUP('Données projet'!$B$11,Paramètres!$A$1:$I$89,3,0)*VLOOKUP('Données projet'!$B$11,Paramètres!$A$1:$I$89,5,0)</f>
        <v>10.35086059637897</v>
      </c>
      <c r="BF17" s="13">
        <f t="shared" si="37"/>
        <v>3.6340028585275896</v>
      </c>
      <c r="BG17" s="20">
        <f t="shared" si="7"/>
        <v>24.35697051729559</v>
      </c>
      <c r="BH17" s="59">
        <f t="shared" si="8"/>
        <v>317.69030385062888</v>
      </c>
      <c r="BI17" s="59">
        <f ca="1">AVERAGE(OFFSET($BH$3,0,0,'Données projet'!$E$11+1,1))-AVERAGE(OFFSET($H$3,0,0,'Données projet'!$E$11+1,1))</f>
        <v>5.8584049049231908</v>
      </c>
      <c r="BJ17" s="59">
        <f t="shared" si="38"/>
        <v>42.266833200216638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>
        <f>BY17*VLOOKUP('Données projet'!$B$12,Paramètres!$A$1:$I$89,3,0)*VLOOKUP('Données projet'!$B$12,Paramètres!$A$1:$I$89,5,0)</f>
        <v>0</v>
      </c>
      <c r="CA17" s="13" t="e">
        <f t="shared" si="39"/>
        <v>#NUM!</v>
      </c>
      <c r="CB17" s="20" t="e">
        <f t="shared" si="10"/>
        <v>#NUM!</v>
      </c>
      <c r="CC17" s="59" t="e">
        <f t="shared" si="11"/>
        <v>#NUM!</v>
      </c>
      <c r="CD17" s="59">
        <f ca="1">AVERAGE(OFFSET($CC$3,0,0,'Données projet'!$E$12+1,1))-AVERAGE(OFFSET($H$3,0,0,'Données projet'!$E$12+1,1))</f>
        <v>0</v>
      </c>
      <c r="CE17" s="59">
        <f t="shared" si="40"/>
        <v>0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>
        <f>CT17*VLOOKUP('Données projet'!$B$13,Paramètres!$A$1:$I$89,3,0)*VLOOKUP('Données projet'!$B$13,Paramètres!$A$1:$I$89,5,0)</f>
        <v>0</v>
      </c>
      <c r="CV17" s="13" t="e">
        <f t="shared" si="41"/>
        <v>#NUM!</v>
      </c>
      <c r="CW17" s="20" t="e">
        <f t="shared" si="13"/>
        <v>#NUM!</v>
      </c>
      <c r="CX17" s="59" t="e">
        <f t="shared" si="14"/>
        <v>#NUM!</v>
      </c>
      <c r="CY17" s="59">
        <f ca="1">AVERAGE(OFFSET($CX$3,0,0,'Données projet'!$E$13+1,1))-AVERAGE(OFFSET($H$3,0,0,'Données projet'!$E$13+1,1))</f>
        <v>0</v>
      </c>
      <c r="CZ17" s="59">
        <f t="shared" si="42"/>
        <v>0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>
        <f>DO17*VLOOKUP('Données projet'!$B$14,Paramètres!$A$1:$I$89,3,0)*VLOOKUP('Données projet'!$B$14,Paramètres!$A$1:$I$89,5,0)</f>
        <v>0</v>
      </c>
      <c r="DQ17" s="13" t="e">
        <f t="shared" si="43"/>
        <v>#NUM!</v>
      </c>
      <c r="DR17" s="20" t="e">
        <f t="shared" si="16"/>
        <v>#NUM!</v>
      </c>
      <c r="DS17" s="59" t="e">
        <f t="shared" si="17"/>
        <v>#NUM!</v>
      </c>
      <c r="DT17" s="59">
        <f ca="1">AVERAGE(OFFSET($DS$3,0,0,'Données projet'!$E$14+1,1))-AVERAGE(OFFSET($H$3,0,0,'Données projet'!$E$14+1,1))</f>
        <v>0</v>
      </c>
      <c r="DU17" s="59">
        <f t="shared" si="44"/>
        <v>0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>
        <f>EJ17*VLOOKUP('Données projet'!$B$15,Paramètres!$A$1:$I$89,3,0)*VLOOKUP('Données projet'!$B$15,Paramètres!$A$1:$I$89,5,0)</f>
        <v>0</v>
      </c>
      <c r="EL17" s="13" t="e">
        <f t="shared" si="45"/>
        <v>#NUM!</v>
      </c>
      <c r="EM17" s="20" t="e">
        <f t="shared" si="19"/>
        <v>#NUM!</v>
      </c>
      <c r="EN17" s="59" t="e">
        <f t="shared" si="20"/>
        <v>#NUM!</v>
      </c>
      <c r="EO17" s="59">
        <f ca="1">AVERAGE(OFFSET($EN$3,0,0,'Données projet'!$E$15+1,1))-AVERAGE(OFFSET($H$3,0,0,'Données projet'!$E$15+1,1))</f>
        <v>0</v>
      </c>
      <c r="EP17" s="59">
        <f t="shared" si="46"/>
        <v>0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>
        <f>FE17*VLOOKUP('Données projet'!$B$16,Paramètres!$A$1:$I$89,3,0)*VLOOKUP('Données projet'!$B$16,Paramètres!$A$1:$I$89,5,0)</f>
        <v>0</v>
      </c>
      <c r="FG17" s="13" t="e">
        <f t="shared" si="47"/>
        <v>#NUM!</v>
      </c>
      <c r="FH17" s="20" t="e">
        <f t="shared" si="22"/>
        <v>#NUM!</v>
      </c>
      <c r="FI17" s="59" t="e">
        <f t="shared" si="23"/>
        <v>#NUM!</v>
      </c>
      <c r="FJ17" s="59">
        <f ca="1">AVERAGE(OFFSET($FI$3,0,0,'Données projet'!$E$16+1,1))-AVERAGE(OFFSET($H$3,0,0,'Données projet'!$E$16+1,1))</f>
        <v>0</v>
      </c>
      <c r="FK17" s="59">
        <f t="shared" si="48"/>
        <v>0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>
        <f>EXP(-LN(2)/35)*FQ16+(1-EXP(-LN(2)/35))/(LN(2)/35)*FM17*FN17*VLOOKUP('Données projet'!$B$16,Paramètres!$A$1:$I$89,3,0)*0.475*44/12</f>
        <v>0</v>
      </c>
      <c r="FR17" s="21">
        <f>EXP(-LN(2)/25)*FR16+(1-EXP(-LN(2)/25))/(LN(2)/25)*Calculateur!FM17*Calculateur!FO17*VLOOKUP('Données projet'!$B$16,Paramètres!$A$1:$I$89,3,0)*0.475*44/12</f>
        <v>0</v>
      </c>
      <c r="FS17" s="21">
        <f>EXP(-LN(2)/2)*FS16+(1-EXP(-LN(2)/2))/(LN(2)/2)*FM17*FP17*VLOOKUP('Données projet'!$B$16,Paramètres!$A$1:$I$89,3,0)*0.475*44/12</f>
        <v>0</v>
      </c>
      <c r="FT17" s="22">
        <f t="shared" si="24"/>
        <v>0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1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5.0625</v>
      </c>
      <c r="N18" s="13">
        <f>IF('Données projet'!$A$36&gt;35,N17+M18-V17,IF(A18&lt;'Données projet'!$A$36,$K$205^A18,IF(A18='Données projet'!$A$36,'Données projet'!$B$36,N17+M18-V17)))</f>
        <v>61.546690537779092</v>
      </c>
      <c r="O18" s="13">
        <f>N18*VLOOKUP('Données projet'!$B$9,Paramètres!$A$1:$I$89,3,0)*VLOOKUP('Données projet'!$B$9,Paramètres!$A$1:$I$89,5,0)</f>
        <v>36.804920941591895</v>
      </c>
      <c r="P18" s="13">
        <f t="shared" si="33"/>
        <v>11.147731721750315</v>
      </c>
      <c r="Q18" s="20">
        <f t="shared" si="2"/>
        <v>83.517536721987668</v>
      </c>
      <c r="R18" s="59">
        <f t="shared" si="0"/>
        <v>376.85087005532097</v>
      </c>
      <c r="S18" s="59">
        <f ca="1">AVERAGE(OFFSET($R$3,0,0,'Données projet'!$E$9+1,1))-AVERAGE(OFFSET($H$3,0,0,'Données projet'!$E$9+1,1))</f>
        <v>186.90544184210381</v>
      </c>
      <c r="T18" s="59">
        <f t="shared" si="34"/>
        <v>202.05988514450519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5.0625</v>
      </c>
      <c r="AI18" s="13">
        <f>IF('Données projet'!$A$62&gt;35,AI17+AH18-AQ17,IF(A18&lt;'Données projet'!$A$62,$AF$205^A18,IF(A18='Données projet'!$A$62,'Données projet'!$B$62,AI17+AH18-AQ17)))</f>
        <v>61.546690537779092</v>
      </c>
      <c r="AJ18" s="13">
        <f>AI18*VLOOKUP('Données projet'!$B$10,Paramètres!$A$1:$I$89,3,0)*VLOOKUP('Données projet'!$B$10,Paramètres!$A$1:$I$89,5,0)</f>
        <v>36.804920941591895</v>
      </c>
      <c r="AK18" s="13">
        <f t="shared" si="35"/>
        <v>11.147731721750315</v>
      </c>
      <c r="AL18" s="20">
        <f t="shared" si="4"/>
        <v>83.517536721987668</v>
      </c>
      <c r="AM18" s="59">
        <f t="shared" si="5"/>
        <v>376.85087005532097</v>
      </c>
      <c r="AN18" s="59">
        <f ca="1">AVERAGE(OFFSET($AM$3,0,0,'Données projet'!$E$10+1,1))-AVERAGE(OFFSET($H$3,0,0,'Données projet'!$E$10+1,1))</f>
        <v>186.90544184210381</v>
      </c>
      <c r="AO18" s="59">
        <f t="shared" si="36"/>
        <v>202.05988514450519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1.9</v>
      </c>
      <c r="BD18" s="12">
        <f>IF('Données projet'!$A$88&gt;35,BD17+BC18-BL17,IF(A18&lt;'Données projet'!$A$88,$BA$205^A18,IF(A18='Données projet'!$A$88,'Données projet'!$B$88,BD17+BC18-BL17)))</f>
        <v>15.30515377618997</v>
      </c>
      <c r="BE18" s="13">
        <f>BD18*VLOOKUP('Données projet'!$B$11,Paramètres!$A$1:$I$89,3,0)*VLOOKUP('Données projet'!$B$11,Paramètres!$A$1:$I$89,5,0)</f>
        <v>12.415540743245305</v>
      </c>
      <c r="BF18" s="13">
        <f t="shared" si="37"/>
        <v>4.2675645994727587</v>
      </c>
      <c r="BG18" s="20">
        <f t="shared" si="7"/>
        <v>29.056408471900628</v>
      </c>
      <c r="BH18" s="59">
        <f t="shared" si="8"/>
        <v>322.38974180523394</v>
      </c>
      <c r="BI18" s="59">
        <f ca="1">AVERAGE(OFFSET($BH$3,0,0,'Données projet'!$E$11+1,1))-AVERAGE(OFFSET($H$3,0,0,'Données projet'!$E$11+1,1))</f>
        <v>5.8584049049231908</v>
      </c>
      <c r="BJ18" s="59">
        <f t="shared" si="38"/>
        <v>42.266833200216638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>
        <f>BY18*VLOOKUP('Données projet'!$B$12,Paramètres!$A$1:$I$89,3,0)*VLOOKUP('Données projet'!$B$12,Paramètres!$A$1:$I$89,5,0)</f>
        <v>0</v>
      </c>
      <c r="CA18" s="13" t="e">
        <f t="shared" si="39"/>
        <v>#NUM!</v>
      </c>
      <c r="CB18" s="20" t="e">
        <f t="shared" si="10"/>
        <v>#NUM!</v>
      </c>
      <c r="CC18" s="59" t="e">
        <f t="shared" si="11"/>
        <v>#NUM!</v>
      </c>
      <c r="CD18" s="59">
        <f ca="1">AVERAGE(OFFSET($CC$3,0,0,'Données projet'!$E$12+1,1))-AVERAGE(OFFSET($H$3,0,0,'Données projet'!$E$12+1,1))</f>
        <v>0</v>
      </c>
      <c r="CE18" s="59">
        <f t="shared" si="40"/>
        <v>0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>
        <f>CT18*VLOOKUP('Données projet'!$B$13,Paramètres!$A$1:$I$89,3,0)*VLOOKUP('Données projet'!$B$13,Paramètres!$A$1:$I$89,5,0)</f>
        <v>0</v>
      </c>
      <c r="CV18" s="13" t="e">
        <f t="shared" si="41"/>
        <v>#NUM!</v>
      </c>
      <c r="CW18" s="20" t="e">
        <f t="shared" si="13"/>
        <v>#NUM!</v>
      </c>
      <c r="CX18" s="59" t="e">
        <f t="shared" si="14"/>
        <v>#NUM!</v>
      </c>
      <c r="CY18" s="59">
        <f ca="1">AVERAGE(OFFSET($CX$3,0,0,'Données projet'!$E$13+1,1))-AVERAGE(OFFSET($H$3,0,0,'Données projet'!$E$13+1,1))</f>
        <v>0</v>
      </c>
      <c r="CZ18" s="59">
        <f t="shared" si="42"/>
        <v>0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>
        <f>DO18*VLOOKUP('Données projet'!$B$14,Paramètres!$A$1:$I$89,3,0)*VLOOKUP('Données projet'!$B$14,Paramètres!$A$1:$I$89,5,0)</f>
        <v>0</v>
      </c>
      <c r="DQ18" s="13" t="e">
        <f t="shared" si="43"/>
        <v>#NUM!</v>
      </c>
      <c r="DR18" s="20" t="e">
        <f t="shared" si="16"/>
        <v>#NUM!</v>
      </c>
      <c r="DS18" s="59" t="e">
        <f t="shared" si="17"/>
        <v>#NUM!</v>
      </c>
      <c r="DT18" s="59">
        <f ca="1">AVERAGE(OFFSET($DS$3,0,0,'Données projet'!$E$14+1,1))-AVERAGE(OFFSET($H$3,0,0,'Données projet'!$E$14+1,1))</f>
        <v>0</v>
      </c>
      <c r="DU18" s="59">
        <f t="shared" si="44"/>
        <v>0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>
        <f>EJ18*VLOOKUP('Données projet'!$B$15,Paramètres!$A$1:$I$89,3,0)*VLOOKUP('Données projet'!$B$15,Paramètres!$A$1:$I$89,5,0)</f>
        <v>0</v>
      </c>
      <c r="EL18" s="13" t="e">
        <f t="shared" si="45"/>
        <v>#NUM!</v>
      </c>
      <c r="EM18" s="20" t="e">
        <f t="shared" si="19"/>
        <v>#NUM!</v>
      </c>
      <c r="EN18" s="59" t="e">
        <f t="shared" si="20"/>
        <v>#NUM!</v>
      </c>
      <c r="EO18" s="59">
        <f ca="1">AVERAGE(OFFSET($EN$3,0,0,'Données projet'!$E$15+1,1))-AVERAGE(OFFSET($H$3,0,0,'Données projet'!$E$15+1,1))</f>
        <v>0</v>
      </c>
      <c r="EP18" s="59">
        <f t="shared" si="46"/>
        <v>0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>
        <f>FE18*VLOOKUP('Données projet'!$B$16,Paramètres!$A$1:$I$89,3,0)*VLOOKUP('Données projet'!$B$16,Paramètres!$A$1:$I$89,5,0)</f>
        <v>0</v>
      </c>
      <c r="FG18" s="13" t="e">
        <f t="shared" si="47"/>
        <v>#NUM!</v>
      </c>
      <c r="FH18" s="20" t="e">
        <f t="shared" si="22"/>
        <v>#NUM!</v>
      </c>
      <c r="FI18" s="59" t="e">
        <f t="shared" si="23"/>
        <v>#NUM!</v>
      </c>
      <c r="FJ18" s="59">
        <f ca="1">AVERAGE(OFFSET($FI$3,0,0,'Données projet'!$E$16+1,1))-AVERAGE(OFFSET($H$3,0,0,'Données projet'!$E$16+1,1))</f>
        <v>0</v>
      </c>
      <c r="FK18" s="59">
        <f t="shared" si="48"/>
        <v>0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>
        <f>EXP(-LN(2)/35)*FQ17+(1-EXP(-LN(2)/35))/(LN(2)/35)*FM18*FN18*VLOOKUP('Données projet'!$B$16,Paramètres!$A$1:$I$89,3,0)*0.475*44/12</f>
        <v>0</v>
      </c>
      <c r="FR18" s="21">
        <f>EXP(-LN(2)/25)*FR17+(1-EXP(-LN(2)/25))/(LN(2)/25)*Calculateur!FM18*Calculateur!FO18*VLOOKUP('Données projet'!$B$16,Paramètres!$A$1:$I$89,3,0)*0.475*44/12</f>
        <v>0</v>
      </c>
      <c r="FS18" s="21">
        <f>EXP(-LN(2)/2)*FS17+(1-EXP(-LN(2)/2))/(LN(2)/2)*FM18*FP18*VLOOKUP('Données projet'!$B$16,Paramètres!$A$1:$I$89,3,0)*0.475*44/12</f>
        <v>0</v>
      </c>
      <c r="FT18" s="22">
        <f t="shared" si="24"/>
        <v>0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1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81</v>
      </c>
      <c r="L19" s="12">
        <f>VLOOKUP(A19,'Données projet'!$A$35:$I$55,9,0)</f>
        <v>5.0625</v>
      </c>
      <c r="M19" s="12">
        <f t="array" ref="M19">INDEX(L:L,MIN(IF(ISNUMBER(L19:L215),ROW(L19:L215),"")))</f>
        <v>5.0625</v>
      </c>
      <c r="N19" s="13">
        <f>IF('Données projet'!$A$36&gt;35,N18+M19-V18,IF(A19&lt;'Données projet'!$A$36,$K$205^A19,IF(A19='Données projet'!$A$36,'Données projet'!$B$36,N18+M19-V18)))</f>
        <v>81</v>
      </c>
      <c r="O19" s="13">
        <f>N19*VLOOKUP('Données projet'!$B$9,Paramètres!$A$1:$I$89,3,0)*VLOOKUP('Données projet'!$B$9,Paramètres!$A$1:$I$89,5,0)</f>
        <v>48.438000000000009</v>
      </c>
      <c r="P19" s="13">
        <f t="shared" si="33"/>
        <v>14.209624244846971</v>
      </c>
      <c r="Q19" s="20">
        <f t="shared" si="2"/>
        <v>109.11127889310849</v>
      </c>
      <c r="R19" s="59">
        <f t="shared" si="0"/>
        <v>402.44461222644179</v>
      </c>
      <c r="S19" s="59">
        <f ca="1">AVERAGE(OFFSET($R$3,0,0,'Données projet'!$E$9+1,1))-AVERAGE(OFFSET($H$3,0,0,'Données projet'!$E$9+1,1))</f>
        <v>186.90544184210381</v>
      </c>
      <c r="T19" s="59">
        <f t="shared" si="34"/>
        <v>202.05988514450519</v>
      </c>
      <c r="U19" s="15">
        <f>IF(ISNA(VLOOKUP(A19,'Données projet'!$A$35:$I$55,3,0)),0,VLOOKUP(A19,'Données projet'!$A$35:$I$55,3,0))</f>
        <v>1</v>
      </c>
      <c r="V19" s="15">
        <f>IF(ISNA(VLOOKUP(A19,'Données projet'!$A$35:$I$55,4,0)),0,VLOOKUP(A19,'Données projet'!$A$35:$I$55,4,0))</f>
        <v>15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0.22500000000000001</v>
      </c>
      <c r="Y19" s="16">
        <f>IF(ISNA(VLOOKUP(A19,'Données projet'!$A$35:$I$55,7,0)),0%,VLOOKUP(A19,'Données projet'!$A$35:$I$55,7,0))</f>
        <v>0.5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2.6667970095349296</v>
      </c>
      <c r="AB19" s="21">
        <f>EXP(-LN(2)/2)*AB18+(1-EXP(-LN(2)/2))/(LN(2)/2)*V19*Y19*VLOOKUP('Données projet'!$B$9,Paramètres!$A$1:$I$89,3,0)*0.475*44/12</f>
        <v>5.0780618544061999</v>
      </c>
      <c r="AC19" s="22">
        <f t="shared" si="3"/>
        <v>7.7448588639411291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>
        <f>VLOOKUP(A19,'Données projet'!$A$61:$I$81,2,0)</f>
        <v>81</v>
      </c>
      <c r="AG19" s="12">
        <f>VLOOKUP(A19,'Données projet'!$A$61:$I$81,9,0)</f>
        <v>5.0625</v>
      </c>
      <c r="AH19" s="12">
        <f t="array" ref="AH19">INDEX(AG:AG,MIN(IF(ISNUMBER(AG19:AG215),ROW(AG19:AG215),"")))</f>
        <v>5.0625</v>
      </c>
      <c r="AI19" s="13">
        <f>IF('Données projet'!$A$62&gt;35,AI18+AH19-AQ18,IF(A19&lt;'Données projet'!$A$62,$AF$205^A19,IF(A19='Données projet'!$A$62,'Données projet'!$B$62,AI18+AH19-AQ18)))</f>
        <v>81</v>
      </c>
      <c r="AJ19" s="13">
        <f>AI19*VLOOKUP('Données projet'!$B$10,Paramètres!$A$1:$I$89,3,0)*VLOOKUP('Données projet'!$B$10,Paramètres!$A$1:$I$89,5,0)</f>
        <v>48.438000000000009</v>
      </c>
      <c r="AK19" s="13">
        <f t="shared" si="35"/>
        <v>14.209624244846971</v>
      </c>
      <c r="AL19" s="20">
        <f t="shared" si="4"/>
        <v>109.11127889310849</v>
      </c>
      <c r="AM19" s="59">
        <f t="shared" si="5"/>
        <v>402.44461222644179</v>
      </c>
      <c r="AN19" s="59">
        <f ca="1">AVERAGE(OFFSET($AM$3,0,0,'Données projet'!$E$10+1,1))-AVERAGE(OFFSET($H$3,0,0,'Données projet'!$E$10+1,1))</f>
        <v>186.90544184210381</v>
      </c>
      <c r="AO19" s="59">
        <f t="shared" si="36"/>
        <v>202.05988514450519</v>
      </c>
      <c r="AP19" s="15">
        <f>IF(ISNA(VLOOKUP(A19,'Données projet'!$A$61:$I$81,3,0)),0,VLOOKUP(A19,'Données projet'!$A$61:$I$81,3,0))</f>
        <v>1</v>
      </c>
      <c r="AQ19" s="15">
        <f>IF(ISNA(VLOOKUP(A19,'Données projet'!$A$61:$I$81,4,0)),0,VLOOKUP(A19,'Données projet'!$A$61:$I$81,4,0))</f>
        <v>15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0.22500000000000001</v>
      </c>
      <c r="AT19" s="16">
        <f>IF(ISNA(VLOOKUP(A19,'Données projet'!$A$61:$I$81,7,0)),0%,VLOOKUP(A19,'Données projet'!$A$61:$I$81,7,0))</f>
        <v>0.5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2.6667970095349296</v>
      </c>
      <c r="AW19" s="21">
        <f>EXP(-LN(2)/2)*AW18+(1-EXP(-LN(2)/2))/(LN(2)/2)*AQ19*AT19*VLOOKUP('Données projet'!$B$10,Paramètres!$A$1:$I$89,3,0)*0.475*44/12</f>
        <v>5.0780618544061999</v>
      </c>
      <c r="AX19" s="21">
        <f t="shared" si="6"/>
        <v>7.7448588639411291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1.9</v>
      </c>
      <c r="BD19" s="12">
        <f>IF('Données projet'!$A$88&gt;35,BD18+BC19-BL18,IF(A19&lt;'Données projet'!$A$88,$BA$205^A19,IF(A19='Données projet'!$A$88,'Données projet'!$B$88,BD18+BC19-BL18)))</f>
        <v>18.358063904019382</v>
      </c>
      <c r="BE19" s="13">
        <f>BD19*VLOOKUP('Données projet'!$B$11,Paramètres!$A$1:$I$89,3,0)*VLOOKUP('Données projet'!$B$11,Paramètres!$A$1:$I$89,5,0)</f>
        <v>14.892061438940525</v>
      </c>
      <c r="BF19" s="13">
        <f t="shared" si="37"/>
        <v>5.0115831824227559</v>
      </c>
      <c r="BG19" s="20">
        <f t="shared" si="7"/>
        <v>34.665514382207711</v>
      </c>
      <c r="BH19" s="59">
        <f t="shared" si="8"/>
        <v>327.99884771554105</v>
      </c>
      <c r="BI19" s="59">
        <f ca="1">AVERAGE(OFFSET($BH$3,0,0,'Données projet'!$E$11+1,1))-AVERAGE(OFFSET($H$3,0,0,'Données projet'!$E$11+1,1))</f>
        <v>5.8584049049231908</v>
      </c>
      <c r="BJ19" s="59">
        <f t="shared" si="38"/>
        <v>42.266833200216638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>
        <f>BY19*VLOOKUP('Données projet'!$B$12,Paramètres!$A$1:$I$89,3,0)*VLOOKUP('Données projet'!$B$12,Paramètres!$A$1:$I$89,5,0)</f>
        <v>0</v>
      </c>
      <c r="CA19" s="13" t="e">
        <f t="shared" si="39"/>
        <v>#NUM!</v>
      </c>
      <c r="CB19" s="20" t="e">
        <f t="shared" si="10"/>
        <v>#NUM!</v>
      </c>
      <c r="CC19" s="59" t="e">
        <f t="shared" si="11"/>
        <v>#NUM!</v>
      </c>
      <c r="CD19" s="59">
        <f ca="1">AVERAGE(OFFSET($CC$3,0,0,'Données projet'!$E$12+1,1))-AVERAGE(OFFSET($H$3,0,0,'Données projet'!$E$12+1,1))</f>
        <v>0</v>
      </c>
      <c r="CE19" s="59">
        <f t="shared" si="40"/>
        <v>0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>
        <f>CT19*VLOOKUP('Données projet'!$B$13,Paramètres!$A$1:$I$89,3,0)*VLOOKUP('Données projet'!$B$13,Paramètres!$A$1:$I$89,5,0)</f>
        <v>0</v>
      </c>
      <c r="CV19" s="13" t="e">
        <f t="shared" si="41"/>
        <v>#NUM!</v>
      </c>
      <c r="CW19" s="20" t="e">
        <f t="shared" si="13"/>
        <v>#NUM!</v>
      </c>
      <c r="CX19" s="59" t="e">
        <f t="shared" si="14"/>
        <v>#NUM!</v>
      </c>
      <c r="CY19" s="59">
        <f ca="1">AVERAGE(OFFSET($CX$3,0,0,'Données projet'!$E$13+1,1))-AVERAGE(OFFSET($H$3,0,0,'Données projet'!$E$13+1,1))</f>
        <v>0</v>
      </c>
      <c r="CZ19" s="59">
        <f t="shared" si="42"/>
        <v>0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>
        <f>DO19*VLOOKUP('Données projet'!$B$14,Paramètres!$A$1:$I$89,3,0)*VLOOKUP('Données projet'!$B$14,Paramètres!$A$1:$I$89,5,0)</f>
        <v>0</v>
      </c>
      <c r="DQ19" s="13" t="e">
        <f t="shared" si="43"/>
        <v>#NUM!</v>
      </c>
      <c r="DR19" s="20" t="e">
        <f t="shared" si="16"/>
        <v>#NUM!</v>
      </c>
      <c r="DS19" s="59" t="e">
        <f t="shared" si="17"/>
        <v>#NUM!</v>
      </c>
      <c r="DT19" s="59">
        <f ca="1">AVERAGE(OFFSET($DS$3,0,0,'Données projet'!$E$14+1,1))-AVERAGE(OFFSET($H$3,0,0,'Données projet'!$E$14+1,1))</f>
        <v>0</v>
      </c>
      <c r="DU19" s="59">
        <f t="shared" si="44"/>
        <v>0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>
        <f>EJ19*VLOOKUP('Données projet'!$B$15,Paramètres!$A$1:$I$89,3,0)*VLOOKUP('Données projet'!$B$15,Paramètres!$A$1:$I$89,5,0)</f>
        <v>0</v>
      </c>
      <c r="EL19" s="13" t="e">
        <f t="shared" si="45"/>
        <v>#NUM!</v>
      </c>
      <c r="EM19" s="20" t="e">
        <f t="shared" si="19"/>
        <v>#NUM!</v>
      </c>
      <c r="EN19" s="59" t="e">
        <f t="shared" si="20"/>
        <v>#NUM!</v>
      </c>
      <c r="EO19" s="59">
        <f ca="1">AVERAGE(OFFSET($EN$3,0,0,'Données projet'!$E$15+1,1))-AVERAGE(OFFSET($H$3,0,0,'Données projet'!$E$15+1,1))</f>
        <v>0</v>
      </c>
      <c r="EP19" s="59">
        <f t="shared" si="46"/>
        <v>0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>
        <f>FE19*VLOOKUP('Données projet'!$B$16,Paramètres!$A$1:$I$89,3,0)*VLOOKUP('Données projet'!$B$16,Paramètres!$A$1:$I$89,5,0)</f>
        <v>0</v>
      </c>
      <c r="FG19" s="13" t="e">
        <f t="shared" si="47"/>
        <v>#NUM!</v>
      </c>
      <c r="FH19" s="20" t="e">
        <f t="shared" si="22"/>
        <v>#NUM!</v>
      </c>
      <c r="FI19" s="59" t="e">
        <f t="shared" si="23"/>
        <v>#NUM!</v>
      </c>
      <c r="FJ19" s="59">
        <f ca="1">AVERAGE(OFFSET($FI$3,0,0,'Données projet'!$E$16+1,1))-AVERAGE(OFFSET($H$3,0,0,'Données projet'!$E$16+1,1))</f>
        <v>0</v>
      </c>
      <c r="FK19" s="59">
        <f t="shared" si="48"/>
        <v>0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>
        <f>EXP(-LN(2)/35)*FQ18+(1-EXP(-LN(2)/35))/(LN(2)/35)*FM19*FN19*VLOOKUP('Données projet'!$B$16,Paramètres!$A$1:$I$89,3,0)*0.475*44/12</f>
        <v>0</v>
      </c>
      <c r="FR19" s="21">
        <f>EXP(-LN(2)/25)*FR18+(1-EXP(-LN(2)/25))/(LN(2)/25)*Calculateur!FM19*Calculateur!FO19*VLOOKUP('Données projet'!$B$16,Paramètres!$A$1:$I$89,3,0)*0.475*44/12</f>
        <v>0</v>
      </c>
      <c r="FS19" s="21">
        <f>EXP(-LN(2)/2)*FS18+(1-EXP(-LN(2)/2))/(LN(2)/2)*FM19*FP19*VLOOKUP('Données projet'!$B$16,Paramètres!$A$1:$I$89,3,0)*0.475*44/12</f>
        <v>0</v>
      </c>
      <c r="FT19" s="22">
        <f t="shared" si="24"/>
        <v>0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1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13.25</v>
      </c>
      <c r="N20" s="13">
        <f>IF('Données projet'!$A$36&gt;35,N19+M20-V19,IF(A20&lt;'Données projet'!$A$36,$K$205^A20,IF(A20='Données projet'!$A$36,'Données projet'!$B$36,N19+M20-V19)))</f>
        <v>79.25</v>
      </c>
      <c r="O20" s="13">
        <f>N20*VLOOKUP('Données projet'!$B$9,Paramètres!$A$1:$I$89,3,0)*VLOOKUP('Données projet'!$B$9,Paramètres!$A$1:$I$89,5,0)</f>
        <v>47.391500000000001</v>
      </c>
      <c r="P20" s="13">
        <f t="shared" si="33"/>
        <v>13.938016900926096</v>
      </c>
      <c r="Q20" s="20">
        <f t="shared" si="2"/>
        <v>106.81557526911295</v>
      </c>
      <c r="R20" s="59">
        <f t="shared" si="0"/>
        <v>400.14890860244628</v>
      </c>
      <c r="S20" s="59">
        <f ca="1">AVERAGE(OFFSET($R$3,0,0,'Données projet'!$E$9+1,1))-AVERAGE(OFFSET($H$3,0,0,'Données projet'!$E$9+1,1))</f>
        <v>186.90544184210381</v>
      </c>
      <c r="T20" s="59">
        <f t="shared" si="34"/>
        <v>202.05988514450519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2.5938733050684371</v>
      </c>
      <c r="AB20" s="21">
        <f>EXP(-LN(2)/2)*AB19+(1-EXP(-LN(2)/2))/(LN(2)/2)*V20*Y20*VLOOKUP('Données projet'!$B$9,Paramètres!$A$1:$I$89,3,0)*0.475*44/12</f>
        <v>3.5907319725353588</v>
      </c>
      <c r="AC20" s="22">
        <f t="shared" si="3"/>
        <v>6.1846052776037954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13.25</v>
      </c>
      <c r="AI20" s="13">
        <f>IF('Données projet'!$A$62&gt;35,AI19+AH20-AQ19,IF(A20&lt;'Données projet'!$A$62,$AF$205^A20,IF(A20='Données projet'!$A$62,'Données projet'!$B$62,AI19+AH20-AQ19)))</f>
        <v>79.25</v>
      </c>
      <c r="AJ20" s="13">
        <f>AI20*VLOOKUP('Données projet'!$B$10,Paramètres!$A$1:$I$89,3,0)*VLOOKUP('Données projet'!$B$10,Paramètres!$A$1:$I$89,5,0)</f>
        <v>47.391500000000001</v>
      </c>
      <c r="AK20" s="13">
        <f t="shared" si="35"/>
        <v>13.938016900926096</v>
      </c>
      <c r="AL20" s="20">
        <f t="shared" si="4"/>
        <v>106.81557526911295</v>
      </c>
      <c r="AM20" s="59">
        <f t="shared" si="5"/>
        <v>400.14890860244628</v>
      </c>
      <c r="AN20" s="59">
        <f ca="1">AVERAGE(OFFSET($AM$3,0,0,'Données projet'!$E$10+1,1))-AVERAGE(OFFSET($H$3,0,0,'Données projet'!$E$10+1,1))</f>
        <v>186.90544184210381</v>
      </c>
      <c r="AO20" s="59">
        <f t="shared" si="36"/>
        <v>202.05988514450519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2.5938733050684371</v>
      </c>
      <c r="AW20" s="21">
        <f>EXP(-LN(2)/2)*AW19+(1-EXP(-LN(2)/2))/(LN(2)/2)*AQ20*AT20*VLOOKUP('Données projet'!$B$10,Paramètres!$A$1:$I$89,3,0)*0.475*44/12</f>
        <v>3.5907319725353588</v>
      </c>
      <c r="AX20" s="21">
        <f t="shared" si="6"/>
        <v>6.1846052776037954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1.9</v>
      </c>
      <c r="BD20" s="12">
        <f>IF('Données projet'!$A$88&gt;35,BD19+BC20-BL19,IF(A20&lt;'Données projet'!$A$88,$BA$205^A20,IF(A20='Données projet'!$A$88,'Données projet'!$B$88,BD19+BC20-BL19)))</f>
        <v>22.019936240585487</v>
      </c>
      <c r="BE20" s="13">
        <f>BD20*VLOOKUP('Données projet'!$B$11,Paramètres!$A$1:$I$89,3,0)*VLOOKUP('Données projet'!$B$11,Paramètres!$A$1:$I$89,5,0)</f>
        <v>17.862572278362947</v>
      </c>
      <c r="BF20" s="13">
        <f t="shared" si="37"/>
        <v>5.8853159475185368</v>
      </c>
      <c r="BG20" s="20">
        <f t="shared" si="7"/>
        <v>41.360905326743577</v>
      </c>
      <c r="BH20" s="59">
        <f t="shared" si="8"/>
        <v>334.69423866007691</v>
      </c>
      <c r="BI20" s="59">
        <f ca="1">AVERAGE(OFFSET($BH$3,0,0,'Données projet'!$E$11+1,1))-AVERAGE(OFFSET($H$3,0,0,'Données projet'!$E$11+1,1))</f>
        <v>5.8584049049231908</v>
      </c>
      <c r="BJ20" s="59">
        <f t="shared" si="38"/>
        <v>42.266833200216638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>
        <f>BY20*VLOOKUP('Données projet'!$B$12,Paramètres!$A$1:$I$89,3,0)*VLOOKUP('Données projet'!$B$12,Paramètres!$A$1:$I$89,5,0)</f>
        <v>0</v>
      </c>
      <c r="CA20" s="13" t="e">
        <f t="shared" si="39"/>
        <v>#NUM!</v>
      </c>
      <c r="CB20" s="20" t="e">
        <f t="shared" si="10"/>
        <v>#NUM!</v>
      </c>
      <c r="CC20" s="59" t="e">
        <f t="shared" si="11"/>
        <v>#NUM!</v>
      </c>
      <c r="CD20" s="59">
        <f ca="1">AVERAGE(OFFSET($CC$3,0,0,'Données projet'!$E$12+1,1))-AVERAGE(OFFSET($H$3,0,0,'Données projet'!$E$12+1,1))</f>
        <v>0</v>
      </c>
      <c r="CE20" s="59">
        <f t="shared" si="40"/>
        <v>0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>
        <f>CT20*VLOOKUP('Données projet'!$B$13,Paramètres!$A$1:$I$89,3,0)*VLOOKUP('Données projet'!$B$13,Paramètres!$A$1:$I$89,5,0)</f>
        <v>0</v>
      </c>
      <c r="CV20" s="13" t="e">
        <f t="shared" si="41"/>
        <v>#NUM!</v>
      </c>
      <c r="CW20" s="20" t="e">
        <f t="shared" si="13"/>
        <v>#NUM!</v>
      </c>
      <c r="CX20" s="59" t="e">
        <f t="shared" si="14"/>
        <v>#NUM!</v>
      </c>
      <c r="CY20" s="59">
        <f ca="1">AVERAGE(OFFSET($CX$3,0,0,'Données projet'!$E$13+1,1))-AVERAGE(OFFSET($H$3,0,0,'Données projet'!$E$13+1,1))</f>
        <v>0</v>
      </c>
      <c r="CZ20" s="59">
        <f t="shared" si="42"/>
        <v>0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>
        <f>DO20*VLOOKUP('Données projet'!$B$14,Paramètres!$A$1:$I$89,3,0)*VLOOKUP('Données projet'!$B$14,Paramètres!$A$1:$I$89,5,0)</f>
        <v>0</v>
      </c>
      <c r="DQ20" s="13" t="e">
        <f t="shared" si="43"/>
        <v>#NUM!</v>
      </c>
      <c r="DR20" s="20" t="e">
        <f t="shared" si="16"/>
        <v>#NUM!</v>
      </c>
      <c r="DS20" s="59" t="e">
        <f t="shared" si="17"/>
        <v>#NUM!</v>
      </c>
      <c r="DT20" s="59">
        <f ca="1">AVERAGE(OFFSET($DS$3,0,0,'Données projet'!$E$14+1,1))-AVERAGE(OFFSET($H$3,0,0,'Données projet'!$E$14+1,1))</f>
        <v>0</v>
      </c>
      <c r="DU20" s="59">
        <f t="shared" si="44"/>
        <v>0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>
        <f>EJ20*VLOOKUP('Données projet'!$B$15,Paramètres!$A$1:$I$89,3,0)*VLOOKUP('Données projet'!$B$15,Paramètres!$A$1:$I$89,5,0)</f>
        <v>0</v>
      </c>
      <c r="EL20" s="13" t="e">
        <f t="shared" si="45"/>
        <v>#NUM!</v>
      </c>
      <c r="EM20" s="20" t="e">
        <f t="shared" si="19"/>
        <v>#NUM!</v>
      </c>
      <c r="EN20" s="59" t="e">
        <f t="shared" si="20"/>
        <v>#NUM!</v>
      </c>
      <c r="EO20" s="59">
        <f ca="1">AVERAGE(OFFSET($EN$3,0,0,'Données projet'!$E$15+1,1))-AVERAGE(OFFSET($H$3,0,0,'Données projet'!$E$15+1,1))</f>
        <v>0</v>
      </c>
      <c r="EP20" s="59">
        <f t="shared" si="46"/>
        <v>0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>
        <f>FE20*VLOOKUP('Données projet'!$B$16,Paramètres!$A$1:$I$89,3,0)*VLOOKUP('Données projet'!$B$16,Paramètres!$A$1:$I$89,5,0)</f>
        <v>0</v>
      </c>
      <c r="FG20" s="13" t="e">
        <f t="shared" si="47"/>
        <v>#NUM!</v>
      </c>
      <c r="FH20" s="20" t="e">
        <f t="shared" si="22"/>
        <v>#NUM!</v>
      </c>
      <c r="FI20" s="59" t="e">
        <f t="shared" si="23"/>
        <v>#NUM!</v>
      </c>
      <c r="FJ20" s="59">
        <f ca="1">AVERAGE(OFFSET($FI$3,0,0,'Données projet'!$E$16+1,1))-AVERAGE(OFFSET($H$3,0,0,'Données projet'!$E$16+1,1))</f>
        <v>0</v>
      </c>
      <c r="FK20" s="59">
        <f t="shared" si="48"/>
        <v>0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>
        <f>EXP(-LN(2)/35)*FQ19+(1-EXP(-LN(2)/35))/(LN(2)/35)*FM20*FN20*VLOOKUP('Données projet'!$B$16,Paramètres!$A$1:$I$89,3,0)*0.475*44/12</f>
        <v>0</v>
      </c>
      <c r="FR20" s="21">
        <f>EXP(-LN(2)/25)*FR19+(1-EXP(-LN(2)/25))/(LN(2)/25)*Calculateur!FM20*Calculateur!FO20*VLOOKUP('Données projet'!$B$16,Paramètres!$A$1:$I$89,3,0)*0.475*44/12</f>
        <v>0</v>
      </c>
      <c r="FS20" s="21">
        <f>EXP(-LN(2)/2)*FS19+(1-EXP(-LN(2)/2))/(LN(2)/2)*FM20*FP20*VLOOKUP('Données projet'!$B$16,Paramètres!$A$1:$I$89,3,0)*0.475*44/12</f>
        <v>0</v>
      </c>
      <c r="FT20" s="22">
        <f t="shared" si="24"/>
        <v>0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1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13.25</v>
      </c>
      <c r="N21" s="13">
        <f>IF('Données projet'!$A$36&gt;35,N20+M21-V20,IF(A21&lt;'Données projet'!$A$36,$K$205^A21,IF(A21='Données projet'!$A$36,'Données projet'!$B$36,N20+M21-V20)))</f>
        <v>92.5</v>
      </c>
      <c r="O21" s="13">
        <f>N21*VLOOKUP('Données projet'!$B$9,Paramètres!$A$1:$I$89,3,0)*VLOOKUP('Données projet'!$B$9,Paramètres!$A$1:$I$89,5,0)</f>
        <v>55.315000000000005</v>
      </c>
      <c r="P21" s="13">
        <f t="shared" si="33"/>
        <v>15.978207841877614</v>
      </c>
      <c r="Q21" s="20">
        <f t="shared" si="2"/>
        <v>124.16900365793684</v>
      </c>
      <c r="R21" s="59">
        <f t="shared" si="0"/>
        <v>417.50233699127017</v>
      </c>
      <c r="S21" s="59">
        <f ca="1">AVERAGE(OFFSET($R$3,0,0,'Données projet'!$E$9+1,1))-AVERAGE(OFFSET($H$3,0,0,'Données projet'!$E$9+1,1))</f>
        <v>186.90544184210381</v>
      </c>
      <c r="T21" s="59">
        <f t="shared" si="34"/>
        <v>202.05988514450519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2.5229437031354718</v>
      </c>
      <c r="AB21" s="21">
        <f>EXP(-LN(2)/2)*AB20+(1-EXP(-LN(2)/2))/(LN(2)/2)*V21*Y21*VLOOKUP('Données projet'!$B$9,Paramètres!$A$1:$I$89,3,0)*0.475*44/12</f>
        <v>2.5390309272031004</v>
      </c>
      <c r="AC21" s="22">
        <f t="shared" si="3"/>
        <v>5.0619746303385718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13.25</v>
      </c>
      <c r="AI21" s="13">
        <f>IF('Données projet'!$A$62&gt;35,AI20+AH21-AQ20,IF(A21&lt;'Données projet'!$A$62,$AF$205^A21,IF(A21='Données projet'!$A$62,'Données projet'!$B$62,AI20+AH21-AQ20)))</f>
        <v>92.5</v>
      </c>
      <c r="AJ21" s="13">
        <f>AI21*VLOOKUP('Données projet'!$B$10,Paramètres!$A$1:$I$89,3,0)*VLOOKUP('Données projet'!$B$10,Paramètres!$A$1:$I$89,5,0)</f>
        <v>55.315000000000005</v>
      </c>
      <c r="AK21" s="13">
        <f t="shared" si="35"/>
        <v>15.978207841877614</v>
      </c>
      <c r="AL21" s="20">
        <f t="shared" si="4"/>
        <v>124.16900365793684</v>
      </c>
      <c r="AM21" s="59">
        <f t="shared" si="5"/>
        <v>417.50233699127017</v>
      </c>
      <c r="AN21" s="59">
        <f ca="1">AVERAGE(OFFSET($AM$3,0,0,'Données projet'!$E$10+1,1))-AVERAGE(OFFSET($H$3,0,0,'Données projet'!$E$10+1,1))</f>
        <v>186.90544184210381</v>
      </c>
      <c r="AO21" s="59">
        <f t="shared" si="36"/>
        <v>202.05988514450519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2.5229437031354718</v>
      </c>
      <c r="AW21" s="21">
        <f>EXP(-LN(2)/2)*AW20+(1-EXP(-LN(2)/2))/(LN(2)/2)*AQ21*AT21*VLOOKUP('Données projet'!$B$10,Paramètres!$A$1:$I$89,3,0)*0.475*44/12</f>
        <v>2.5390309272031004</v>
      </c>
      <c r="AX21" s="21">
        <f t="shared" si="6"/>
        <v>5.0619746303385718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1.9</v>
      </c>
      <c r="BD21" s="12">
        <f>IF('Données projet'!$A$88&gt;35,BD20+BC21-BL20,IF(A21&lt;'Données projet'!$A$88,$BA$205^A21,IF(A21='Données projet'!$A$88,'Données projet'!$B$88,BD20+BC21-BL20)))</f>
        <v>26.412240123714202</v>
      </c>
      <c r="BE21" s="13">
        <f>BD21*VLOOKUP('Données projet'!$B$11,Paramètres!$A$1:$I$89,3,0)*VLOOKUP('Données projet'!$B$11,Paramètres!$A$1:$I$89,5,0)</f>
        <v>21.425609188356962</v>
      </c>
      <c r="BF21" s="13">
        <f t="shared" si="37"/>
        <v>6.9113776108913045</v>
      </c>
      <c r="BG21" s="20">
        <f t="shared" si="7"/>
        <v>49.353585342024054</v>
      </c>
      <c r="BH21" s="59">
        <f t="shared" si="8"/>
        <v>342.68691867535739</v>
      </c>
      <c r="BI21" s="59">
        <f ca="1">AVERAGE(OFFSET($BH$3,0,0,'Données projet'!$E$11+1,1))-AVERAGE(OFFSET($H$3,0,0,'Données projet'!$E$11+1,1))</f>
        <v>5.8584049049231908</v>
      </c>
      <c r="BJ21" s="59">
        <f t="shared" si="38"/>
        <v>42.266833200216638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>
        <f>BY21*VLOOKUP('Données projet'!$B$12,Paramètres!$A$1:$I$89,3,0)*VLOOKUP('Données projet'!$B$12,Paramètres!$A$1:$I$89,5,0)</f>
        <v>0</v>
      </c>
      <c r="CA21" s="13" t="e">
        <f t="shared" si="39"/>
        <v>#NUM!</v>
      </c>
      <c r="CB21" s="20" t="e">
        <f t="shared" si="10"/>
        <v>#NUM!</v>
      </c>
      <c r="CC21" s="59" t="e">
        <f t="shared" si="11"/>
        <v>#NUM!</v>
      </c>
      <c r="CD21" s="59">
        <f ca="1">AVERAGE(OFFSET($CC$3,0,0,'Données projet'!$E$12+1,1))-AVERAGE(OFFSET($H$3,0,0,'Données projet'!$E$12+1,1))</f>
        <v>0</v>
      </c>
      <c r="CE21" s="59">
        <f t="shared" si="40"/>
        <v>0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>
        <f>CT21*VLOOKUP('Données projet'!$B$13,Paramètres!$A$1:$I$89,3,0)*VLOOKUP('Données projet'!$B$13,Paramètres!$A$1:$I$89,5,0)</f>
        <v>0</v>
      </c>
      <c r="CV21" s="13" t="e">
        <f t="shared" si="41"/>
        <v>#NUM!</v>
      </c>
      <c r="CW21" s="20" t="e">
        <f t="shared" si="13"/>
        <v>#NUM!</v>
      </c>
      <c r="CX21" s="59" t="e">
        <f t="shared" si="14"/>
        <v>#NUM!</v>
      </c>
      <c r="CY21" s="59">
        <f ca="1">AVERAGE(OFFSET($CX$3,0,0,'Données projet'!$E$13+1,1))-AVERAGE(OFFSET($H$3,0,0,'Données projet'!$E$13+1,1))</f>
        <v>0</v>
      </c>
      <c r="CZ21" s="59">
        <f t="shared" si="42"/>
        <v>0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>
        <f>DO21*VLOOKUP('Données projet'!$B$14,Paramètres!$A$1:$I$89,3,0)*VLOOKUP('Données projet'!$B$14,Paramètres!$A$1:$I$89,5,0)</f>
        <v>0</v>
      </c>
      <c r="DQ21" s="13" t="e">
        <f t="shared" si="43"/>
        <v>#NUM!</v>
      </c>
      <c r="DR21" s="20" t="e">
        <f t="shared" si="16"/>
        <v>#NUM!</v>
      </c>
      <c r="DS21" s="59" t="e">
        <f t="shared" si="17"/>
        <v>#NUM!</v>
      </c>
      <c r="DT21" s="59">
        <f ca="1">AVERAGE(OFFSET($DS$3,0,0,'Données projet'!$E$14+1,1))-AVERAGE(OFFSET($H$3,0,0,'Données projet'!$E$14+1,1))</f>
        <v>0</v>
      </c>
      <c r="DU21" s="59">
        <f t="shared" si="44"/>
        <v>0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>
        <f>EJ21*VLOOKUP('Données projet'!$B$15,Paramètres!$A$1:$I$89,3,0)*VLOOKUP('Données projet'!$B$15,Paramètres!$A$1:$I$89,5,0)</f>
        <v>0</v>
      </c>
      <c r="EL21" s="13" t="e">
        <f t="shared" si="45"/>
        <v>#NUM!</v>
      </c>
      <c r="EM21" s="20" t="e">
        <f t="shared" si="19"/>
        <v>#NUM!</v>
      </c>
      <c r="EN21" s="59" t="e">
        <f t="shared" si="20"/>
        <v>#NUM!</v>
      </c>
      <c r="EO21" s="59">
        <f ca="1">AVERAGE(OFFSET($EN$3,0,0,'Données projet'!$E$15+1,1))-AVERAGE(OFFSET($H$3,0,0,'Données projet'!$E$15+1,1))</f>
        <v>0</v>
      </c>
      <c r="EP21" s="59">
        <f t="shared" si="46"/>
        <v>0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>
        <f>FE21*VLOOKUP('Données projet'!$B$16,Paramètres!$A$1:$I$89,3,0)*VLOOKUP('Données projet'!$B$16,Paramètres!$A$1:$I$89,5,0)</f>
        <v>0</v>
      </c>
      <c r="FG21" s="13" t="e">
        <f t="shared" si="47"/>
        <v>#NUM!</v>
      </c>
      <c r="FH21" s="20" t="e">
        <f t="shared" si="22"/>
        <v>#NUM!</v>
      </c>
      <c r="FI21" s="59" t="e">
        <f t="shared" si="23"/>
        <v>#NUM!</v>
      </c>
      <c r="FJ21" s="59">
        <f ca="1">AVERAGE(OFFSET($FI$3,0,0,'Données projet'!$E$16+1,1))-AVERAGE(OFFSET($H$3,0,0,'Données projet'!$E$16+1,1))</f>
        <v>0</v>
      </c>
      <c r="FK21" s="59">
        <f t="shared" si="48"/>
        <v>0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>
        <f>EXP(-LN(2)/35)*FQ20+(1-EXP(-LN(2)/35))/(LN(2)/35)*FM21*FN21*VLOOKUP('Données projet'!$B$16,Paramètres!$A$1:$I$89,3,0)*0.475*44/12</f>
        <v>0</v>
      </c>
      <c r="FR21" s="21">
        <f>EXP(-LN(2)/25)*FR20+(1-EXP(-LN(2)/25))/(LN(2)/25)*Calculateur!FM21*Calculateur!FO21*VLOOKUP('Données projet'!$B$16,Paramètres!$A$1:$I$89,3,0)*0.475*44/12</f>
        <v>0</v>
      </c>
      <c r="FS21" s="21">
        <f>EXP(-LN(2)/2)*FS20+(1-EXP(-LN(2)/2))/(LN(2)/2)*FM21*FP21*VLOOKUP('Données projet'!$B$16,Paramètres!$A$1:$I$89,3,0)*0.475*44/12</f>
        <v>0</v>
      </c>
      <c r="FT21" s="22">
        <f t="shared" si="24"/>
        <v>0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1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13.25</v>
      </c>
      <c r="N22" s="13">
        <f>IF('Données projet'!$A$36&gt;35,N21+M22-V21,IF(A22&lt;'Données projet'!$A$36,$K$205^A22,IF(A22='Données projet'!$A$36,'Données projet'!$B$36,N21+M22-V21)))</f>
        <v>105.75</v>
      </c>
      <c r="O22" s="13">
        <f>N22*VLOOKUP('Données projet'!$B$9,Paramètres!$A$1:$I$89,3,0)*VLOOKUP('Données projet'!$B$9,Paramètres!$A$1:$I$89,5,0)</f>
        <v>63.238500000000009</v>
      </c>
      <c r="P22" s="13">
        <f t="shared" si="33"/>
        <v>17.984541540394584</v>
      </c>
      <c r="Q22" s="20">
        <f t="shared" si="2"/>
        <v>141.46346401618726</v>
      </c>
      <c r="R22" s="59">
        <f t="shared" si="0"/>
        <v>434.7967973495206</v>
      </c>
      <c r="S22" s="59">
        <f ca="1">AVERAGE(OFFSET($R$3,0,0,'Données projet'!$E$9+1,1))-AVERAGE(OFFSET($H$3,0,0,'Données projet'!$E$9+1,1))</f>
        <v>186.90544184210381</v>
      </c>
      <c r="T22" s="59">
        <f t="shared" si="34"/>
        <v>202.05988514450519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2.4539536748973894</v>
      </c>
      <c r="AB22" s="21">
        <f>EXP(-LN(2)/2)*AB21+(1-EXP(-LN(2)/2))/(LN(2)/2)*V22*Y22*VLOOKUP('Données projet'!$B$9,Paramètres!$A$1:$I$89,3,0)*0.475*44/12</f>
        <v>1.7953659862676796</v>
      </c>
      <c r="AC22" s="22">
        <f t="shared" si="3"/>
        <v>4.2493196611650692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13.25</v>
      </c>
      <c r="AI22" s="13">
        <f>IF('Données projet'!$A$62&gt;35,AI21+AH22-AQ21,IF(A22&lt;'Données projet'!$A$62,$AF$205^A22,IF(A22='Données projet'!$A$62,'Données projet'!$B$62,AI21+AH22-AQ21)))</f>
        <v>105.75</v>
      </c>
      <c r="AJ22" s="13">
        <f>AI22*VLOOKUP('Données projet'!$B$10,Paramètres!$A$1:$I$89,3,0)*VLOOKUP('Données projet'!$B$10,Paramètres!$A$1:$I$89,5,0)</f>
        <v>63.238500000000009</v>
      </c>
      <c r="AK22" s="13">
        <f t="shared" si="35"/>
        <v>17.984541540394584</v>
      </c>
      <c r="AL22" s="20">
        <f t="shared" si="4"/>
        <v>141.46346401618726</v>
      </c>
      <c r="AM22" s="59">
        <f t="shared" si="5"/>
        <v>434.7967973495206</v>
      </c>
      <c r="AN22" s="59">
        <f ca="1">AVERAGE(OFFSET($AM$3,0,0,'Données projet'!$E$10+1,1))-AVERAGE(OFFSET($H$3,0,0,'Données projet'!$E$10+1,1))</f>
        <v>186.90544184210381</v>
      </c>
      <c r="AO22" s="59">
        <f t="shared" si="36"/>
        <v>202.05988514450519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2.4539536748973894</v>
      </c>
      <c r="AW22" s="21">
        <f>EXP(-LN(2)/2)*AW21+(1-EXP(-LN(2)/2))/(LN(2)/2)*AQ22*AT22*VLOOKUP('Données projet'!$B$10,Paramètres!$A$1:$I$89,3,0)*0.475*44/12</f>
        <v>1.7953659862676796</v>
      </c>
      <c r="AX22" s="21">
        <f t="shared" si="6"/>
        <v>4.2493196611650692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1.9</v>
      </c>
      <c r="BD22" s="12">
        <f>IF('Données projet'!$A$88&gt;35,BD21+BC22-BL21,IF(A22&lt;'Données projet'!$A$88,$BA$205^A22,IF(A22='Données projet'!$A$88,'Données projet'!$B$88,BD21+BC22-BL21)))</f>
        <v>31.680674309445219</v>
      </c>
      <c r="BE22" s="13">
        <f>BD22*VLOOKUP('Données projet'!$B$11,Paramètres!$A$1:$I$89,3,0)*VLOOKUP('Données projet'!$B$11,Paramètres!$A$1:$I$89,5,0)</f>
        <v>25.699362999821965</v>
      </c>
      <c r="BF22" s="13">
        <f t="shared" si="37"/>
        <v>8.1163255985381628</v>
      </c>
      <c r="BG22" s="20">
        <f t="shared" si="7"/>
        <v>58.895657642143874</v>
      </c>
      <c r="BH22" s="59">
        <f t="shared" si="8"/>
        <v>352.22899097547719</v>
      </c>
      <c r="BI22" s="59">
        <f ca="1">AVERAGE(OFFSET($BH$3,0,0,'Données projet'!$E$11+1,1))-AVERAGE(OFFSET($H$3,0,0,'Données projet'!$E$11+1,1))</f>
        <v>5.8584049049231908</v>
      </c>
      <c r="BJ22" s="59">
        <f t="shared" si="38"/>
        <v>42.266833200216638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>
        <f>BY22*VLOOKUP('Données projet'!$B$12,Paramètres!$A$1:$I$89,3,0)*VLOOKUP('Données projet'!$B$12,Paramètres!$A$1:$I$89,5,0)</f>
        <v>0</v>
      </c>
      <c r="CA22" s="13" t="e">
        <f t="shared" si="39"/>
        <v>#NUM!</v>
      </c>
      <c r="CB22" s="20" t="e">
        <f t="shared" si="10"/>
        <v>#NUM!</v>
      </c>
      <c r="CC22" s="59" t="e">
        <f t="shared" si="11"/>
        <v>#NUM!</v>
      </c>
      <c r="CD22" s="59">
        <f ca="1">AVERAGE(OFFSET($CC$3,0,0,'Données projet'!$E$12+1,1))-AVERAGE(OFFSET($H$3,0,0,'Données projet'!$E$12+1,1))</f>
        <v>0</v>
      </c>
      <c r="CE22" s="59">
        <f t="shared" si="40"/>
        <v>0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>
        <f>CT22*VLOOKUP('Données projet'!$B$13,Paramètres!$A$1:$I$89,3,0)*VLOOKUP('Données projet'!$B$13,Paramètres!$A$1:$I$89,5,0)</f>
        <v>0</v>
      </c>
      <c r="CV22" s="13" t="e">
        <f t="shared" si="41"/>
        <v>#NUM!</v>
      </c>
      <c r="CW22" s="20" t="e">
        <f t="shared" si="13"/>
        <v>#NUM!</v>
      </c>
      <c r="CX22" s="59" t="e">
        <f t="shared" si="14"/>
        <v>#NUM!</v>
      </c>
      <c r="CY22" s="59">
        <f ca="1">AVERAGE(OFFSET($CX$3,0,0,'Données projet'!$E$13+1,1))-AVERAGE(OFFSET($H$3,0,0,'Données projet'!$E$13+1,1))</f>
        <v>0</v>
      </c>
      <c r="CZ22" s="59">
        <f t="shared" si="42"/>
        <v>0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>
        <f>DO22*VLOOKUP('Données projet'!$B$14,Paramètres!$A$1:$I$89,3,0)*VLOOKUP('Données projet'!$B$14,Paramètres!$A$1:$I$89,5,0)</f>
        <v>0</v>
      </c>
      <c r="DQ22" s="13" t="e">
        <f t="shared" si="43"/>
        <v>#NUM!</v>
      </c>
      <c r="DR22" s="20" t="e">
        <f t="shared" si="16"/>
        <v>#NUM!</v>
      </c>
      <c r="DS22" s="59" t="e">
        <f t="shared" si="17"/>
        <v>#NUM!</v>
      </c>
      <c r="DT22" s="59">
        <f ca="1">AVERAGE(OFFSET($DS$3,0,0,'Données projet'!$E$14+1,1))-AVERAGE(OFFSET($H$3,0,0,'Données projet'!$E$14+1,1))</f>
        <v>0</v>
      </c>
      <c r="DU22" s="59">
        <f t="shared" si="44"/>
        <v>0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>
        <f>EJ22*VLOOKUP('Données projet'!$B$15,Paramètres!$A$1:$I$89,3,0)*VLOOKUP('Données projet'!$B$15,Paramètres!$A$1:$I$89,5,0)</f>
        <v>0</v>
      </c>
      <c r="EL22" s="13" t="e">
        <f t="shared" si="45"/>
        <v>#NUM!</v>
      </c>
      <c r="EM22" s="20" t="e">
        <f t="shared" si="19"/>
        <v>#NUM!</v>
      </c>
      <c r="EN22" s="59" t="e">
        <f t="shared" si="20"/>
        <v>#NUM!</v>
      </c>
      <c r="EO22" s="59">
        <f ca="1">AVERAGE(OFFSET($EN$3,0,0,'Données projet'!$E$15+1,1))-AVERAGE(OFFSET($H$3,0,0,'Données projet'!$E$15+1,1))</f>
        <v>0</v>
      </c>
      <c r="EP22" s="59">
        <f t="shared" si="46"/>
        <v>0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>
        <f>FE22*VLOOKUP('Données projet'!$B$16,Paramètres!$A$1:$I$89,3,0)*VLOOKUP('Données projet'!$B$16,Paramètres!$A$1:$I$89,5,0)</f>
        <v>0</v>
      </c>
      <c r="FG22" s="13" t="e">
        <f t="shared" si="47"/>
        <v>#NUM!</v>
      </c>
      <c r="FH22" s="20" t="e">
        <f t="shared" si="22"/>
        <v>#NUM!</v>
      </c>
      <c r="FI22" s="59" t="e">
        <f t="shared" si="23"/>
        <v>#NUM!</v>
      </c>
      <c r="FJ22" s="59">
        <f ca="1">AVERAGE(OFFSET($FI$3,0,0,'Données projet'!$E$16+1,1))-AVERAGE(OFFSET($H$3,0,0,'Données projet'!$E$16+1,1))</f>
        <v>0</v>
      </c>
      <c r="FK22" s="59">
        <f t="shared" si="48"/>
        <v>0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>
        <f>EXP(-LN(2)/35)*FQ21+(1-EXP(-LN(2)/35))/(LN(2)/35)*FM22*FN22*VLOOKUP('Données projet'!$B$16,Paramètres!$A$1:$I$89,3,0)*0.475*44/12</f>
        <v>0</v>
      </c>
      <c r="FR22" s="21">
        <f>EXP(-LN(2)/25)*FR21+(1-EXP(-LN(2)/25))/(LN(2)/25)*Calculateur!FM22*Calculateur!FO22*VLOOKUP('Données projet'!$B$16,Paramètres!$A$1:$I$89,3,0)*0.475*44/12</f>
        <v>0</v>
      </c>
      <c r="FS22" s="21">
        <f>EXP(-LN(2)/2)*FS21+(1-EXP(-LN(2)/2))/(LN(2)/2)*FM22*FP22*VLOOKUP('Données projet'!$B$16,Paramètres!$A$1:$I$89,3,0)*0.475*44/12</f>
        <v>0</v>
      </c>
      <c r="FT22" s="22">
        <f t="shared" si="24"/>
        <v>0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1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119</v>
      </c>
      <c r="L23" s="12">
        <f>VLOOKUP(A23,'Données projet'!$A$35:$I$55,9,0)</f>
        <v>13.25</v>
      </c>
      <c r="M23" s="12">
        <f t="array" ref="M23">INDEX(L:L,MIN(IF(ISNUMBER(L23:L219),ROW(L23:L219),"")))</f>
        <v>13.25</v>
      </c>
      <c r="N23" s="13">
        <f>IF('Données projet'!$A$36&gt;35,N22+M23-V22,IF(A23&lt;'Données projet'!$A$36,$K$205^A23,IF(A23='Données projet'!$A$36,'Données projet'!$B$36,N22+M23-V22)))</f>
        <v>119</v>
      </c>
      <c r="O23" s="13">
        <f>N23*VLOOKUP('Données projet'!$B$9,Paramètres!$A$1:$I$89,3,0)*VLOOKUP('Données projet'!$B$9,Paramètres!$A$1:$I$89,5,0)</f>
        <v>71.162000000000006</v>
      </c>
      <c r="P23" s="13">
        <f t="shared" si="33"/>
        <v>19.961746043676346</v>
      </c>
      <c r="Q23" s="20">
        <f t="shared" si="2"/>
        <v>158.70719102606964</v>
      </c>
      <c r="R23" s="59">
        <f t="shared" si="0"/>
        <v>452.04052435940298</v>
      </c>
      <c r="S23" s="59">
        <f ca="1">AVERAGE(OFFSET($R$3,0,0,'Données projet'!$E$9+1,1))-AVERAGE(OFFSET($H$3,0,0,'Données projet'!$E$9+1,1))</f>
        <v>186.90544184210381</v>
      </c>
      <c r="T23" s="59">
        <f t="shared" si="34"/>
        <v>202.05988514450519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22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0.18000000000000002</v>
      </c>
      <c r="Y23" s="16">
        <f>IF(ISNA(VLOOKUP(A23,'Données projet'!$A$35:$I$55,7,0)),0%,VLOOKUP(A23,'Données projet'!$A$35:$I$55,7,0))</f>
        <v>0.4</v>
      </c>
      <c r="Z23" s="21">
        <f>EXP(-LN(2)/35)*Z22+(1-EXP(-LN(2)/35))/(LN(2)/35)*V23*W23*VLOOKUP('Données projet'!$B$9,Paramètres!$A$1:$I$89,3,0)*0.475*44/12</f>
        <v>1.5707053778186335</v>
      </c>
      <c r="AA23" s="21">
        <f>EXP(-LN(2)/25)*AA22+(1-EXP(-LN(2)/25))/(LN(2)/25)*Calculateur!V23*Calculateur!X23*VLOOKUP('Données projet'!$B$9,Paramètres!$A$1:$I$89,3,0)*0.475*44/12</f>
        <v>5.5158920071304891</v>
      </c>
      <c r="AB23" s="21">
        <f>EXP(-LN(2)/2)*AB22+(1-EXP(-LN(2)/2))/(LN(2)/2)*V23*Y23*VLOOKUP('Données projet'!$B$9,Paramètres!$A$1:$I$89,3,0)*0.475*44/12</f>
        <v>7.2277747061048245</v>
      </c>
      <c r="AC23" s="22">
        <f t="shared" si="3"/>
        <v>14.314372091053947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119</v>
      </c>
      <c r="AG23" s="12">
        <f>VLOOKUP(A23,'Données projet'!$A$61:$I$81,9,0)</f>
        <v>13.25</v>
      </c>
      <c r="AH23" s="12">
        <f t="array" ref="AH23">INDEX(AG:AG,MIN(IF(ISNUMBER(AG23:AG219),ROW(AG23:AG219),"")))</f>
        <v>13.25</v>
      </c>
      <c r="AI23" s="13">
        <f>IF('Données projet'!$A$62&gt;35,AI22+AH23-AQ22,IF(A23&lt;'Données projet'!$A$62,$AF$205^A23,IF(A23='Données projet'!$A$62,'Données projet'!$B$62,AI22+AH23-AQ22)))</f>
        <v>119</v>
      </c>
      <c r="AJ23" s="13">
        <f>AI23*VLOOKUP('Données projet'!$B$10,Paramètres!$A$1:$I$89,3,0)*VLOOKUP('Données projet'!$B$10,Paramètres!$A$1:$I$89,5,0)</f>
        <v>71.162000000000006</v>
      </c>
      <c r="AK23" s="13">
        <f t="shared" si="35"/>
        <v>19.961746043676346</v>
      </c>
      <c r="AL23" s="20">
        <f t="shared" si="4"/>
        <v>158.70719102606964</v>
      </c>
      <c r="AM23" s="59">
        <f t="shared" si="5"/>
        <v>452.04052435940298</v>
      </c>
      <c r="AN23" s="59">
        <f ca="1">AVERAGE(OFFSET($AM$3,0,0,'Données projet'!$E$10+1,1))-AVERAGE(OFFSET($H$3,0,0,'Données projet'!$E$10+1,1))</f>
        <v>186.90544184210381</v>
      </c>
      <c r="AO23" s="59">
        <f t="shared" si="36"/>
        <v>202.05988514450519</v>
      </c>
      <c r="AP23" s="15">
        <f>IF(ISNA(VLOOKUP(A23,'Données projet'!$A$61:$I$81,3,0)),0,VLOOKUP(A23,'Données projet'!$A$61:$I$81,3,0))</f>
        <v>2</v>
      </c>
      <c r="AQ23" s="15">
        <f>IF(ISNA(VLOOKUP(A23,'Données projet'!$A$61:$I$81,4,0)),0,VLOOKUP(A23,'Données projet'!$A$61:$I$81,4,0))</f>
        <v>22</v>
      </c>
      <c r="AR23" s="16">
        <f>IF(ISNA(VLOOKUP(A23,'Données projet'!$A$61:$I$81,5,0)),0%,VLOOKUP(A23,'Données projet'!$A$61:$I$81,5,0)*VLOOKUP('Données projet'!$B$10,Paramètres!$A$1:$I$89,7,0))</f>
        <v>9.0000000000000011E-2</v>
      </c>
      <c r="AS23" s="16">
        <f>IF(ISNA(VLOOKUP(A23,'Données projet'!$A$61:$I$81,6,0)),0%,VLOOKUP(A23,'Données projet'!$A$61:$I$81,6,0)*VLOOKUP('Données projet'!$B$10,Paramètres!$A$1:$I$89,7,0))</f>
        <v>0.18000000000000002</v>
      </c>
      <c r="AT23" s="16">
        <f>IF(ISNA(VLOOKUP(A23,'Données projet'!$A$61:$I$81,7,0)),0%,VLOOKUP(A23,'Données projet'!$A$61:$I$81,7,0))</f>
        <v>0.4</v>
      </c>
      <c r="AU23" s="21">
        <f>EXP(-LN(2)/35)*AU22+(1-EXP(-LN(2)/35))/(LN(2)/35)*AQ23*AR23*VLOOKUP('Données projet'!$B$10,Paramètres!$A$1:$I$89,3,0)*0.475*44/12</f>
        <v>1.5707053778186335</v>
      </c>
      <c r="AV23" s="21">
        <f>EXP(-LN(2)/25)*AV22+(1-EXP(-LN(2)/25))/(LN(2)/25)*Calculateur!AQ23*Calculateur!AS23*VLOOKUP('Données projet'!$B$10,Paramètres!$A$1:$I$89,3,0)*0.475*44/12</f>
        <v>5.5158920071304891</v>
      </c>
      <c r="AW23" s="21">
        <f>EXP(-LN(2)/2)*AW22+(1-EXP(-LN(2)/2))/(LN(2)/2)*AQ23*AT23*VLOOKUP('Données projet'!$B$10,Paramètres!$A$1:$I$89,3,0)*0.475*44/12</f>
        <v>7.2277747061048245</v>
      </c>
      <c r="AX23" s="21">
        <f t="shared" si="6"/>
        <v>14.314372091053947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38</v>
      </c>
      <c r="BB23" s="12">
        <f>VLOOKUP(A23,'Données projet'!$A$87:$I$107,9,0)</f>
        <v>1.9</v>
      </c>
      <c r="BC23" s="12">
        <f t="array" ref="BC23">INDEX(BB:BB,MIN(IF(ISNUMBER(BB23:BB219),ROW(BB23:BB219),"")))</f>
        <v>1.9</v>
      </c>
      <c r="BD23" s="12">
        <f>IF('Données projet'!$A$88&gt;35,BD22+BC23-BL22,IF(A23&lt;'Données projet'!$A$88,$BA$205^A23,IF(A23='Données projet'!$A$88,'Données projet'!$B$88,BD22+BC23-BL22)))</f>
        <v>38</v>
      </c>
      <c r="BE23" s="13">
        <f>BD23*VLOOKUP('Données projet'!$B$11,Paramètres!$A$1:$I$89,3,0)*VLOOKUP('Données projet'!$B$11,Paramètres!$A$1:$I$89,5,0)</f>
        <v>30.825600000000005</v>
      </c>
      <c r="BF23" s="13">
        <f t="shared" si="37"/>
        <v>9.5313474288652582</v>
      </c>
      <c r="BG23" s="20">
        <f t="shared" si="7"/>
        <v>70.288350105273665</v>
      </c>
      <c r="BH23" s="59">
        <f t="shared" si="8"/>
        <v>363.62168343860696</v>
      </c>
      <c r="BI23" s="59">
        <f ca="1">AVERAGE(OFFSET($BH$3,0,0,'Données projet'!$E$11+1,1))-AVERAGE(OFFSET($H$3,0,0,'Données projet'!$E$11+1,1))</f>
        <v>5.8584049049231908</v>
      </c>
      <c r="BJ23" s="59">
        <f t="shared" si="38"/>
        <v>42.266833200216638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>
        <f>BY23*VLOOKUP('Données projet'!$B$12,Paramètres!$A$1:$I$89,3,0)*VLOOKUP('Données projet'!$B$12,Paramètres!$A$1:$I$89,5,0)</f>
        <v>0</v>
      </c>
      <c r="CA23" s="13" t="e">
        <f t="shared" si="39"/>
        <v>#NUM!</v>
      </c>
      <c r="CB23" s="20" t="e">
        <f t="shared" si="10"/>
        <v>#NUM!</v>
      </c>
      <c r="CC23" s="59" t="e">
        <f t="shared" si="11"/>
        <v>#NUM!</v>
      </c>
      <c r="CD23" s="59">
        <f ca="1">AVERAGE(OFFSET($CC$3,0,0,'Données projet'!$E$12+1,1))-AVERAGE(OFFSET($H$3,0,0,'Données projet'!$E$12+1,1))</f>
        <v>0</v>
      </c>
      <c r="CE23" s="59">
        <f t="shared" si="40"/>
        <v>0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>
        <f>CT23*VLOOKUP('Données projet'!$B$13,Paramètres!$A$1:$I$89,3,0)*VLOOKUP('Données projet'!$B$13,Paramètres!$A$1:$I$89,5,0)</f>
        <v>0</v>
      </c>
      <c r="CV23" s="13" t="e">
        <f t="shared" si="41"/>
        <v>#NUM!</v>
      </c>
      <c r="CW23" s="20" t="e">
        <f t="shared" si="13"/>
        <v>#NUM!</v>
      </c>
      <c r="CX23" s="59" t="e">
        <f t="shared" si="14"/>
        <v>#NUM!</v>
      </c>
      <c r="CY23" s="59">
        <f ca="1">AVERAGE(OFFSET($CX$3,0,0,'Données projet'!$E$13+1,1))-AVERAGE(OFFSET($H$3,0,0,'Données projet'!$E$13+1,1))</f>
        <v>0</v>
      </c>
      <c r="CZ23" s="59">
        <f t="shared" si="42"/>
        <v>0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>
        <f>DO23*VLOOKUP('Données projet'!$B$14,Paramètres!$A$1:$I$89,3,0)*VLOOKUP('Données projet'!$B$14,Paramètres!$A$1:$I$89,5,0)</f>
        <v>0</v>
      </c>
      <c r="DQ23" s="13" t="e">
        <f t="shared" si="43"/>
        <v>#NUM!</v>
      </c>
      <c r="DR23" s="20" t="e">
        <f t="shared" si="16"/>
        <v>#NUM!</v>
      </c>
      <c r="DS23" s="59" t="e">
        <f t="shared" si="17"/>
        <v>#NUM!</v>
      </c>
      <c r="DT23" s="59">
        <f ca="1">AVERAGE(OFFSET($DS$3,0,0,'Données projet'!$E$14+1,1))-AVERAGE(OFFSET($H$3,0,0,'Données projet'!$E$14+1,1))</f>
        <v>0</v>
      </c>
      <c r="DU23" s="59">
        <f t="shared" si="44"/>
        <v>0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>
        <f>EJ23*VLOOKUP('Données projet'!$B$15,Paramètres!$A$1:$I$89,3,0)*VLOOKUP('Données projet'!$B$15,Paramètres!$A$1:$I$89,5,0)</f>
        <v>0</v>
      </c>
      <c r="EL23" s="13" t="e">
        <f t="shared" si="45"/>
        <v>#NUM!</v>
      </c>
      <c r="EM23" s="20" t="e">
        <f t="shared" si="19"/>
        <v>#NUM!</v>
      </c>
      <c r="EN23" s="59" t="e">
        <f t="shared" si="20"/>
        <v>#NUM!</v>
      </c>
      <c r="EO23" s="59">
        <f ca="1">AVERAGE(OFFSET($EN$3,0,0,'Données projet'!$E$15+1,1))-AVERAGE(OFFSET($H$3,0,0,'Données projet'!$E$15+1,1))</f>
        <v>0</v>
      </c>
      <c r="EP23" s="59">
        <f t="shared" si="46"/>
        <v>0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0</v>
      </c>
      <c r="EX23" s="21">
        <f>EXP(-LN(2)/2)*EX22+(1-EXP(-LN(2)/2))/(LN(2)/2)*ER23*EU23*VLOOKUP('Données projet'!$B$15,Paramètres!$A$1:$I$89,3,0)*0.475*44/12</f>
        <v>0</v>
      </c>
      <c r="EY23" s="22">
        <f t="shared" si="21"/>
        <v>0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>
        <f>FE23*VLOOKUP('Données projet'!$B$16,Paramètres!$A$1:$I$89,3,0)*VLOOKUP('Données projet'!$B$16,Paramètres!$A$1:$I$89,5,0)</f>
        <v>0</v>
      </c>
      <c r="FG23" s="13" t="e">
        <f t="shared" si="47"/>
        <v>#NUM!</v>
      </c>
      <c r="FH23" s="20" t="e">
        <f t="shared" si="22"/>
        <v>#NUM!</v>
      </c>
      <c r="FI23" s="59" t="e">
        <f t="shared" si="23"/>
        <v>#NUM!</v>
      </c>
      <c r="FJ23" s="59">
        <f ca="1">AVERAGE(OFFSET($FI$3,0,0,'Données projet'!$E$16+1,1))-AVERAGE(OFFSET($H$3,0,0,'Données projet'!$E$16+1,1))</f>
        <v>0</v>
      </c>
      <c r="FK23" s="59">
        <f t="shared" si="48"/>
        <v>0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>
        <f>EXP(-LN(2)/35)*FQ22+(1-EXP(-LN(2)/35))/(LN(2)/35)*FM23*FN23*VLOOKUP('Données projet'!$B$16,Paramètres!$A$1:$I$89,3,0)*0.475*44/12</f>
        <v>0</v>
      </c>
      <c r="FR23" s="21">
        <f>EXP(-LN(2)/25)*FR22+(1-EXP(-LN(2)/25))/(LN(2)/25)*Calculateur!FM23*Calculateur!FO23*VLOOKUP('Données projet'!$B$16,Paramètres!$A$1:$I$89,3,0)*0.475*44/12</f>
        <v>0</v>
      </c>
      <c r="FS23" s="21">
        <f>EXP(-LN(2)/2)*FS22+(1-EXP(-LN(2)/2))/(LN(2)/2)*FM23*FP23*VLOOKUP('Données projet'!$B$16,Paramètres!$A$1:$I$89,3,0)*0.475*44/12</f>
        <v>0</v>
      </c>
      <c r="FT23" s="22">
        <f t="shared" si="24"/>
        <v>0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1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15</v>
      </c>
      <c r="N24" s="13">
        <f>IF('Données projet'!$A$36&gt;35,N23+M24-V23,IF(A24&lt;'Données projet'!$A$36,$K$205^A24,IF(A24='Données projet'!$A$36,'Données projet'!$B$36,N23+M24-V23)))</f>
        <v>112</v>
      </c>
      <c r="O24" s="13">
        <f>N24*VLOOKUP('Données projet'!$B$9,Paramètres!$A$1:$I$89,3,0)*VLOOKUP('Données projet'!$B$9,Paramètres!$A$1:$I$89,5,0)</f>
        <v>66.976000000000013</v>
      </c>
      <c r="P24" s="13">
        <f t="shared" si="33"/>
        <v>18.920572617446965</v>
      </c>
      <c r="Q24" s="20">
        <f t="shared" si="2"/>
        <v>149.60319730872013</v>
      </c>
      <c r="R24" s="59">
        <f t="shared" si="0"/>
        <v>442.93653064205341</v>
      </c>
      <c r="S24" s="59">
        <f ca="1">AVERAGE(OFFSET($R$3,0,0,'Données projet'!$E$9+1,1))-AVERAGE(OFFSET($H$3,0,0,'Données projet'!$E$9+1,1))</f>
        <v>186.90544184210381</v>
      </c>
      <c r="T24" s="59">
        <f t="shared" si="34"/>
        <v>202.05988514450519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1.5399048033952925</v>
      </c>
      <c r="AA24" s="21">
        <f>EXP(-LN(2)/25)*AA23+(1-EXP(-LN(2)/25))/(LN(2)/25)*Calculateur!V24*Calculateur!X24*VLOOKUP('Données projet'!$B$9,Paramètres!$A$1:$I$89,3,0)*0.475*44/12</f>
        <v>5.3650596501273515</v>
      </c>
      <c r="AB24" s="21">
        <f>EXP(-LN(2)/2)*AB23+(1-EXP(-LN(2)/2))/(LN(2)/2)*V24*Y24*VLOOKUP('Données projet'!$B$9,Paramètres!$A$1:$I$89,3,0)*0.475*44/12</f>
        <v>5.1108085075753271</v>
      </c>
      <c r="AC24" s="22">
        <f t="shared" si="3"/>
        <v>12.015772961097971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15</v>
      </c>
      <c r="AI24" s="13">
        <f>IF('Données projet'!$A$62&gt;35,AI23+AH24-AQ23,IF(A24&lt;'Données projet'!$A$62,$AF$205^A24,IF(A24='Données projet'!$A$62,'Données projet'!$B$62,AI23+AH24-AQ23)))</f>
        <v>112</v>
      </c>
      <c r="AJ24" s="13">
        <f>AI24*VLOOKUP('Données projet'!$B$10,Paramètres!$A$1:$I$89,3,0)*VLOOKUP('Données projet'!$B$10,Paramètres!$A$1:$I$89,5,0)</f>
        <v>66.976000000000013</v>
      </c>
      <c r="AK24" s="13">
        <f t="shared" si="35"/>
        <v>18.920572617446965</v>
      </c>
      <c r="AL24" s="20">
        <f t="shared" si="4"/>
        <v>149.60319730872013</v>
      </c>
      <c r="AM24" s="59">
        <f t="shared" si="5"/>
        <v>442.93653064205341</v>
      </c>
      <c r="AN24" s="59">
        <f ca="1">AVERAGE(OFFSET($AM$3,0,0,'Données projet'!$E$10+1,1))-AVERAGE(OFFSET($H$3,0,0,'Données projet'!$E$10+1,1))</f>
        <v>186.90544184210381</v>
      </c>
      <c r="AO24" s="59">
        <f t="shared" si="36"/>
        <v>202.05988514450519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1.5399048033952925</v>
      </c>
      <c r="AV24" s="21">
        <f>EXP(-LN(2)/25)*AV23+(1-EXP(-LN(2)/25))/(LN(2)/25)*Calculateur!AQ24*Calculateur!AS24*VLOOKUP('Données projet'!$B$10,Paramètres!$A$1:$I$89,3,0)*0.475*44/12</f>
        <v>5.3650596501273515</v>
      </c>
      <c r="AW24" s="21">
        <f>EXP(-LN(2)/2)*AW23+(1-EXP(-LN(2)/2))/(LN(2)/2)*AQ24*AT24*VLOOKUP('Données projet'!$B$10,Paramètres!$A$1:$I$89,3,0)*0.475*44/12</f>
        <v>5.1108085075753271</v>
      </c>
      <c r="AX24" s="21">
        <f t="shared" si="6"/>
        <v>12.015772961097971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3.8</v>
      </c>
      <c r="BD24" s="12">
        <f>IF('Données projet'!$A$88&gt;35,BD23+BC24-BL23,IF(A24&lt;'Données projet'!$A$88,$BA$205^A24,IF(A24='Données projet'!$A$88,'Données projet'!$B$88,BD23+BC24-BL23)))</f>
        <v>41.8</v>
      </c>
      <c r="BE24" s="13">
        <f>BD24*VLOOKUP('Données projet'!$B$11,Paramètres!$A$1:$I$89,3,0)*VLOOKUP('Données projet'!$B$11,Paramètres!$A$1:$I$89,5,0)</f>
        <v>33.908160000000002</v>
      </c>
      <c r="BF24" s="13">
        <f t="shared" si="37"/>
        <v>10.368809057652532</v>
      </c>
      <c r="BG24" s="20">
        <f t="shared" si="7"/>
        <v>77.115721108744836</v>
      </c>
      <c r="BH24" s="59">
        <f t="shared" si="8"/>
        <v>370.44905444207814</v>
      </c>
      <c r="BI24" s="59">
        <f ca="1">AVERAGE(OFFSET($BH$3,0,0,'Données projet'!$E$11+1,1))-AVERAGE(OFFSET($H$3,0,0,'Données projet'!$E$11+1,1))</f>
        <v>5.8584049049231908</v>
      </c>
      <c r="BJ24" s="59">
        <f t="shared" si="38"/>
        <v>42.266833200216638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>
        <f>BY24*VLOOKUP('Données projet'!$B$12,Paramètres!$A$1:$I$89,3,0)*VLOOKUP('Données projet'!$B$12,Paramètres!$A$1:$I$89,5,0)</f>
        <v>0</v>
      </c>
      <c r="CA24" s="13" t="e">
        <f t="shared" si="39"/>
        <v>#NUM!</v>
      </c>
      <c r="CB24" s="20" t="e">
        <f t="shared" si="10"/>
        <v>#NUM!</v>
      </c>
      <c r="CC24" s="59" t="e">
        <f t="shared" si="11"/>
        <v>#NUM!</v>
      </c>
      <c r="CD24" s="59">
        <f ca="1">AVERAGE(OFFSET($CC$3,0,0,'Données projet'!$E$12+1,1))-AVERAGE(OFFSET($H$3,0,0,'Données projet'!$E$12+1,1))</f>
        <v>0</v>
      </c>
      <c r="CE24" s="59">
        <f t="shared" si="40"/>
        <v>0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>
        <f>CT24*VLOOKUP('Données projet'!$B$13,Paramètres!$A$1:$I$89,3,0)*VLOOKUP('Données projet'!$B$13,Paramètres!$A$1:$I$89,5,0)</f>
        <v>0</v>
      </c>
      <c r="CV24" s="13" t="e">
        <f t="shared" si="41"/>
        <v>#NUM!</v>
      </c>
      <c r="CW24" s="20" t="e">
        <f t="shared" si="13"/>
        <v>#NUM!</v>
      </c>
      <c r="CX24" s="59" t="e">
        <f t="shared" si="14"/>
        <v>#NUM!</v>
      </c>
      <c r="CY24" s="59">
        <f ca="1">AVERAGE(OFFSET($CX$3,0,0,'Données projet'!$E$13+1,1))-AVERAGE(OFFSET($H$3,0,0,'Données projet'!$E$13+1,1))</f>
        <v>0</v>
      </c>
      <c r="CZ24" s="59">
        <f t="shared" si="42"/>
        <v>0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>
        <f>DO24*VLOOKUP('Données projet'!$B$14,Paramètres!$A$1:$I$89,3,0)*VLOOKUP('Données projet'!$B$14,Paramètres!$A$1:$I$89,5,0)</f>
        <v>0</v>
      </c>
      <c r="DQ24" s="13" t="e">
        <f t="shared" si="43"/>
        <v>#NUM!</v>
      </c>
      <c r="DR24" s="20" t="e">
        <f t="shared" si="16"/>
        <v>#NUM!</v>
      </c>
      <c r="DS24" s="59" t="e">
        <f t="shared" si="17"/>
        <v>#NUM!</v>
      </c>
      <c r="DT24" s="59">
        <f ca="1">AVERAGE(OFFSET($DS$3,0,0,'Données projet'!$E$14+1,1))-AVERAGE(OFFSET($H$3,0,0,'Données projet'!$E$14+1,1))</f>
        <v>0</v>
      </c>
      <c r="DU24" s="59">
        <f t="shared" si="44"/>
        <v>0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>
        <f>EJ24*VLOOKUP('Données projet'!$B$15,Paramètres!$A$1:$I$89,3,0)*VLOOKUP('Données projet'!$B$15,Paramètres!$A$1:$I$89,5,0)</f>
        <v>0</v>
      </c>
      <c r="EL24" s="13" t="e">
        <f t="shared" si="45"/>
        <v>#NUM!</v>
      </c>
      <c r="EM24" s="20" t="e">
        <f t="shared" si="19"/>
        <v>#NUM!</v>
      </c>
      <c r="EN24" s="59" t="e">
        <f t="shared" si="20"/>
        <v>#NUM!</v>
      </c>
      <c r="EO24" s="59">
        <f ca="1">AVERAGE(OFFSET($EN$3,0,0,'Données projet'!$E$15+1,1))-AVERAGE(OFFSET($H$3,0,0,'Données projet'!$E$15+1,1))</f>
        <v>0</v>
      </c>
      <c r="EP24" s="59">
        <f t="shared" si="46"/>
        <v>0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0</v>
      </c>
      <c r="EX24" s="21">
        <f>EXP(-LN(2)/2)*EX23+(1-EXP(-LN(2)/2))/(LN(2)/2)*ER24*EU24*VLOOKUP('Données projet'!$B$15,Paramètres!$A$1:$I$89,3,0)*0.475*44/12</f>
        <v>0</v>
      </c>
      <c r="EY24" s="22">
        <f t="shared" si="21"/>
        <v>0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>
        <f>FE24*VLOOKUP('Données projet'!$B$16,Paramètres!$A$1:$I$89,3,0)*VLOOKUP('Données projet'!$B$16,Paramètres!$A$1:$I$89,5,0)</f>
        <v>0</v>
      </c>
      <c r="FG24" s="13" t="e">
        <f t="shared" si="47"/>
        <v>#NUM!</v>
      </c>
      <c r="FH24" s="20" t="e">
        <f t="shared" si="22"/>
        <v>#NUM!</v>
      </c>
      <c r="FI24" s="59" t="e">
        <f t="shared" si="23"/>
        <v>#NUM!</v>
      </c>
      <c r="FJ24" s="59">
        <f ca="1">AVERAGE(OFFSET($FI$3,0,0,'Données projet'!$E$16+1,1))-AVERAGE(OFFSET($H$3,0,0,'Données projet'!$E$16+1,1))</f>
        <v>0</v>
      </c>
      <c r="FK24" s="59">
        <f t="shared" si="48"/>
        <v>0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>
        <f>EXP(-LN(2)/35)*FQ23+(1-EXP(-LN(2)/35))/(LN(2)/35)*FM24*FN24*VLOOKUP('Données projet'!$B$16,Paramètres!$A$1:$I$89,3,0)*0.475*44/12</f>
        <v>0</v>
      </c>
      <c r="FR24" s="21">
        <f>EXP(-LN(2)/25)*FR23+(1-EXP(-LN(2)/25))/(LN(2)/25)*Calculateur!FM24*Calculateur!FO24*VLOOKUP('Données projet'!$B$16,Paramètres!$A$1:$I$89,3,0)*0.475*44/12</f>
        <v>0</v>
      </c>
      <c r="FS24" s="21">
        <f>EXP(-LN(2)/2)*FS23+(1-EXP(-LN(2)/2))/(LN(2)/2)*FM24*FP24*VLOOKUP('Données projet'!$B$16,Paramètres!$A$1:$I$89,3,0)*0.475*44/12</f>
        <v>0</v>
      </c>
      <c r="FT24" s="22">
        <f t="shared" si="24"/>
        <v>0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1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15</v>
      </c>
      <c r="N25" s="13">
        <f>IF('Données projet'!$A$36&gt;35,N24+M25-V24,IF(A25&lt;'Données projet'!$A$36,$K$205^A25,IF(A25='Données projet'!$A$36,'Données projet'!$B$36,N24+M25-V24)))</f>
        <v>127</v>
      </c>
      <c r="O25" s="13">
        <f>N25*VLOOKUP('Données projet'!$B$9,Paramètres!$A$1:$I$89,3,0)*VLOOKUP('Données projet'!$B$9,Paramètres!$A$1:$I$89,5,0)</f>
        <v>75.945999999999998</v>
      </c>
      <c r="P25" s="13">
        <f t="shared" si="33"/>
        <v>21.142979995226831</v>
      </c>
      <c r="Q25" s="20">
        <f t="shared" si="2"/>
        <v>169.09664015835338</v>
      </c>
      <c r="R25" s="59">
        <f t="shared" si="0"/>
        <v>462.42997349168672</v>
      </c>
      <c r="S25" s="59">
        <f ca="1">AVERAGE(OFFSET($R$3,0,0,'Données projet'!$E$9+1,1))-AVERAGE(OFFSET($H$3,0,0,'Données projet'!$E$9+1,1))</f>
        <v>186.90544184210381</v>
      </c>
      <c r="T25" s="59">
        <f t="shared" si="34"/>
        <v>202.05988514450519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1.5097082094498977</v>
      </c>
      <c r="AA25" s="21">
        <f>EXP(-LN(2)/25)*AA24+(1-EXP(-LN(2)/25))/(LN(2)/25)*Calculateur!V25*Calculateur!X25*VLOOKUP('Données projet'!$B$9,Paramètres!$A$1:$I$89,3,0)*0.475*44/12</f>
        <v>5.218351811858394</v>
      </c>
      <c r="AB25" s="21">
        <f>EXP(-LN(2)/2)*AB24+(1-EXP(-LN(2)/2))/(LN(2)/2)*V25*Y25*VLOOKUP('Données projet'!$B$9,Paramètres!$A$1:$I$89,3,0)*0.475*44/12</f>
        <v>3.6138873530524127</v>
      </c>
      <c r="AC25" s="22">
        <f t="shared" si="3"/>
        <v>10.341947374360704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15</v>
      </c>
      <c r="AI25" s="13">
        <f>IF('Données projet'!$A$62&gt;35,AI24+AH25-AQ24,IF(A25&lt;'Données projet'!$A$62,$AF$205^A25,IF(A25='Données projet'!$A$62,'Données projet'!$B$62,AI24+AH25-AQ24)))</f>
        <v>127</v>
      </c>
      <c r="AJ25" s="13">
        <f>AI25*VLOOKUP('Données projet'!$B$10,Paramètres!$A$1:$I$89,3,0)*VLOOKUP('Données projet'!$B$10,Paramètres!$A$1:$I$89,5,0)</f>
        <v>75.945999999999998</v>
      </c>
      <c r="AK25" s="13">
        <f t="shared" si="35"/>
        <v>21.142979995226831</v>
      </c>
      <c r="AL25" s="20">
        <f t="shared" si="4"/>
        <v>169.09664015835338</v>
      </c>
      <c r="AM25" s="59">
        <f t="shared" si="5"/>
        <v>462.42997349168672</v>
      </c>
      <c r="AN25" s="59">
        <f ca="1">AVERAGE(OFFSET($AM$3,0,0,'Données projet'!$E$10+1,1))-AVERAGE(OFFSET($H$3,0,0,'Données projet'!$E$10+1,1))</f>
        <v>186.90544184210381</v>
      </c>
      <c r="AO25" s="59">
        <f t="shared" si="36"/>
        <v>202.05988514450519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1.5097082094498977</v>
      </c>
      <c r="AV25" s="21">
        <f>EXP(-LN(2)/25)*AV24+(1-EXP(-LN(2)/25))/(LN(2)/25)*Calculateur!AQ25*Calculateur!AS25*VLOOKUP('Données projet'!$B$10,Paramètres!$A$1:$I$89,3,0)*0.475*44/12</f>
        <v>5.218351811858394</v>
      </c>
      <c r="AW25" s="21">
        <f>EXP(-LN(2)/2)*AW24+(1-EXP(-LN(2)/2))/(LN(2)/2)*AQ25*AT25*VLOOKUP('Données projet'!$B$10,Paramètres!$A$1:$I$89,3,0)*0.475*44/12</f>
        <v>3.6138873530524127</v>
      </c>
      <c r="AX25" s="21">
        <f t="shared" si="6"/>
        <v>10.341947374360704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3.8</v>
      </c>
      <c r="BD25" s="12">
        <f>IF('Données projet'!$A$88&gt;35,BD24+BC25-BL24,IF(A25&lt;'Données projet'!$A$88,$BA$205^A25,IF(A25='Données projet'!$A$88,'Données projet'!$B$88,BD24+BC25-BL24)))</f>
        <v>45.599999999999994</v>
      </c>
      <c r="BE25" s="13">
        <f>BD25*VLOOKUP('Données projet'!$B$11,Paramètres!$A$1:$I$89,3,0)*VLOOKUP('Données projet'!$B$11,Paramètres!$A$1:$I$89,5,0)</f>
        <v>36.990719999999996</v>
      </c>
      <c r="BF25" s="13">
        <f t="shared" si="37"/>
        <v>11.197442716918179</v>
      </c>
      <c r="BG25" s="20">
        <f t="shared" si="7"/>
        <v>83.927716731965816</v>
      </c>
      <c r="BH25" s="59">
        <f t="shared" si="8"/>
        <v>377.26105006529912</v>
      </c>
      <c r="BI25" s="59">
        <f ca="1">AVERAGE(OFFSET($BH$3,0,0,'Données projet'!$E$11+1,1))-AVERAGE(OFFSET($H$3,0,0,'Données projet'!$E$11+1,1))</f>
        <v>5.8584049049231908</v>
      </c>
      <c r="BJ25" s="59">
        <f t="shared" si="38"/>
        <v>42.266833200216638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>
        <f>BY25*VLOOKUP('Données projet'!$B$12,Paramètres!$A$1:$I$89,3,0)*VLOOKUP('Données projet'!$B$12,Paramètres!$A$1:$I$89,5,0)</f>
        <v>0</v>
      </c>
      <c r="CA25" s="13" t="e">
        <f t="shared" si="39"/>
        <v>#NUM!</v>
      </c>
      <c r="CB25" s="20" t="e">
        <f t="shared" si="10"/>
        <v>#NUM!</v>
      </c>
      <c r="CC25" s="59" t="e">
        <f t="shared" si="11"/>
        <v>#NUM!</v>
      </c>
      <c r="CD25" s="59">
        <f ca="1">AVERAGE(OFFSET($CC$3,0,0,'Données projet'!$E$12+1,1))-AVERAGE(OFFSET($H$3,0,0,'Données projet'!$E$12+1,1))</f>
        <v>0</v>
      </c>
      <c r="CE25" s="59">
        <f t="shared" si="40"/>
        <v>0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>
        <f>CT25*VLOOKUP('Données projet'!$B$13,Paramètres!$A$1:$I$89,3,0)*VLOOKUP('Données projet'!$B$13,Paramètres!$A$1:$I$89,5,0)</f>
        <v>0</v>
      </c>
      <c r="CV25" s="13" t="e">
        <f t="shared" si="41"/>
        <v>#NUM!</v>
      </c>
      <c r="CW25" s="20" t="e">
        <f t="shared" si="13"/>
        <v>#NUM!</v>
      </c>
      <c r="CX25" s="59" t="e">
        <f t="shared" si="14"/>
        <v>#NUM!</v>
      </c>
      <c r="CY25" s="59">
        <f ca="1">AVERAGE(OFFSET($CX$3,0,0,'Données projet'!$E$13+1,1))-AVERAGE(OFFSET($H$3,0,0,'Données projet'!$E$13+1,1))</f>
        <v>0</v>
      </c>
      <c r="CZ25" s="59">
        <f t="shared" si="42"/>
        <v>0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>
        <f>DO25*VLOOKUP('Données projet'!$B$14,Paramètres!$A$1:$I$89,3,0)*VLOOKUP('Données projet'!$B$14,Paramètres!$A$1:$I$89,5,0)</f>
        <v>0</v>
      </c>
      <c r="DQ25" s="13" t="e">
        <f t="shared" si="43"/>
        <v>#NUM!</v>
      </c>
      <c r="DR25" s="20" t="e">
        <f t="shared" si="16"/>
        <v>#NUM!</v>
      </c>
      <c r="DS25" s="59" t="e">
        <f t="shared" si="17"/>
        <v>#NUM!</v>
      </c>
      <c r="DT25" s="59">
        <f ca="1">AVERAGE(OFFSET($DS$3,0,0,'Données projet'!$E$14+1,1))-AVERAGE(OFFSET($H$3,0,0,'Données projet'!$E$14+1,1))</f>
        <v>0</v>
      </c>
      <c r="DU25" s="59">
        <f t="shared" si="44"/>
        <v>0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>
        <f>EJ25*VLOOKUP('Données projet'!$B$15,Paramètres!$A$1:$I$89,3,0)*VLOOKUP('Données projet'!$B$15,Paramètres!$A$1:$I$89,5,0)</f>
        <v>0</v>
      </c>
      <c r="EL25" s="13" t="e">
        <f t="shared" si="45"/>
        <v>#NUM!</v>
      </c>
      <c r="EM25" s="20" t="e">
        <f t="shared" si="19"/>
        <v>#NUM!</v>
      </c>
      <c r="EN25" s="59" t="e">
        <f t="shared" si="20"/>
        <v>#NUM!</v>
      </c>
      <c r="EO25" s="59">
        <f ca="1">AVERAGE(OFFSET($EN$3,0,0,'Données projet'!$E$15+1,1))-AVERAGE(OFFSET($H$3,0,0,'Données projet'!$E$15+1,1))</f>
        <v>0</v>
      </c>
      <c r="EP25" s="59">
        <f t="shared" si="46"/>
        <v>0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0</v>
      </c>
      <c r="EX25" s="21">
        <f>EXP(-LN(2)/2)*EX24+(1-EXP(-LN(2)/2))/(LN(2)/2)*ER25*EU25*VLOOKUP('Données projet'!$B$15,Paramètres!$A$1:$I$89,3,0)*0.475*44/12</f>
        <v>0</v>
      </c>
      <c r="EY25" s="22">
        <f t="shared" si="21"/>
        <v>0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>
        <f>FE25*VLOOKUP('Données projet'!$B$16,Paramètres!$A$1:$I$89,3,0)*VLOOKUP('Données projet'!$B$16,Paramètres!$A$1:$I$89,5,0)</f>
        <v>0</v>
      </c>
      <c r="FG25" s="13" t="e">
        <f t="shared" si="47"/>
        <v>#NUM!</v>
      </c>
      <c r="FH25" s="20" t="e">
        <f t="shared" si="22"/>
        <v>#NUM!</v>
      </c>
      <c r="FI25" s="59" t="e">
        <f t="shared" si="23"/>
        <v>#NUM!</v>
      </c>
      <c r="FJ25" s="59">
        <f ca="1">AVERAGE(OFFSET($FI$3,0,0,'Données projet'!$E$16+1,1))-AVERAGE(OFFSET($H$3,0,0,'Données projet'!$E$16+1,1))</f>
        <v>0</v>
      </c>
      <c r="FK25" s="59">
        <f t="shared" si="48"/>
        <v>0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>
        <f>EXP(-LN(2)/35)*FQ24+(1-EXP(-LN(2)/35))/(LN(2)/35)*FM25*FN25*VLOOKUP('Données projet'!$B$16,Paramètres!$A$1:$I$89,3,0)*0.475*44/12</f>
        <v>0</v>
      </c>
      <c r="FR25" s="21">
        <f>EXP(-LN(2)/25)*FR24+(1-EXP(-LN(2)/25))/(LN(2)/25)*Calculateur!FM25*Calculateur!FO25*VLOOKUP('Données projet'!$B$16,Paramètres!$A$1:$I$89,3,0)*0.475*44/12</f>
        <v>0</v>
      </c>
      <c r="FS25" s="21">
        <f>EXP(-LN(2)/2)*FS24+(1-EXP(-LN(2)/2))/(LN(2)/2)*FM25*FP25*VLOOKUP('Données projet'!$B$16,Paramètres!$A$1:$I$89,3,0)*0.475*44/12</f>
        <v>0</v>
      </c>
      <c r="FT25" s="22">
        <f t="shared" si="24"/>
        <v>0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1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15</v>
      </c>
      <c r="N26" s="13">
        <f>IF('Données projet'!$A$36&gt;35,N25+M26-V25,IF(A26&lt;'Données projet'!$A$36,$K$205^A26,IF(A26='Données projet'!$A$36,'Données projet'!$B$36,N25+M26-V25)))</f>
        <v>142</v>
      </c>
      <c r="O26" s="13">
        <f>N26*VLOOKUP('Données projet'!$B$9,Paramètres!$A$1:$I$89,3,0)*VLOOKUP('Données projet'!$B$9,Paramètres!$A$1:$I$89,5,0)</f>
        <v>84.916000000000011</v>
      </c>
      <c r="P26" s="13">
        <f t="shared" si="33"/>
        <v>23.33496813320572</v>
      </c>
      <c r="Q26" s="20">
        <f t="shared" si="2"/>
        <v>188.53710283199996</v>
      </c>
      <c r="R26" s="59">
        <f t="shared" si="0"/>
        <v>481.87043616533327</v>
      </c>
      <c r="S26" s="59">
        <f ca="1">AVERAGE(OFFSET($R$3,0,0,'Données projet'!$E$9+1,1))-AVERAGE(OFFSET($H$3,0,0,'Données projet'!$E$9+1,1))</f>
        <v>186.90544184210381</v>
      </c>
      <c r="T26" s="59">
        <f t="shared" si="34"/>
        <v>202.05988514450519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1.4801037522936684</v>
      </c>
      <c r="AA26" s="21">
        <f>EXP(-LN(2)/25)*AA25+(1-EXP(-LN(2)/25))/(LN(2)/25)*Calculateur!V26*Calculateur!X26*VLOOKUP('Données projet'!$B$9,Paramètres!$A$1:$I$89,3,0)*0.475*44/12</f>
        <v>5.075655707141931</v>
      </c>
      <c r="AB26" s="21">
        <f>EXP(-LN(2)/2)*AB25+(1-EXP(-LN(2)/2))/(LN(2)/2)*V26*Y26*VLOOKUP('Données projet'!$B$9,Paramètres!$A$1:$I$89,3,0)*0.475*44/12</f>
        <v>2.555404253787664</v>
      </c>
      <c r="AC26" s="22">
        <f t="shared" si="3"/>
        <v>9.111163713223263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15</v>
      </c>
      <c r="AI26" s="13">
        <f>IF('Données projet'!$A$62&gt;35,AI25+AH26-AQ25,IF(A26&lt;'Données projet'!$A$62,$AF$205^A26,IF(A26='Données projet'!$A$62,'Données projet'!$B$62,AI25+AH26-AQ25)))</f>
        <v>142</v>
      </c>
      <c r="AJ26" s="13">
        <f>AI26*VLOOKUP('Données projet'!$B$10,Paramètres!$A$1:$I$89,3,0)*VLOOKUP('Données projet'!$B$10,Paramètres!$A$1:$I$89,5,0)</f>
        <v>84.916000000000011</v>
      </c>
      <c r="AK26" s="13">
        <f t="shared" si="35"/>
        <v>23.33496813320572</v>
      </c>
      <c r="AL26" s="20">
        <f t="shared" si="4"/>
        <v>188.53710283199996</v>
      </c>
      <c r="AM26" s="59">
        <f t="shared" si="5"/>
        <v>481.87043616533327</v>
      </c>
      <c r="AN26" s="59">
        <f ca="1">AVERAGE(OFFSET($AM$3,0,0,'Données projet'!$E$10+1,1))-AVERAGE(OFFSET($H$3,0,0,'Données projet'!$E$10+1,1))</f>
        <v>186.90544184210381</v>
      </c>
      <c r="AO26" s="59">
        <f t="shared" si="36"/>
        <v>202.05988514450519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1.4801037522936684</v>
      </c>
      <c r="AV26" s="21">
        <f>EXP(-LN(2)/25)*AV25+(1-EXP(-LN(2)/25))/(LN(2)/25)*Calculateur!AQ26*Calculateur!AS26*VLOOKUP('Données projet'!$B$10,Paramètres!$A$1:$I$89,3,0)*0.475*44/12</f>
        <v>5.075655707141931</v>
      </c>
      <c r="AW26" s="21">
        <f>EXP(-LN(2)/2)*AW25+(1-EXP(-LN(2)/2))/(LN(2)/2)*AQ26*AT26*VLOOKUP('Données projet'!$B$10,Paramètres!$A$1:$I$89,3,0)*0.475*44/12</f>
        <v>2.555404253787664</v>
      </c>
      <c r="AX26" s="21">
        <f t="shared" si="6"/>
        <v>9.111163713223263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3.8</v>
      </c>
      <c r="BD26" s="12">
        <f>IF('Données projet'!$A$88&gt;35,BD25+BC26-BL25,IF(A26&lt;'Données projet'!$A$88,$BA$205^A26,IF(A26='Données projet'!$A$88,'Données projet'!$B$88,BD25+BC26-BL25)))</f>
        <v>49.399999999999991</v>
      </c>
      <c r="BE26" s="13">
        <f>BD26*VLOOKUP('Données projet'!$B$11,Paramètres!$A$1:$I$89,3,0)*VLOOKUP('Données projet'!$B$11,Paramètres!$A$1:$I$89,5,0)</f>
        <v>40.073279999999997</v>
      </c>
      <c r="BF26" s="13">
        <f t="shared" si="37"/>
        <v>12.018067709266933</v>
      </c>
      <c r="BG26" s="20">
        <f t="shared" si="7"/>
        <v>90.725763926973229</v>
      </c>
      <c r="BH26" s="59">
        <f t="shared" si="8"/>
        <v>384.05909726030654</v>
      </c>
      <c r="BI26" s="59">
        <f ca="1">AVERAGE(OFFSET($BH$3,0,0,'Données projet'!$E$11+1,1))-AVERAGE(OFFSET($H$3,0,0,'Données projet'!$E$11+1,1))</f>
        <v>5.8584049049231908</v>
      </c>
      <c r="BJ26" s="59">
        <f t="shared" si="38"/>
        <v>42.266833200216638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>
        <f>BY26*VLOOKUP('Données projet'!$B$12,Paramètres!$A$1:$I$89,3,0)*VLOOKUP('Données projet'!$B$12,Paramètres!$A$1:$I$89,5,0)</f>
        <v>0</v>
      </c>
      <c r="CA26" s="13" t="e">
        <f t="shared" si="39"/>
        <v>#NUM!</v>
      </c>
      <c r="CB26" s="20" t="e">
        <f t="shared" si="10"/>
        <v>#NUM!</v>
      </c>
      <c r="CC26" s="59" t="e">
        <f t="shared" si="11"/>
        <v>#NUM!</v>
      </c>
      <c r="CD26" s="59">
        <f ca="1">AVERAGE(OFFSET($CC$3,0,0,'Données projet'!$E$12+1,1))-AVERAGE(OFFSET($H$3,0,0,'Données projet'!$E$12+1,1))</f>
        <v>0</v>
      </c>
      <c r="CE26" s="59">
        <f t="shared" si="40"/>
        <v>0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>
        <f>CT26*VLOOKUP('Données projet'!$B$13,Paramètres!$A$1:$I$89,3,0)*VLOOKUP('Données projet'!$B$13,Paramètres!$A$1:$I$89,5,0)</f>
        <v>0</v>
      </c>
      <c r="CV26" s="13" t="e">
        <f t="shared" si="41"/>
        <v>#NUM!</v>
      </c>
      <c r="CW26" s="20" t="e">
        <f t="shared" si="13"/>
        <v>#NUM!</v>
      </c>
      <c r="CX26" s="59" t="e">
        <f t="shared" si="14"/>
        <v>#NUM!</v>
      </c>
      <c r="CY26" s="59">
        <f ca="1">AVERAGE(OFFSET($CX$3,0,0,'Données projet'!$E$13+1,1))-AVERAGE(OFFSET($H$3,0,0,'Données projet'!$E$13+1,1))</f>
        <v>0</v>
      </c>
      <c r="CZ26" s="59">
        <f t="shared" si="42"/>
        <v>0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>
        <f>DO26*VLOOKUP('Données projet'!$B$14,Paramètres!$A$1:$I$89,3,0)*VLOOKUP('Données projet'!$B$14,Paramètres!$A$1:$I$89,5,0)</f>
        <v>0</v>
      </c>
      <c r="DQ26" s="13" t="e">
        <f t="shared" si="43"/>
        <v>#NUM!</v>
      </c>
      <c r="DR26" s="20" t="e">
        <f t="shared" si="16"/>
        <v>#NUM!</v>
      </c>
      <c r="DS26" s="59" t="e">
        <f t="shared" si="17"/>
        <v>#NUM!</v>
      </c>
      <c r="DT26" s="59">
        <f ca="1">AVERAGE(OFFSET($DS$3,0,0,'Données projet'!$E$14+1,1))-AVERAGE(OFFSET($H$3,0,0,'Données projet'!$E$14+1,1))</f>
        <v>0</v>
      </c>
      <c r="DU26" s="59">
        <f t="shared" si="44"/>
        <v>0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>
        <f>EJ26*VLOOKUP('Données projet'!$B$15,Paramètres!$A$1:$I$89,3,0)*VLOOKUP('Données projet'!$B$15,Paramètres!$A$1:$I$89,5,0)</f>
        <v>0</v>
      </c>
      <c r="EL26" s="13" t="e">
        <f t="shared" si="45"/>
        <v>#NUM!</v>
      </c>
      <c r="EM26" s="20" t="e">
        <f t="shared" si="19"/>
        <v>#NUM!</v>
      </c>
      <c r="EN26" s="59" t="e">
        <f t="shared" si="20"/>
        <v>#NUM!</v>
      </c>
      <c r="EO26" s="59">
        <f ca="1">AVERAGE(OFFSET($EN$3,0,0,'Données projet'!$E$15+1,1))-AVERAGE(OFFSET($H$3,0,0,'Données projet'!$E$15+1,1))</f>
        <v>0</v>
      </c>
      <c r="EP26" s="59">
        <f t="shared" si="46"/>
        <v>0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0</v>
      </c>
      <c r="EX26" s="21">
        <f>EXP(-LN(2)/2)*EX25+(1-EXP(-LN(2)/2))/(LN(2)/2)*ER26*EU26*VLOOKUP('Données projet'!$B$15,Paramètres!$A$1:$I$89,3,0)*0.475*44/12</f>
        <v>0</v>
      </c>
      <c r="EY26" s="22">
        <f t="shared" si="21"/>
        <v>0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>
        <f>FE26*VLOOKUP('Données projet'!$B$16,Paramètres!$A$1:$I$89,3,0)*VLOOKUP('Données projet'!$B$16,Paramètres!$A$1:$I$89,5,0)</f>
        <v>0</v>
      </c>
      <c r="FG26" s="13" t="e">
        <f t="shared" si="47"/>
        <v>#NUM!</v>
      </c>
      <c r="FH26" s="20" t="e">
        <f t="shared" si="22"/>
        <v>#NUM!</v>
      </c>
      <c r="FI26" s="59" t="e">
        <f t="shared" si="23"/>
        <v>#NUM!</v>
      </c>
      <c r="FJ26" s="59">
        <f ca="1">AVERAGE(OFFSET($FI$3,0,0,'Données projet'!$E$16+1,1))-AVERAGE(OFFSET($H$3,0,0,'Données projet'!$E$16+1,1))</f>
        <v>0</v>
      </c>
      <c r="FK26" s="59">
        <f t="shared" si="48"/>
        <v>0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>
        <f>EXP(-LN(2)/35)*FQ25+(1-EXP(-LN(2)/35))/(LN(2)/35)*FM26*FN26*VLOOKUP('Données projet'!$B$16,Paramètres!$A$1:$I$89,3,0)*0.475*44/12</f>
        <v>0</v>
      </c>
      <c r="FR26" s="21">
        <f>EXP(-LN(2)/25)*FR25+(1-EXP(-LN(2)/25))/(LN(2)/25)*Calculateur!FM26*Calculateur!FO26*VLOOKUP('Données projet'!$B$16,Paramètres!$A$1:$I$89,3,0)*0.475*44/12</f>
        <v>0</v>
      </c>
      <c r="FS26" s="21">
        <f>EXP(-LN(2)/2)*FS25+(1-EXP(-LN(2)/2))/(LN(2)/2)*FM26*FP26*VLOOKUP('Données projet'!$B$16,Paramètres!$A$1:$I$89,3,0)*0.475*44/12</f>
        <v>0</v>
      </c>
      <c r="FT26" s="22">
        <f t="shared" si="24"/>
        <v>0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1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157</v>
      </c>
      <c r="L27" s="12">
        <f>VLOOKUP(A27,'Données projet'!$A$35:$I$55,9,0)</f>
        <v>15</v>
      </c>
      <c r="M27" s="12">
        <f t="array" ref="M27">INDEX(L:L,MIN(IF(ISNUMBER(L27:L223),ROW(L27:L223),"")))</f>
        <v>15</v>
      </c>
      <c r="N27" s="13">
        <f>IF('Données projet'!$A$36&gt;35,N26+M27-V26,IF(A27&lt;'Données projet'!$A$36,$K$205^A27,IF(A27='Données projet'!$A$36,'Données projet'!$B$36,N26+M27-V26)))</f>
        <v>157</v>
      </c>
      <c r="O27" s="13">
        <f>N27*VLOOKUP('Données projet'!$B$9,Paramètres!$A$1:$I$89,3,0)*VLOOKUP('Données projet'!$B$9,Paramètres!$A$1:$I$89,5,0)</f>
        <v>93.885999999999996</v>
      </c>
      <c r="P27" s="13">
        <f t="shared" si="33"/>
        <v>25.500116461916402</v>
      </c>
      <c r="Q27" s="20">
        <f t="shared" si="2"/>
        <v>207.9308195045044</v>
      </c>
      <c r="R27" s="59">
        <f t="shared" si="0"/>
        <v>501.26415283783774</v>
      </c>
      <c r="S27" s="59">
        <f ca="1">AVERAGE(OFFSET($R$3,0,0,'Données projet'!$E$9+1,1))-AVERAGE(OFFSET($H$3,0,0,'Données projet'!$E$9+1,1))</f>
        <v>186.90544184210381</v>
      </c>
      <c r="T27" s="59">
        <f t="shared" si="34"/>
        <v>202.05988514450519</v>
      </c>
      <c r="U27" s="15">
        <f>IF(ISNA(VLOOKUP(A27,'Données projet'!$A$35:$I$55,3,0)),0,VLOOKUP(A27,'Données projet'!$A$35:$I$55,3,0))</f>
        <v>3</v>
      </c>
      <c r="V27" s="15">
        <f>IF(ISNA(VLOOKUP(A27,'Données projet'!$A$35:$I$55,4,0)),0,VLOOKUP(A27,'Données projet'!$A$35:$I$55,4,0))</f>
        <v>31</v>
      </c>
      <c r="W27" s="16">
        <f>IF(ISNA(VLOOKUP(A27,'Données projet'!$A$35:$I$55,5,0)),0%,VLOOKUP(A27,'Données projet'!$A$35:$I$55,5,0)*VLOOKUP('Données projet'!$B$9,Paramètres!$A$1:$I$89,7,0))</f>
        <v>0.13500000000000001</v>
      </c>
      <c r="X27" s="16">
        <f>IF(ISNA(VLOOKUP(A27,'Données projet'!$A$35:$I$55,6,0)),0%,VLOOKUP(A27,'Données projet'!$A$35:$I$55,6,0)*VLOOKUP('Données projet'!$B$9,Paramètres!$A$1:$I$89,7,0))</f>
        <v>0.1575</v>
      </c>
      <c r="Y27" s="16">
        <f>IF(ISNA(VLOOKUP(A27,'Données projet'!$A$35:$I$55,7,0)),0%,VLOOKUP(A27,'Données projet'!$A$35:$I$55,7,0))</f>
        <v>0.35</v>
      </c>
      <c r="Z27" s="21">
        <f>EXP(-LN(2)/35)*Z26+(1-EXP(-LN(2)/35))/(LN(2)/35)*V27*W27*VLOOKUP('Données projet'!$B$9,Paramètres!$A$1:$I$89,3,0)*0.475*44/12</f>
        <v>4.7709798236019942</v>
      </c>
      <c r="AA27" s="21">
        <f>EXP(-LN(2)/25)*AA26+(1-EXP(-LN(2)/25))/(LN(2)/25)*Calculateur!V27*Calculateur!X27*VLOOKUP('Données projet'!$B$9,Paramètres!$A$1:$I$89,3,0)*0.475*44/12</f>
        <v>8.7948279753735328</v>
      </c>
      <c r="AB27" s="21">
        <f>EXP(-LN(2)/2)*AB26+(1-EXP(-LN(2)/2))/(LN(2)/2)*V27*Y27*VLOOKUP('Données projet'!$B$9,Paramètres!$A$1:$I$89,3,0)*0.475*44/12</f>
        <v>9.1532064925671754</v>
      </c>
      <c r="AC27" s="22">
        <f t="shared" si="3"/>
        <v>22.719014291542702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157</v>
      </c>
      <c r="AG27" s="12">
        <f>VLOOKUP(A27,'Données projet'!$A$61:$I$81,9,0)</f>
        <v>15</v>
      </c>
      <c r="AH27" s="12">
        <f t="array" ref="AH27">INDEX(AG:AG,MIN(IF(ISNUMBER(AG27:AG223),ROW(AG27:AG223),"")))</f>
        <v>15</v>
      </c>
      <c r="AI27" s="13">
        <f>IF('Données projet'!$A$62&gt;35,AI26+AH27-AQ26,IF(A27&lt;'Données projet'!$A$62,$AF$205^A27,IF(A27='Données projet'!$A$62,'Données projet'!$B$62,AI26+AH27-AQ26)))</f>
        <v>157</v>
      </c>
      <c r="AJ27" s="13">
        <f>AI27*VLOOKUP('Données projet'!$B$10,Paramètres!$A$1:$I$89,3,0)*VLOOKUP('Données projet'!$B$10,Paramètres!$A$1:$I$89,5,0)</f>
        <v>93.885999999999996</v>
      </c>
      <c r="AK27" s="13">
        <f t="shared" si="35"/>
        <v>25.500116461916402</v>
      </c>
      <c r="AL27" s="20">
        <f t="shared" si="4"/>
        <v>207.9308195045044</v>
      </c>
      <c r="AM27" s="59">
        <f t="shared" si="5"/>
        <v>501.26415283783774</v>
      </c>
      <c r="AN27" s="59">
        <f ca="1">AVERAGE(OFFSET($AM$3,0,0,'Données projet'!$E$10+1,1))-AVERAGE(OFFSET($H$3,0,0,'Données projet'!$E$10+1,1))</f>
        <v>186.90544184210381</v>
      </c>
      <c r="AO27" s="59">
        <f t="shared" si="36"/>
        <v>202.05988514450519</v>
      </c>
      <c r="AP27" s="15">
        <f>IF(ISNA(VLOOKUP(A27,'Données projet'!$A$61:$I$81,3,0)),0,VLOOKUP(A27,'Données projet'!$A$61:$I$81,3,0))</f>
        <v>3</v>
      </c>
      <c r="AQ27" s="15">
        <f>IF(ISNA(VLOOKUP(A27,'Données projet'!$A$61:$I$81,4,0)),0,VLOOKUP(A27,'Données projet'!$A$61:$I$81,4,0))</f>
        <v>31</v>
      </c>
      <c r="AR27" s="16">
        <f>IF(ISNA(VLOOKUP(A27,'Données projet'!$A$61:$I$81,5,0)),0%,VLOOKUP(A27,'Données projet'!$A$61:$I$81,5,0)*VLOOKUP('Données projet'!$B$10,Paramètres!$A$1:$I$89,7,0))</f>
        <v>0.13500000000000001</v>
      </c>
      <c r="AS27" s="16">
        <f>IF(ISNA(VLOOKUP(A27,'Données projet'!$A$61:$I$81,6,0)),0%,VLOOKUP(A27,'Données projet'!$A$61:$I$81,6,0)*VLOOKUP('Données projet'!$B$10,Paramètres!$A$1:$I$89,7,0))</f>
        <v>0.1575</v>
      </c>
      <c r="AT27" s="16">
        <f>IF(ISNA(VLOOKUP(A27,'Données projet'!$A$61:$I$81,7,0)),0%,VLOOKUP(A27,'Données projet'!$A$61:$I$81,7,0))</f>
        <v>0.35</v>
      </c>
      <c r="AU27" s="21">
        <f>EXP(-LN(2)/35)*AU26+(1-EXP(-LN(2)/35))/(LN(2)/35)*AQ27*AR27*VLOOKUP('Données projet'!$B$10,Paramètres!$A$1:$I$89,3,0)*0.475*44/12</f>
        <v>4.7709798236019942</v>
      </c>
      <c r="AV27" s="21">
        <f>EXP(-LN(2)/25)*AV26+(1-EXP(-LN(2)/25))/(LN(2)/25)*Calculateur!AQ27*Calculateur!AS27*VLOOKUP('Données projet'!$B$10,Paramètres!$A$1:$I$89,3,0)*0.475*44/12</f>
        <v>8.7948279753735328</v>
      </c>
      <c r="AW27" s="21">
        <f>EXP(-LN(2)/2)*AW26+(1-EXP(-LN(2)/2))/(LN(2)/2)*AQ27*AT27*VLOOKUP('Données projet'!$B$10,Paramètres!$A$1:$I$89,3,0)*0.475*44/12</f>
        <v>9.1532064925671754</v>
      </c>
      <c r="AX27" s="21">
        <f t="shared" si="6"/>
        <v>22.719014291542702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3.8</v>
      </c>
      <c r="BD27" s="12">
        <f>IF('Données projet'!$A$88&gt;35,BD26+BC27-BL26,IF(A27&lt;'Données projet'!$A$88,$BA$205^A27,IF(A27='Données projet'!$A$88,'Données projet'!$B$88,BD26+BC27-BL26)))</f>
        <v>53.199999999999989</v>
      </c>
      <c r="BE27" s="13">
        <f>BD27*VLOOKUP('Données projet'!$B$11,Paramètres!$A$1:$I$89,3,0)*VLOOKUP('Données projet'!$B$11,Paramètres!$A$1:$I$89,5,0)</f>
        <v>43.155839999999991</v>
      </c>
      <c r="BF27" s="13">
        <f t="shared" si="37"/>
        <v>12.831370130493596</v>
      </c>
      <c r="BG27" s="20">
        <f t="shared" si="7"/>
        <v>97.511057643942991</v>
      </c>
      <c r="BH27" s="59">
        <f t="shared" si="8"/>
        <v>390.8443909772763</v>
      </c>
      <c r="BI27" s="59">
        <f ca="1">AVERAGE(OFFSET($BH$3,0,0,'Données projet'!$E$11+1,1))-AVERAGE(OFFSET($H$3,0,0,'Données projet'!$E$11+1,1))</f>
        <v>5.8584049049231908</v>
      </c>
      <c r="BJ27" s="59">
        <f t="shared" si="38"/>
        <v>42.266833200216638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>
        <f>BY27*VLOOKUP('Données projet'!$B$12,Paramètres!$A$1:$I$89,3,0)*VLOOKUP('Données projet'!$B$12,Paramètres!$A$1:$I$89,5,0)</f>
        <v>0</v>
      </c>
      <c r="CA27" s="13" t="e">
        <f t="shared" si="39"/>
        <v>#NUM!</v>
      </c>
      <c r="CB27" s="20" t="e">
        <f t="shared" si="10"/>
        <v>#NUM!</v>
      </c>
      <c r="CC27" s="59" t="e">
        <f t="shared" si="11"/>
        <v>#NUM!</v>
      </c>
      <c r="CD27" s="59">
        <f ca="1">AVERAGE(OFFSET($CC$3,0,0,'Données projet'!$E$12+1,1))-AVERAGE(OFFSET($H$3,0,0,'Données projet'!$E$12+1,1))</f>
        <v>0</v>
      </c>
      <c r="CE27" s="59">
        <f t="shared" si="40"/>
        <v>0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>
        <f>CT27*VLOOKUP('Données projet'!$B$13,Paramètres!$A$1:$I$89,3,0)*VLOOKUP('Données projet'!$B$13,Paramètres!$A$1:$I$89,5,0)</f>
        <v>0</v>
      </c>
      <c r="CV27" s="13" t="e">
        <f t="shared" si="41"/>
        <v>#NUM!</v>
      </c>
      <c r="CW27" s="20" t="e">
        <f t="shared" si="13"/>
        <v>#NUM!</v>
      </c>
      <c r="CX27" s="59" t="e">
        <f t="shared" si="14"/>
        <v>#NUM!</v>
      </c>
      <c r="CY27" s="59">
        <f ca="1">AVERAGE(OFFSET($CX$3,0,0,'Données projet'!$E$13+1,1))-AVERAGE(OFFSET($H$3,0,0,'Données projet'!$E$13+1,1))</f>
        <v>0</v>
      </c>
      <c r="CZ27" s="59">
        <f t="shared" si="42"/>
        <v>0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>
        <f>DO27*VLOOKUP('Données projet'!$B$14,Paramètres!$A$1:$I$89,3,0)*VLOOKUP('Données projet'!$B$14,Paramètres!$A$1:$I$89,5,0)</f>
        <v>0</v>
      </c>
      <c r="DQ27" s="13" t="e">
        <f t="shared" si="43"/>
        <v>#NUM!</v>
      </c>
      <c r="DR27" s="20" t="e">
        <f t="shared" si="16"/>
        <v>#NUM!</v>
      </c>
      <c r="DS27" s="59" t="e">
        <f t="shared" si="17"/>
        <v>#NUM!</v>
      </c>
      <c r="DT27" s="59">
        <f ca="1">AVERAGE(OFFSET($DS$3,0,0,'Données projet'!$E$14+1,1))-AVERAGE(OFFSET($H$3,0,0,'Données projet'!$E$14+1,1))</f>
        <v>0</v>
      </c>
      <c r="DU27" s="59">
        <f t="shared" si="44"/>
        <v>0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>
        <f>EJ27*VLOOKUP('Données projet'!$B$15,Paramètres!$A$1:$I$89,3,0)*VLOOKUP('Données projet'!$B$15,Paramètres!$A$1:$I$89,5,0)</f>
        <v>0</v>
      </c>
      <c r="EL27" s="13" t="e">
        <f t="shared" si="45"/>
        <v>#NUM!</v>
      </c>
      <c r="EM27" s="20" t="e">
        <f t="shared" si="19"/>
        <v>#NUM!</v>
      </c>
      <c r="EN27" s="59" t="e">
        <f t="shared" si="20"/>
        <v>#NUM!</v>
      </c>
      <c r="EO27" s="59">
        <f ca="1">AVERAGE(OFFSET($EN$3,0,0,'Données projet'!$E$15+1,1))-AVERAGE(OFFSET($H$3,0,0,'Données projet'!$E$15+1,1))</f>
        <v>0</v>
      </c>
      <c r="EP27" s="59">
        <f t="shared" si="46"/>
        <v>0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0</v>
      </c>
      <c r="EX27" s="21">
        <f>EXP(-LN(2)/2)*EX26+(1-EXP(-LN(2)/2))/(LN(2)/2)*ER27*EU27*VLOOKUP('Données projet'!$B$15,Paramètres!$A$1:$I$89,3,0)*0.475*44/12</f>
        <v>0</v>
      </c>
      <c r="EY27" s="22">
        <f t="shared" si="21"/>
        <v>0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>
        <f>FE27*VLOOKUP('Données projet'!$B$16,Paramètres!$A$1:$I$89,3,0)*VLOOKUP('Données projet'!$B$16,Paramètres!$A$1:$I$89,5,0)</f>
        <v>0</v>
      </c>
      <c r="FG27" s="13" t="e">
        <f t="shared" si="47"/>
        <v>#NUM!</v>
      </c>
      <c r="FH27" s="20" t="e">
        <f t="shared" si="22"/>
        <v>#NUM!</v>
      </c>
      <c r="FI27" s="59" t="e">
        <f t="shared" si="23"/>
        <v>#NUM!</v>
      </c>
      <c r="FJ27" s="59">
        <f ca="1">AVERAGE(OFFSET($FI$3,0,0,'Données projet'!$E$16+1,1))-AVERAGE(OFFSET($H$3,0,0,'Données projet'!$E$16+1,1))</f>
        <v>0</v>
      </c>
      <c r="FK27" s="59">
        <f t="shared" si="48"/>
        <v>0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>
        <f>EXP(-LN(2)/35)*FQ26+(1-EXP(-LN(2)/35))/(LN(2)/35)*FM27*FN27*VLOOKUP('Données projet'!$B$16,Paramètres!$A$1:$I$89,3,0)*0.475*44/12</f>
        <v>0</v>
      </c>
      <c r="FR27" s="21">
        <f>EXP(-LN(2)/25)*FR26+(1-EXP(-LN(2)/25))/(LN(2)/25)*Calculateur!FM27*Calculateur!FO27*VLOOKUP('Données projet'!$B$16,Paramètres!$A$1:$I$89,3,0)*0.475*44/12</f>
        <v>0</v>
      </c>
      <c r="FS27" s="21">
        <f>EXP(-LN(2)/2)*FS26+(1-EXP(-LN(2)/2))/(LN(2)/2)*FM27*FP27*VLOOKUP('Données projet'!$B$16,Paramètres!$A$1:$I$89,3,0)*0.475*44/12</f>
        <v>0</v>
      </c>
      <c r="FT27" s="22">
        <f t="shared" si="24"/>
        <v>0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1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</v>
      </c>
      <c r="N28" s="13">
        <f>IF('Données projet'!$A$36&gt;35,N27+M28-V27,IF(A28&lt;'Données projet'!$A$36,$K$205^A28,IF(A28='Données projet'!$A$36,'Données projet'!$B$36,N27+M28-V27)))</f>
        <v>142</v>
      </c>
      <c r="O28" s="13">
        <f>N28*VLOOKUP('Données projet'!$B$9,Paramètres!$A$1:$I$89,3,0)*VLOOKUP('Données projet'!$B$9,Paramètres!$A$1:$I$89,5,0)</f>
        <v>84.916000000000011</v>
      </c>
      <c r="P28" s="13">
        <f t="shared" si="33"/>
        <v>23.33496813320572</v>
      </c>
      <c r="Q28" s="20">
        <f t="shared" si="2"/>
        <v>188.53710283199996</v>
      </c>
      <c r="R28" s="59">
        <f t="shared" si="0"/>
        <v>481.87043616533327</v>
      </c>
      <c r="S28" s="59">
        <f ca="1">AVERAGE(OFFSET($R$3,0,0,'Données projet'!$E$9+1,1))-AVERAGE(OFFSET($H$3,0,0,'Données projet'!$E$9+1,1))</f>
        <v>186.90544184210381</v>
      </c>
      <c r="T28" s="59">
        <f t="shared" si="34"/>
        <v>202.05988514450519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4.6774238192715121</v>
      </c>
      <c r="AA28" s="21">
        <f>EXP(-LN(2)/25)*AA27+(1-EXP(-LN(2)/25))/(LN(2)/25)*Calculateur!V28*Calculateur!X28*VLOOKUP('Données projet'!$B$9,Paramètres!$A$1:$I$89,3,0)*0.475*44/12</f>
        <v>8.5543329418870417</v>
      </c>
      <c r="AB28" s="21">
        <f>EXP(-LN(2)/2)*AB27+(1-EXP(-LN(2)/2))/(LN(2)/2)*V28*Y28*VLOOKUP('Données projet'!$B$9,Paramètres!$A$1:$I$89,3,0)*0.475*44/12</f>
        <v>6.4722943804949846</v>
      </c>
      <c r="AC28" s="22">
        <f t="shared" si="3"/>
        <v>19.704051141653537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</v>
      </c>
      <c r="AI28" s="13">
        <f>IF('Données projet'!$A$62&gt;35,AI27+AH28-AQ27,IF(A28&lt;'Données projet'!$A$62,$AF$205^A28,IF(A28='Données projet'!$A$62,'Données projet'!$B$62,AI27+AH28-AQ27)))</f>
        <v>142</v>
      </c>
      <c r="AJ28" s="13">
        <f>AI28*VLOOKUP('Données projet'!$B$10,Paramètres!$A$1:$I$89,3,0)*VLOOKUP('Données projet'!$B$10,Paramètres!$A$1:$I$89,5,0)</f>
        <v>84.916000000000011</v>
      </c>
      <c r="AK28" s="13">
        <f t="shared" si="35"/>
        <v>23.33496813320572</v>
      </c>
      <c r="AL28" s="20">
        <f t="shared" si="4"/>
        <v>188.53710283199996</v>
      </c>
      <c r="AM28" s="59">
        <f t="shared" si="5"/>
        <v>481.87043616533327</v>
      </c>
      <c r="AN28" s="59">
        <f ca="1">AVERAGE(OFFSET($AM$3,0,0,'Données projet'!$E$10+1,1))-AVERAGE(OFFSET($H$3,0,0,'Données projet'!$E$10+1,1))</f>
        <v>186.90544184210381</v>
      </c>
      <c r="AO28" s="59">
        <f t="shared" si="36"/>
        <v>202.05988514450519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4.6774238192715121</v>
      </c>
      <c r="AV28" s="21">
        <f>EXP(-LN(2)/25)*AV27+(1-EXP(-LN(2)/25))/(LN(2)/25)*Calculateur!AQ28*Calculateur!AS28*VLOOKUP('Données projet'!$B$10,Paramètres!$A$1:$I$89,3,0)*0.475*44/12</f>
        <v>8.5543329418870417</v>
      </c>
      <c r="AW28" s="21">
        <f>EXP(-LN(2)/2)*AW27+(1-EXP(-LN(2)/2))/(LN(2)/2)*AQ28*AT28*VLOOKUP('Données projet'!$B$10,Paramètres!$A$1:$I$89,3,0)*0.475*44/12</f>
        <v>6.4722943804949846</v>
      </c>
      <c r="AX28" s="21">
        <f t="shared" si="6"/>
        <v>19.704051141653537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57</v>
      </c>
      <c r="BB28" s="12">
        <f>VLOOKUP(A28,'Données projet'!$A$87:$I$107,9,0)</f>
        <v>3.8</v>
      </c>
      <c r="BC28" s="12">
        <f t="array" ref="BC28">INDEX(BB:BB,MIN(IF(ISNUMBER(BB28:BB224),ROW(BB28:BB224),"")))</f>
        <v>3.8</v>
      </c>
      <c r="BD28" s="12">
        <f>IF('Données projet'!$A$88&gt;35,BD27+BC28-BL27,IF(A28&lt;'Données projet'!$A$88,$BA$205^A28,IF(A28='Données projet'!$A$88,'Données projet'!$B$88,BD27+BC28-BL27)))</f>
        <v>56.999999999999986</v>
      </c>
      <c r="BE28" s="13">
        <f>BD28*VLOOKUP('Données projet'!$B$11,Paramètres!$A$1:$I$89,3,0)*VLOOKUP('Données projet'!$B$11,Paramètres!$A$1:$I$89,5,0)</f>
        <v>46.238399999999992</v>
      </c>
      <c r="BF28" s="13">
        <f t="shared" si="37"/>
        <v>13.637932508790355</v>
      </c>
      <c r="BG28" s="20">
        <f t="shared" si="7"/>
        <v>104.28461245280984</v>
      </c>
      <c r="BH28" s="59">
        <f t="shared" si="8"/>
        <v>397.61794578614314</v>
      </c>
      <c r="BI28" s="59">
        <f ca="1">AVERAGE(OFFSET($BH$3,0,0,'Données projet'!$E$11+1,1))-AVERAGE(OFFSET($H$3,0,0,'Données projet'!$E$11+1,1))</f>
        <v>5.8584049049231908</v>
      </c>
      <c r="BJ28" s="59">
        <f t="shared" si="38"/>
        <v>42.266833200216638</v>
      </c>
      <c r="BK28" s="15">
        <f>IF(ISNA(VLOOKUP(A28,'Données projet'!$A$87:$I$107,3,0)),0,VLOOKUP(A28,'Données projet'!$A$87:$I$107,3,0))</f>
        <v>1</v>
      </c>
      <c r="BL28" s="15">
        <f>IF(ISNA(VLOOKUP(A28,'Données projet'!$A$87:$I$107,4,0)),0,VLOOKUP(A28,'Données projet'!$A$87:$I$107,4,0))</f>
        <v>11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1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8.4192793644068011</v>
      </c>
      <c r="BS28" s="22">
        <f t="shared" si="9"/>
        <v>8.4192793644068011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>
        <f>BY28*VLOOKUP('Données projet'!$B$12,Paramètres!$A$1:$I$89,3,0)*VLOOKUP('Données projet'!$B$12,Paramètres!$A$1:$I$89,5,0)</f>
        <v>0</v>
      </c>
      <c r="CA28" s="13" t="e">
        <f t="shared" si="39"/>
        <v>#NUM!</v>
      </c>
      <c r="CB28" s="20" t="e">
        <f t="shared" si="10"/>
        <v>#NUM!</v>
      </c>
      <c r="CC28" s="59" t="e">
        <f t="shared" si="11"/>
        <v>#NUM!</v>
      </c>
      <c r="CD28" s="59">
        <f ca="1">AVERAGE(OFFSET($CC$3,0,0,'Données projet'!$E$12+1,1))-AVERAGE(OFFSET($H$3,0,0,'Données projet'!$E$12+1,1))</f>
        <v>0</v>
      </c>
      <c r="CE28" s="59">
        <f t="shared" si="40"/>
        <v>0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>
        <f>CT28*VLOOKUP('Données projet'!$B$13,Paramètres!$A$1:$I$89,3,0)*VLOOKUP('Données projet'!$B$13,Paramètres!$A$1:$I$89,5,0)</f>
        <v>0</v>
      </c>
      <c r="CV28" s="13" t="e">
        <f t="shared" si="41"/>
        <v>#NUM!</v>
      </c>
      <c r="CW28" s="20" t="e">
        <f t="shared" si="13"/>
        <v>#NUM!</v>
      </c>
      <c r="CX28" s="59" t="e">
        <f t="shared" si="14"/>
        <v>#NUM!</v>
      </c>
      <c r="CY28" s="59">
        <f ca="1">AVERAGE(OFFSET($CX$3,0,0,'Données projet'!$E$13+1,1))-AVERAGE(OFFSET($H$3,0,0,'Données projet'!$E$13+1,1))</f>
        <v>0</v>
      </c>
      <c r="CZ28" s="59">
        <f t="shared" si="42"/>
        <v>0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>
        <f>DO28*VLOOKUP('Données projet'!$B$14,Paramètres!$A$1:$I$89,3,0)*VLOOKUP('Données projet'!$B$14,Paramètres!$A$1:$I$89,5,0)</f>
        <v>0</v>
      </c>
      <c r="DQ28" s="13" t="e">
        <f t="shared" si="43"/>
        <v>#NUM!</v>
      </c>
      <c r="DR28" s="20" t="e">
        <f t="shared" si="16"/>
        <v>#NUM!</v>
      </c>
      <c r="DS28" s="59" t="e">
        <f t="shared" si="17"/>
        <v>#NUM!</v>
      </c>
      <c r="DT28" s="59">
        <f ca="1">AVERAGE(OFFSET($DS$3,0,0,'Données projet'!$E$14+1,1))-AVERAGE(OFFSET($H$3,0,0,'Données projet'!$E$14+1,1))</f>
        <v>0</v>
      </c>
      <c r="DU28" s="59">
        <f t="shared" si="44"/>
        <v>0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>
        <f>EJ28*VLOOKUP('Données projet'!$B$15,Paramètres!$A$1:$I$89,3,0)*VLOOKUP('Données projet'!$B$15,Paramètres!$A$1:$I$89,5,0)</f>
        <v>0</v>
      </c>
      <c r="EL28" s="13" t="e">
        <f t="shared" si="45"/>
        <v>#NUM!</v>
      </c>
      <c r="EM28" s="20" t="e">
        <f t="shared" si="19"/>
        <v>#NUM!</v>
      </c>
      <c r="EN28" s="59" t="e">
        <f t="shared" si="20"/>
        <v>#NUM!</v>
      </c>
      <c r="EO28" s="59">
        <f ca="1">AVERAGE(OFFSET($EN$3,0,0,'Données projet'!$E$15+1,1))-AVERAGE(OFFSET($H$3,0,0,'Données projet'!$E$15+1,1))</f>
        <v>0</v>
      </c>
      <c r="EP28" s="59">
        <f t="shared" si="46"/>
        <v>0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0</v>
      </c>
      <c r="EX28" s="21">
        <f>EXP(-LN(2)/2)*EX27+(1-EXP(-LN(2)/2))/(LN(2)/2)*ER28*EU28*VLOOKUP('Données projet'!$B$15,Paramètres!$A$1:$I$89,3,0)*0.475*44/12</f>
        <v>0</v>
      </c>
      <c r="EY28" s="22">
        <f t="shared" si="21"/>
        <v>0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>
        <f>FE28*VLOOKUP('Données projet'!$B$16,Paramètres!$A$1:$I$89,3,0)*VLOOKUP('Données projet'!$B$16,Paramètres!$A$1:$I$89,5,0)</f>
        <v>0</v>
      </c>
      <c r="FG28" s="13" t="e">
        <f t="shared" si="47"/>
        <v>#NUM!</v>
      </c>
      <c r="FH28" s="20" t="e">
        <f t="shared" si="22"/>
        <v>#NUM!</v>
      </c>
      <c r="FI28" s="59" t="e">
        <f t="shared" si="23"/>
        <v>#NUM!</v>
      </c>
      <c r="FJ28" s="59">
        <f ca="1">AVERAGE(OFFSET($FI$3,0,0,'Données projet'!$E$16+1,1))-AVERAGE(OFFSET($H$3,0,0,'Données projet'!$E$16+1,1))</f>
        <v>0</v>
      </c>
      <c r="FK28" s="59">
        <f t="shared" si="48"/>
        <v>0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>
        <f>EXP(-LN(2)/35)*FQ27+(1-EXP(-LN(2)/35))/(LN(2)/35)*FM28*FN28*VLOOKUP('Données projet'!$B$16,Paramètres!$A$1:$I$89,3,0)*0.475*44/12</f>
        <v>0</v>
      </c>
      <c r="FR28" s="21">
        <f>EXP(-LN(2)/25)*FR27+(1-EXP(-LN(2)/25))/(LN(2)/25)*Calculateur!FM28*Calculateur!FO28*VLOOKUP('Données projet'!$B$16,Paramètres!$A$1:$I$89,3,0)*0.475*44/12</f>
        <v>0</v>
      </c>
      <c r="FS28" s="21">
        <f>EXP(-LN(2)/2)*FS27+(1-EXP(-LN(2)/2))/(LN(2)/2)*FM28*FP28*VLOOKUP('Données projet'!$B$16,Paramètres!$A$1:$I$89,3,0)*0.475*44/12</f>
        <v>0</v>
      </c>
      <c r="FT28" s="22">
        <f t="shared" si="24"/>
        <v>0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1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</v>
      </c>
      <c r="N29" s="13">
        <f>IF('Données projet'!$A$36&gt;35,N28+M29-V28,IF(A29&lt;'Données projet'!$A$36,$K$205^A29,IF(A29='Données projet'!$A$36,'Données projet'!$B$36,N28+M29-V28)))</f>
        <v>158</v>
      </c>
      <c r="O29" s="13">
        <f>N29*VLOOKUP('Données projet'!$B$9,Paramètres!$A$1:$I$89,3,0)*VLOOKUP('Données projet'!$B$9,Paramètres!$A$1:$I$89,5,0)</f>
        <v>94.484000000000009</v>
      </c>
      <c r="P29" s="13">
        <f t="shared" si="33"/>
        <v>25.643578691511802</v>
      </c>
      <c r="Q29" s="20">
        <f t="shared" si="2"/>
        <v>209.22219955438308</v>
      </c>
      <c r="R29" s="59">
        <f t="shared" si="0"/>
        <v>502.55553288771637</v>
      </c>
      <c r="S29" s="59">
        <f ca="1">AVERAGE(OFFSET($R$3,0,0,'Données projet'!$E$9+1,1))-AVERAGE(OFFSET($H$3,0,0,'Données projet'!$E$9+1,1))</f>
        <v>186.90544184210381</v>
      </c>
      <c r="T29" s="59">
        <f t="shared" si="34"/>
        <v>202.05988514450519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4.585702391122422</v>
      </c>
      <c r="AA29" s="21">
        <f>EXP(-LN(2)/25)*AA28+(1-EXP(-LN(2)/25))/(LN(2)/25)*Calculateur!V29*Calculateur!X29*VLOOKUP('Données projet'!$B$9,Paramètres!$A$1:$I$89,3,0)*0.475*44/12</f>
        <v>8.3204142577383227</v>
      </c>
      <c r="AB29" s="21">
        <f>EXP(-LN(2)/2)*AB28+(1-EXP(-LN(2)/2))/(LN(2)/2)*V29*Y29*VLOOKUP('Données projet'!$B$9,Paramètres!$A$1:$I$89,3,0)*0.475*44/12</f>
        <v>4.5766032462835886</v>
      </c>
      <c r="AC29" s="22">
        <f t="shared" si="3"/>
        <v>17.482719895144335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</v>
      </c>
      <c r="AI29" s="13">
        <f>IF('Données projet'!$A$62&gt;35,AI28+AH29-AQ28,IF(A29&lt;'Données projet'!$A$62,$AF$205^A29,IF(A29='Données projet'!$A$62,'Données projet'!$B$62,AI28+AH29-AQ28)))</f>
        <v>158</v>
      </c>
      <c r="AJ29" s="13">
        <f>AI29*VLOOKUP('Données projet'!$B$10,Paramètres!$A$1:$I$89,3,0)*VLOOKUP('Données projet'!$B$10,Paramètres!$A$1:$I$89,5,0)</f>
        <v>94.484000000000009</v>
      </c>
      <c r="AK29" s="13">
        <f t="shared" si="35"/>
        <v>25.643578691511802</v>
      </c>
      <c r="AL29" s="20">
        <f t="shared" si="4"/>
        <v>209.22219955438308</v>
      </c>
      <c r="AM29" s="59">
        <f t="shared" si="5"/>
        <v>502.55553288771637</v>
      </c>
      <c r="AN29" s="59">
        <f ca="1">AVERAGE(OFFSET($AM$3,0,0,'Données projet'!$E$10+1,1))-AVERAGE(OFFSET($H$3,0,0,'Données projet'!$E$10+1,1))</f>
        <v>186.90544184210381</v>
      </c>
      <c r="AO29" s="59">
        <f t="shared" si="36"/>
        <v>202.05988514450519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4.585702391122422</v>
      </c>
      <c r="AV29" s="21">
        <f>EXP(-LN(2)/25)*AV28+(1-EXP(-LN(2)/25))/(LN(2)/25)*Calculateur!AQ29*Calculateur!AS29*VLOOKUP('Données projet'!$B$10,Paramètres!$A$1:$I$89,3,0)*0.475*44/12</f>
        <v>8.3204142577383227</v>
      </c>
      <c r="AW29" s="21">
        <f>EXP(-LN(2)/2)*AW28+(1-EXP(-LN(2)/2))/(LN(2)/2)*AQ29*AT29*VLOOKUP('Données projet'!$B$10,Paramètres!$A$1:$I$89,3,0)*0.475*44/12</f>
        <v>4.5766032462835886</v>
      </c>
      <c r="AX29" s="21">
        <f t="shared" si="6"/>
        <v>17.482719895144335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3.6</v>
      </c>
      <c r="BD29" s="12">
        <f>IF('Données projet'!$A$88&gt;35,BD28+BC29-BL28,IF(A29&lt;'Données projet'!$A$88,$BA$205^A29,IF(A29='Données projet'!$A$88,'Données projet'!$B$88,BD28+BC29-BL28)))</f>
        <v>49.599999999999987</v>
      </c>
      <c r="BE29" s="13">
        <f>BD29*VLOOKUP('Données projet'!$B$11,Paramètres!$A$1:$I$89,3,0)*VLOOKUP('Données projet'!$B$11,Paramètres!$A$1:$I$89,5,0)</f>
        <v>40.235519999999994</v>
      </c>
      <c r="BF29" s="13">
        <f t="shared" si="37"/>
        <v>12.061050163607481</v>
      </c>
      <c r="BG29" s="20">
        <f t="shared" si="7"/>
        <v>91.083193034949701</v>
      </c>
      <c r="BH29" s="59">
        <f t="shared" si="8"/>
        <v>384.41652636828303</v>
      </c>
      <c r="BI29" s="59">
        <f ca="1">AVERAGE(OFFSET($BH$3,0,0,'Données projet'!$E$11+1,1))-AVERAGE(OFFSET($H$3,0,0,'Données projet'!$E$11+1,1))</f>
        <v>5.8584049049231908</v>
      </c>
      <c r="BJ29" s="59">
        <f t="shared" si="38"/>
        <v>42.266833200216638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5.9533295312760153</v>
      </c>
      <c r="BS29" s="22">
        <f t="shared" si="9"/>
        <v>5.9533295312760153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>
        <f>BY29*VLOOKUP('Données projet'!$B$12,Paramètres!$A$1:$I$89,3,0)*VLOOKUP('Données projet'!$B$12,Paramètres!$A$1:$I$89,5,0)</f>
        <v>0</v>
      </c>
      <c r="CA29" s="13" t="e">
        <f t="shared" si="39"/>
        <v>#NUM!</v>
      </c>
      <c r="CB29" s="20" t="e">
        <f t="shared" si="10"/>
        <v>#NUM!</v>
      </c>
      <c r="CC29" s="59" t="e">
        <f t="shared" si="11"/>
        <v>#NUM!</v>
      </c>
      <c r="CD29" s="59">
        <f ca="1">AVERAGE(OFFSET($CC$3,0,0,'Données projet'!$E$12+1,1))-AVERAGE(OFFSET($H$3,0,0,'Données projet'!$E$12+1,1))</f>
        <v>0</v>
      </c>
      <c r="CE29" s="59">
        <f t="shared" si="40"/>
        <v>0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>
        <f>CT29*VLOOKUP('Données projet'!$B$13,Paramètres!$A$1:$I$89,3,0)*VLOOKUP('Données projet'!$B$13,Paramètres!$A$1:$I$89,5,0)</f>
        <v>0</v>
      </c>
      <c r="CV29" s="13" t="e">
        <f t="shared" si="41"/>
        <v>#NUM!</v>
      </c>
      <c r="CW29" s="20" t="e">
        <f t="shared" si="13"/>
        <v>#NUM!</v>
      </c>
      <c r="CX29" s="59" t="e">
        <f t="shared" si="14"/>
        <v>#NUM!</v>
      </c>
      <c r="CY29" s="59">
        <f ca="1">AVERAGE(OFFSET($CX$3,0,0,'Données projet'!$E$13+1,1))-AVERAGE(OFFSET($H$3,0,0,'Données projet'!$E$13+1,1))</f>
        <v>0</v>
      </c>
      <c r="CZ29" s="59">
        <f t="shared" si="42"/>
        <v>0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>
        <f>DO29*VLOOKUP('Données projet'!$B$14,Paramètres!$A$1:$I$89,3,0)*VLOOKUP('Données projet'!$B$14,Paramètres!$A$1:$I$89,5,0)</f>
        <v>0</v>
      </c>
      <c r="DQ29" s="13" t="e">
        <f t="shared" si="43"/>
        <v>#NUM!</v>
      </c>
      <c r="DR29" s="20" t="e">
        <f t="shared" si="16"/>
        <v>#NUM!</v>
      </c>
      <c r="DS29" s="59" t="e">
        <f t="shared" si="17"/>
        <v>#NUM!</v>
      </c>
      <c r="DT29" s="59">
        <f ca="1">AVERAGE(OFFSET($DS$3,0,0,'Données projet'!$E$14+1,1))-AVERAGE(OFFSET($H$3,0,0,'Données projet'!$E$14+1,1))</f>
        <v>0</v>
      </c>
      <c r="DU29" s="59">
        <f t="shared" si="44"/>
        <v>0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>
        <f>EJ29*VLOOKUP('Données projet'!$B$15,Paramètres!$A$1:$I$89,3,0)*VLOOKUP('Données projet'!$B$15,Paramètres!$A$1:$I$89,5,0)</f>
        <v>0</v>
      </c>
      <c r="EL29" s="13" t="e">
        <f t="shared" si="45"/>
        <v>#NUM!</v>
      </c>
      <c r="EM29" s="20" t="e">
        <f t="shared" si="19"/>
        <v>#NUM!</v>
      </c>
      <c r="EN29" s="59" t="e">
        <f t="shared" si="20"/>
        <v>#NUM!</v>
      </c>
      <c r="EO29" s="59">
        <f ca="1">AVERAGE(OFFSET($EN$3,0,0,'Données projet'!$E$15+1,1))-AVERAGE(OFFSET($H$3,0,0,'Données projet'!$E$15+1,1))</f>
        <v>0</v>
      </c>
      <c r="EP29" s="59">
        <f t="shared" si="46"/>
        <v>0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0</v>
      </c>
      <c r="EX29" s="21">
        <f>EXP(-LN(2)/2)*EX28+(1-EXP(-LN(2)/2))/(LN(2)/2)*ER29*EU29*VLOOKUP('Données projet'!$B$15,Paramètres!$A$1:$I$89,3,0)*0.475*44/12</f>
        <v>0</v>
      </c>
      <c r="EY29" s="22">
        <f t="shared" si="21"/>
        <v>0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>
        <f>FE29*VLOOKUP('Données projet'!$B$16,Paramètres!$A$1:$I$89,3,0)*VLOOKUP('Données projet'!$B$16,Paramètres!$A$1:$I$89,5,0)</f>
        <v>0</v>
      </c>
      <c r="FG29" s="13" t="e">
        <f t="shared" si="47"/>
        <v>#NUM!</v>
      </c>
      <c r="FH29" s="20" t="e">
        <f t="shared" si="22"/>
        <v>#NUM!</v>
      </c>
      <c r="FI29" s="59" t="e">
        <f t="shared" si="23"/>
        <v>#NUM!</v>
      </c>
      <c r="FJ29" s="59">
        <f ca="1">AVERAGE(OFFSET($FI$3,0,0,'Données projet'!$E$16+1,1))-AVERAGE(OFFSET($H$3,0,0,'Données projet'!$E$16+1,1))</f>
        <v>0</v>
      </c>
      <c r="FK29" s="59">
        <f t="shared" si="48"/>
        <v>0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>
        <f>EXP(-LN(2)/35)*FQ28+(1-EXP(-LN(2)/35))/(LN(2)/35)*FM29*FN29*VLOOKUP('Données projet'!$B$16,Paramètres!$A$1:$I$89,3,0)*0.475*44/12</f>
        <v>0</v>
      </c>
      <c r="FR29" s="21">
        <f>EXP(-LN(2)/25)*FR28+(1-EXP(-LN(2)/25))/(LN(2)/25)*Calculateur!FM29*Calculateur!FO29*VLOOKUP('Données projet'!$B$16,Paramètres!$A$1:$I$89,3,0)*0.475*44/12</f>
        <v>0</v>
      </c>
      <c r="FS29" s="21">
        <f>EXP(-LN(2)/2)*FS28+(1-EXP(-LN(2)/2))/(LN(2)/2)*FM29*FP29*VLOOKUP('Données projet'!$B$16,Paramètres!$A$1:$I$89,3,0)*0.475*44/12</f>
        <v>0</v>
      </c>
      <c r="FT29" s="22">
        <f t="shared" si="24"/>
        <v>0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1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</v>
      </c>
      <c r="N30" s="13">
        <f>IF('Données projet'!$A$36&gt;35,N29+M30-V29,IF(A30&lt;'Données projet'!$A$36,$K$205^A30,IF(A30='Données projet'!$A$36,'Données projet'!$B$36,N29+M30-V29)))</f>
        <v>174</v>
      </c>
      <c r="O30" s="13">
        <f>N30*VLOOKUP('Données projet'!$B$9,Paramètres!$A$1:$I$89,3,0)*VLOOKUP('Données projet'!$B$9,Paramètres!$A$1:$I$89,5,0)</f>
        <v>104.05200000000001</v>
      </c>
      <c r="P30" s="13">
        <f t="shared" si="33"/>
        <v>27.925087771564417</v>
      </c>
      <c r="Q30" s="20">
        <f t="shared" si="2"/>
        <v>229.86009453547467</v>
      </c>
      <c r="R30" s="59">
        <f t="shared" si="0"/>
        <v>523.19342786880793</v>
      </c>
      <c r="S30" s="59">
        <f ca="1">AVERAGE(OFFSET($R$3,0,0,'Données projet'!$E$9+1,1))-AVERAGE(OFFSET($H$3,0,0,'Données projet'!$E$9+1,1))</f>
        <v>186.90544184210381</v>
      </c>
      <c r="T30" s="59">
        <f t="shared" si="34"/>
        <v>202.05988514450519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4.4957795642347884</v>
      </c>
      <c r="AA30" s="21">
        <f>EXP(-LN(2)/25)*AA29+(1-EXP(-LN(2)/25))/(LN(2)/25)*Calculateur!V30*Calculateur!X30*VLOOKUP('Données projet'!$B$9,Paramètres!$A$1:$I$89,3,0)*0.475*44/12</f>
        <v>8.0928920923088992</v>
      </c>
      <c r="AB30" s="21">
        <f>EXP(-LN(2)/2)*AB29+(1-EXP(-LN(2)/2))/(LN(2)/2)*V30*Y30*VLOOKUP('Données projet'!$B$9,Paramètres!$A$1:$I$89,3,0)*0.475*44/12</f>
        <v>3.2361471902474928</v>
      </c>
      <c r="AC30" s="22">
        <f t="shared" si="3"/>
        <v>15.824818846791182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</v>
      </c>
      <c r="AI30" s="13">
        <f>IF('Données projet'!$A$62&gt;35,AI29+AH30-AQ29,IF(A30&lt;'Données projet'!$A$62,$AF$205^A30,IF(A30='Données projet'!$A$62,'Données projet'!$B$62,AI29+AH30-AQ29)))</f>
        <v>174</v>
      </c>
      <c r="AJ30" s="13">
        <f>AI30*VLOOKUP('Données projet'!$B$10,Paramètres!$A$1:$I$89,3,0)*VLOOKUP('Données projet'!$B$10,Paramètres!$A$1:$I$89,5,0)</f>
        <v>104.05200000000001</v>
      </c>
      <c r="AK30" s="13">
        <f t="shared" si="35"/>
        <v>27.925087771564417</v>
      </c>
      <c r="AL30" s="20">
        <f t="shared" si="4"/>
        <v>229.86009453547467</v>
      </c>
      <c r="AM30" s="59">
        <f t="shared" si="5"/>
        <v>523.19342786880793</v>
      </c>
      <c r="AN30" s="59">
        <f ca="1">AVERAGE(OFFSET($AM$3,0,0,'Données projet'!$E$10+1,1))-AVERAGE(OFFSET($H$3,0,0,'Données projet'!$E$10+1,1))</f>
        <v>186.90544184210381</v>
      </c>
      <c r="AO30" s="59">
        <f t="shared" si="36"/>
        <v>202.05988514450519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4.4957795642347884</v>
      </c>
      <c r="AV30" s="21">
        <f>EXP(-LN(2)/25)*AV29+(1-EXP(-LN(2)/25))/(LN(2)/25)*Calculateur!AQ30*Calculateur!AS30*VLOOKUP('Données projet'!$B$10,Paramètres!$A$1:$I$89,3,0)*0.475*44/12</f>
        <v>8.0928920923088992</v>
      </c>
      <c r="AW30" s="21">
        <f>EXP(-LN(2)/2)*AW29+(1-EXP(-LN(2)/2))/(LN(2)/2)*AQ30*AT30*VLOOKUP('Données projet'!$B$10,Paramètres!$A$1:$I$89,3,0)*0.475*44/12</f>
        <v>3.2361471902474928</v>
      </c>
      <c r="AX30" s="21">
        <f t="shared" si="6"/>
        <v>15.824818846791182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3.6</v>
      </c>
      <c r="BD30" s="12">
        <f>IF('Données projet'!$A$88&gt;35,BD29+BC30-BL29,IF(A30&lt;'Données projet'!$A$88,$BA$205^A30,IF(A30='Données projet'!$A$88,'Données projet'!$B$88,BD29+BC30-BL29)))</f>
        <v>53.199999999999989</v>
      </c>
      <c r="BE30" s="13">
        <f>BD30*VLOOKUP('Données projet'!$B$11,Paramètres!$A$1:$I$89,3,0)*VLOOKUP('Données projet'!$B$11,Paramètres!$A$1:$I$89,5,0)</f>
        <v>43.155839999999991</v>
      </c>
      <c r="BF30" s="13">
        <f t="shared" si="37"/>
        <v>12.831370130493596</v>
      </c>
      <c r="BG30" s="20">
        <f t="shared" si="7"/>
        <v>97.511057643942991</v>
      </c>
      <c r="BH30" s="59">
        <f t="shared" si="8"/>
        <v>390.8443909772763</v>
      </c>
      <c r="BI30" s="59">
        <f ca="1">AVERAGE(OFFSET($BH$3,0,0,'Données projet'!$E$11+1,1))-AVERAGE(OFFSET($H$3,0,0,'Données projet'!$E$11+1,1))</f>
        <v>5.8584049049231908</v>
      </c>
      <c r="BJ30" s="59">
        <f t="shared" si="38"/>
        <v>42.266833200216638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4.2096396822034015</v>
      </c>
      <c r="BS30" s="22">
        <f t="shared" si="9"/>
        <v>4.2096396822034015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>
        <f>BY30*VLOOKUP('Données projet'!$B$12,Paramètres!$A$1:$I$89,3,0)*VLOOKUP('Données projet'!$B$12,Paramètres!$A$1:$I$89,5,0)</f>
        <v>0</v>
      </c>
      <c r="CA30" s="13" t="e">
        <f t="shared" si="39"/>
        <v>#NUM!</v>
      </c>
      <c r="CB30" s="20" t="e">
        <f t="shared" si="10"/>
        <v>#NUM!</v>
      </c>
      <c r="CC30" s="59" t="e">
        <f t="shared" si="11"/>
        <v>#NUM!</v>
      </c>
      <c r="CD30" s="59">
        <f ca="1">AVERAGE(OFFSET($CC$3,0,0,'Données projet'!$E$12+1,1))-AVERAGE(OFFSET($H$3,0,0,'Données projet'!$E$12+1,1))</f>
        <v>0</v>
      </c>
      <c r="CE30" s="59">
        <f t="shared" si="40"/>
        <v>0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>
        <f>CT30*VLOOKUP('Données projet'!$B$13,Paramètres!$A$1:$I$89,3,0)*VLOOKUP('Données projet'!$B$13,Paramètres!$A$1:$I$89,5,0)</f>
        <v>0</v>
      </c>
      <c r="CV30" s="13" t="e">
        <f t="shared" si="41"/>
        <v>#NUM!</v>
      </c>
      <c r="CW30" s="20" t="e">
        <f t="shared" si="13"/>
        <v>#NUM!</v>
      </c>
      <c r="CX30" s="59" t="e">
        <f t="shared" si="14"/>
        <v>#NUM!</v>
      </c>
      <c r="CY30" s="59">
        <f ca="1">AVERAGE(OFFSET($CX$3,0,0,'Données projet'!$E$13+1,1))-AVERAGE(OFFSET($H$3,0,0,'Données projet'!$E$13+1,1))</f>
        <v>0</v>
      </c>
      <c r="CZ30" s="59">
        <f t="shared" si="42"/>
        <v>0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>
        <f>DO30*VLOOKUP('Données projet'!$B$14,Paramètres!$A$1:$I$89,3,0)*VLOOKUP('Données projet'!$B$14,Paramètres!$A$1:$I$89,5,0)</f>
        <v>0</v>
      </c>
      <c r="DQ30" s="13" t="e">
        <f t="shared" si="43"/>
        <v>#NUM!</v>
      </c>
      <c r="DR30" s="20" t="e">
        <f t="shared" si="16"/>
        <v>#NUM!</v>
      </c>
      <c r="DS30" s="59" t="e">
        <f t="shared" si="17"/>
        <v>#NUM!</v>
      </c>
      <c r="DT30" s="59">
        <f ca="1">AVERAGE(OFFSET($DS$3,0,0,'Données projet'!$E$14+1,1))-AVERAGE(OFFSET($H$3,0,0,'Données projet'!$E$14+1,1))</f>
        <v>0</v>
      </c>
      <c r="DU30" s="59">
        <f t="shared" si="44"/>
        <v>0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>
        <f>EJ30*VLOOKUP('Données projet'!$B$15,Paramètres!$A$1:$I$89,3,0)*VLOOKUP('Données projet'!$B$15,Paramètres!$A$1:$I$89,5,0)</f>
        <v>0</v>
      </c>
      <c r="EL30" s="13" t="e">
        <f t="shared" si="45"/>
        <v>#NUM!</v>
      </c>
      <c r="EM30" s="20" t="e">
        <f t="shared" si="19"/>
        <v>#NUM!</v>
      </c>
      <c r="EN30" s="59" t="e">
        <f t="shared" si="20"/>
        <v>#NUM!</v>
      </c>
      <c r="EO30" s="59">
        <f ca="1">AVERAGE(OFFSET($EN$3,0,0,'Données projet'!$E$15+1,1))-AVERAGE(OFFSET($H$3,0,0,'Données projet'!$E$15+1,1))</f>
        <v>0</v>
      </c>
      <c r="EP30" s="59">
        <f t="shared" si="46"/>
        <v>0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0</v>
      </c>
      <c r="EX30" s="21">
        <f>EXP(-LN(2)/2)*EX29+(1-EXP(-LN(2)/2))/(LN(2)/2)*ER30*EU30*VLOOKUP('Données projet'!$B$15,Paramètres!$A$1:$I$89,3,0)*0.475*44/12</f>
        <v>0</v>
      </c>
      <c r="EY30" s="22">
        <f t="shared" si="21"/>
        <v>0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>
        <f>FE30*VLOOKUP('Données projet'!$B$16,Paramètres!$A$1:$I$89,3,0)*VLOOKUP('Données projet'!$B$16,Paramètres!$A$1:$I$89,5,0)</f>
        <v>0</v>
      </c>
      <c r="FG30" s="13" t="e">
        <f t="shared" si="47"/>
        <v>#NUM!</v>
      </c>
      <c r="FH30" s="20" t="e">
        <f t="shared" si="22"/>
        <v>#NUM!</v>
      </c>
      <c r="FI30" s="59" t="e">
        <f t="shared" si="23"/>
        <v>#NUM!</v>
      </c>
      <c r="FJ30" s="59">
        <f ca="1">AVERAGE(OFFSET($FI$3,0,0,'Données projet'!$E$16+1,1))-AVERAGE(OFFSET($H$3,0,0,'Données projet'!$E$16+1,1))</f>
        <v>0</v>
      </c>
      <c r="FK30" s="59">
        <f t="shared" si="48"/>
        <v>0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>
        <f>EXP(-LN(2)/35)*FQ29+(1-EXP(-LN(2)/35))/(LN(2)/35)*FM30*FN30*VLOOKUP('Données projet'!$B$16,Paramètres!$A$1:$I$89,3,0)*0.475*44/12</f>
        <v>0</v>
      </c>
      <c r="FR30" s="21">
        <f>EXP(-LN(2)/25)*FR29+(1-EXP(-LN(2)/25))/(LN(2)/25)*Calculateur!FM30*Calculateur!FO30*VLOOKUP('Données projet'!$B$16,Paramètres!$A$1:$I$89,3,0)*0.475*44/12</f>
        <v>0</v>
      </c>
      <c r="FS30" s="21">
        <f>EXP(-LN(2)/2)*FS29+(1-EXP(-LN(2)/2))/(LN(2)/2)*FM30*FP30*VLOOKUP('Données projet'!$B$16,Paramètres!$A$1:$I$89,3,0)*0.475*44/12</f>
        <v>0</v>
      </c>
      <c r="FT30" s="22">
        <f t="shared" si="24"/>
        <v>0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1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190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190</v>
      </c>
      <c r="O31" s="13">
        <f>N31*VLOOKUP('Données projet'!$B$9,Paramètres!$A$1:$I$89,3,0)*VLOOKUP('Données projet'!$B$9,Paramètres!$A$1:$I$89,5,0)</f>
        <v>113.62</v>
      </c>
      <c r="P31" s="13">
        <f t="shared" si="33"/>
        <v>30.182270904187739</v>
      </c>
      <c r="Q31" s="20">
        <f t="shared" si="2"/>
        <v>250.45562182479364</v>
      </c>
      <c r="R31" s="59">
        <f t="shared" si="0"/>
        <v>543.78895515812701</v>
      </c>
      <c r="S31" s="59">
        <f ca="1">AVERAGE(OFFSET($R$3,0,0,'Données projet'!$E$9+1,1))-AVERAGE(OFFSET($H$3,0,0,'Données projet'!$E$9+1,1))</f>
        <v>186.90544184210381</v>
      </c>
      <c r="T31" s="59">
        <f t="shared" si="34"/>
        <v>202.05988514450519</v>
      </c>
      <c r="U31" s="15">
        <f>IF(ISNA(VLOOKUP(A31,'Données projet'!$A$35:$I$55,3,0)),0,VLOOKUP(A31,'Données projet'!$A$35:$I$55,3,0))</f>
        <v>4</v>
      </c>
      <c r="V31" s="15">
        <f>IF(ISNA(VLOOKUP(A31,'Données projet'!$A$35:$I$55,4,0)),0,VLOOKUP(A31,'Données projet'!$A$35:$I$55,4,0))</f>
        <v>35</v>
      </c>
      <c r="W31" s="16">
        <f>IF(ISNA(VLOOKUP(A31,'Données projet'!$A$35:$I$55,5,0)),0%,VLOOKUP(A31,'Données projet'!$A$35:$I$55,5,0)*VLOOKUP('Données projet'!$B$9,Paramètres!$A$1:$I$89,7,0))</f>
        <v>0.18000000000000002</v>
      </c>
      <c r="X31" s="16">
        <f>IF(ISNA(VLOOKUP(A31,'Données projet'!$A$35:$I$55,6,0)),0%,VLOOKUP(A31,'Données projet'!$A$35:$I$55,6,0)*VLOOKUP('Données projet'!$B$9,Paramètres!$A$1:$I$89,7,0))</f>
        <v>0.13500000000000001</v>
      </c>
      <c r="Y31" s="16">
        <f>IF(ISNA(VLOOKUP(A31,'Données projet'!$A$35:$I$55,7,0)),0%,VLOOKUP(A31,'Données projet'!$A$35:$I$55,7,0))</f>
        <v>0.3</v>
      </c>
      <c r="Z31" s="21">
        <f>EXP(-LN(2)/35)*Z30+(1-EXP(-LN(2)/35))/(LN(2)/35)*V31*W31*VLOOKUP('Données projet'!$B$9,Paramètres!$A$1:$I$89,3,0)*0.475*44/12</f>
        <v>9.4053189985578385</v>
      </c>
      <c r="AA31" s="21">
        <f>EXP(-LN(2)/25)*AA30+(1-EXP(-LN(2)/25))/(LN(2)/25)*Calculateur!V31*Calculateur!X31*VLOOKUP('Données projet'!$B$9,Paramètres!$A$1:$I$89,3,0)*0.475*44/12</f>
        <v>11.605107345806916</v>
      </c>
      <c r="AB31" s="21">
        <f>EXP(-LN(2)/2)*AB30+(1-EXP(-LN(2)/2))/(LN(2)/2)*V31*Y31*VLOOKUP('Données projet'!$B$9,Paramètres!$A$1:$I$89,3,0)*0.475*44/12</f>
        <v>9.3975882193104745</v>
      </c>
      <c r="AC31" s="22">
        <f t="shared" si="3"/>
        <v>30.408014563675227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>
        <f>VLOOKUP(A31,'Données projet'!$A$61:$I$81,2,0)</f>
        <v>190</v>
      </c>
      <c r="AG31" s="12">
        <f>VLOOKUP(A31,'Données projet'!$A$61:$I$81,9,0)</f>
        <v>16</v>
      </c>
      <c r="AH31" s="12">
        <f t="array" ref="AH31">INDEX(AG:AG,MIN(IF(ISNUMBER(AG31:AG227),ROW(AG31:AG227),"")))</f>
        <v>16</v>
      </c>
      <c r="AI31" s="13">
        <f>IF('Données projet'!$A$62&gt;35,AI30+AH31-AQ30,IF(A31&lt;'Données projet'!$A$62,$AF$205^A31,IF(A31='Données projet'!$A$62,'Données projet'!$B$62,AI30+AH31-AQ30)))</f>
        <v>190</v>
      </c>
      <c r="AJ31" s="13">
        <f>AI31*VLOOKUP('Données projet'!$B$10,Paramètres!$A$1:$I$89,3,0)*VLOOKUP('Données projet'!$B$10,Paramètres!$A$1:$I$89,5,0)</f>
        <v>113.62</v>
      </c>
      <c r="AK31" s="13">
        <f t="shared" si="35"/>
        <v>30.182270904187739</v>
      </c>
      <c r="AL31" s="20">
        <f t="shared" si="4"/>
        <v>250.45562182479364</v>
      </c>
      <c r="AM31" s="59">
        <f t="shared" si="5"/>
        <v>543.78895515812701</v>
      </c>
      <c r="AN31" s="59">
        <f ca="1">AVERAGE(OFFSET($AM$3,0,0,'Données projet'!$E$10+1,1))-AVERAGE(OFFSET($H$3,0,0,'Données projet'!$E$10+1,1))</f>
        <v>186.90544184210381</v>
      </c>
      <c r="AO31" s="59">
        <f t="shared" si="36"/>
        <v>202.05988514450519</v>
      </c>
      <c r="AP31" s="15">
        <f>IF(ISNA(VLOOKUP(A31,'Données projet'!$A$61:$I$81,3,0)),0,VLOOKUP(A31,'Données projet'!$A$61:$I$81,3,0))</f>
        <v>4</v>
      </c>
      <c r="AQ31" s="15">
        <f>IF(ISNA(VLOOKUP(A31,'Données projet'!$A$61:$I$81,4,0)),0,VLOOKUP(A31,'Données projet'!$A$61:$I$81,4,0))</f>
        <v>35</v>
      </c>
      <c r="AR31" s="16">
        <f>IF(ISNA(VLOOKUP(A31,'Données projet'!$A$61:$I$81,5,0)),0%,VLOOKUP(A31,'Données projet'!$A$61:$I$81,5,0)*VLOOKUP('Données projet'!$B$10,Paramètres!$A$1:$I$89,7,0))</f>
        <v>0.18000000000000002</v>
      </c>
      <c r="AS31" s="16">
        <f>IF(ISNA(VLOOKUP(A31,'Données projet'!$A$61:$I$81,6,0)),0%,VLOOKUP(A31,'Données projet'!$A$61:$I$81,6,0)*VLOOKUP('Données projet'!$B$10,Paramètres!$A$1:$I$89,7,0))</f>
        <v>0.13500000000000001</v>
      </c>
      <c r="AT31" s="16">
        <f>IF(ISNA(VLOOKUP(A31,'Données projet'!$A$61:$I$81,7,0)),0%,VLOOKUP(A31,'Données projet'!$A$61:$I$81,7,0))</f>
        <v>0.3</v>
      </c>
      <c r="AU31" s="21">
        <f>EXP(-LN(2)/35)*AU30+(1-EXP(-LN(2)/35))/(LN(2)/35)*AQ31*AR31*VLOOKUP('Données projet'!$B$10,Paramètres!$A$1:$I$89,3,0)*0.475*44/12</f>
        <v>9.4053189985578385</v>
      </c>
      <c r="AV31" s="21">
        <f>EXP(-LN(2)/25)*AV30+(1-EXP(-LN(2)/25))/(LN(2)/25)*Calculateur!AQ31*Calculateur!AS31*VLOOKUP('Données projet'!$B$10,Paramètres!$A$1:$I$89,3,0)*0.475*44/12</f>
        <v>11.605107345806916</v>
      </c>
      <c r="AW31" s="21">
        <f>EXP(-LN(2)/2)*AW30+(1-EXP(-LN(2)/2))/(LN(2)/2)*AQ31*AT31*VLOOKUP('Données projet'!$B$10,Paramètres!$A$1:$I$89,3,0)*0.475*44/12</f>
        <v>9.3975882193104745</v>
      </c>
      <c r="AX31" s="21">
        <f t="shared" si="6"/>
        <v>30.408014563675227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3.6</v>
      </c>
      <c r="BD31" s="12">
        <f>IF('Données projet'!$A$88&gt;35,BD30+BC31-BL30,IF(A31&lt;'Données projet'!$A$88,$BA$205^A31,IF(A31='Données projet'!$A$88,'Données projet'!$B$88,BD30+BC31-BL30)))</f>
        <v>56.79999999999999</v>
      </c>
      <c r="BE31" s="13">
        <f>BD31*VLOOKUP('Données projet'!$B$11,Paramètres!$A$1:$I$89,3,0)*VLOOKUP('Données projet'!$B$11,Paramètres!$A$1:$I$89,5,0)</f>
        <v>46.076159999999994</v>
      </c>
      <c r="BF31" s="13">
        <f t="shared" si="37"/>
        <v>13.595641486972051</v>
      </c>
      <c r="BG31" s="20">
        <f t="shared" si="7"/>
        <v>103.92838758980963</v>
      </c>
      <c r="BH31" s="59">
        <f t="shared" si="8"/>
        <v>397.26172092314295</v>
      </c>
      <c r="BI31" s="59">
        <f ca="1">AVERAGE(OFFSET($BH$3,0,0,'Données projet'!$E$11+1,1))-AVERAGE(OFFSET($H$3,0,0,'Données projet'!$E$11+1,1))</f>
        <v>5.8584049049231908</v>
      </c>
      <c r="BJ31" s="59">
        <f t="shared" si="38"/>
        <v>42.266833200216638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2.9766647656380081</v>
      </c>
      <c r="BS31" s="22">
        <f t="shared" si="9"/>
        <v>2.9766647656380081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>
        <f>BY31*VLOOKUP('Données projet'!$B$12,Paramètres!$A$1:$I$89,3,0)*VLOOKUP('Données projet'!$B$12,Paramètres!$A$1:$I$89,5,0)</f>
        <v>0</v>
      </c>
      <c r="CA31" s="13" t="e">
        <f t="shared" si="39"/>
        <v>#NUM!</v>
      </c>
      <c r="CB31" s="20" t="e">
        <f t="shared" si="10"/>
        <v>#NUM!</v>
      </c>
      <c r="CC31" s="59" t="e">
        <f t="shared" si="11"/>
        <v>#NUM!</v>
      </c>
      <c r="CD31" s="59">
        <f ca="1">AVERAGE(OFFSET($CC$3,0,0,'Données projet'!$E$12+1,1))-AVERAGE(OFFSET($H$3,0,0,'Données projet'!$E$12+1,1))</f>
        <v>0</v>
      </c>
      <c r="CE31" s="59">
        <f t="shared" si="40"/>
        <v>0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>
        <f>CT31*VLOOKUP('Données projet'!$B$13,Paramètres!$A$1:$I$89,3,0)*VLOOKUP('Données projet'!$B$13,Paramètres!$A$1:$I$89,5,0)</f>
        <v>0</v>
      </c>
      <c r="CV31" s="13" t="e">
        <f t="shared" si="41"/>
        <v>#NUM!</v>
      </c>
      <c r="CW31" s="20" t="e">
        <f t="shared" si="13"/>
        <v>#NUM!</v>
      </c>
      <c r="CX31" s="59" t="e">
        <f t="shared" si="14"/>
        <v>#NUM!</v>
      </c>
      <c r="CY31" s="59">
        <f ca="1">AVERAGE(OFFSET($CX$3,0,0,'Données projet'!$E$13+1,1))-AVERAGE(OFFSET($H$3,0,0,'Données projet'!$E$13+1,1))</f>
        <v>0</v>
      </c>
      <c r="CZ31" s="59">
        <f t="shared" si="42"/>
        <v>0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>
        <f>DO31*VLOOKUP('Données projet'!$B$14,Paramètres!$A$1:$I$89,3,0)*VLOOKUP('Données projet'!$B$14,Paramètres!$A$1:$I$89,5,0)</f>
        <v>0</v>
      </c>
      <c r="DQ31" s="13" t="e">
        <f t="shared" si="43"/>
        <v>#NUM!</v>
      </c>
      <c r="DR31" s="20" t="e">
        <f t="shared" si="16"/>
        <v>#NUM!</v>
      </c>
      <c r="DS31" s="59" t="e">
        <f t="shared" si="17"/>
        <v>#NUM!</v>
      </c>
      <c r="DT31" s="59">
        <f ca="1">AVERAGE(OFFSET($DS$3,0,0,'Données projet'!$E$14+1,1))-AVERAGE(OFFSET($H$3,0,0,'Données projet'!$E$14+1,1))</f>
        <v>0</v>
      </c>
      <c r="DU31" s="59">
        <f t="shared" si="44"/>
        <v>0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>
        <f>EJ31*VLOOKUP('Données projet'!$B$15,Paramètres!$A$1:$I$89,3,0)*VLOOKUP('Données projet'!$B$15,Paramètres!$A$1:$I$89,5,0)</f>
        <v>0</v>
      </c>
      <c r="EL31" s="13" t="e">
        <f t="shared" si="45"/>
        <v>#NUM!</v>
      </c>
      <c r="EM31" s="20" t="e">
        <f t="shared" si="19"/>
        <v>#NUM!</v>
      </c>
      <c r="EN31" s="59" t="e">
        <f t="shared" si="20"/>
        <v>#NUM!</v>
      </c>
      <c r="EO31" s="59">
        <f ca="1">AVERAGE(OFFSET($EN$3,0,0,'Données projet'!$E$15+1,1))-AVERAGE(OFFSET($H$3,0,0,'Données projet'!$E$15+1,1))</f>
        <v>0</v>
      </c>
      <c r="EP31" s="59">
        <f t="shared" si="46"/>
        <v>0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0</v>
      </c>
      <c r="EX31" s="21">
        <f>EXP(-LN(2)/2)*EX30+(1-EXP(-LN(2)/2))/(LN(2)/2)*ER31*EU31*VLOOKUP('Données projet'!$B$15,Paramètres!$A$1:$I$89,3,0)*0.475*44/12</f>
        <v>0</v>
      </c>
      <c r="EY31" s="22">
        <f t="shared" si="21"/>
        <v>0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>
        <f>FE31*VLOOKUP('Données projet'!$B$16,Paramètres!$A$1:$I$89,3,0)*VLOOKUP('Données projet'!$B$16,Paramètres!$A$1:$I$89,5,0)</f>
        <v>0</v>
      </c>
      <c r="FG31" s="13" t="e">
        <f t="shared" si="47"/>
        <v>#NUM!</v>
      </c>
      <c r="FH31" s="20" t="e">
        <f t="shared" si="22"/>
        <v>#NUM!</v>
      </c>
      <c r="FI31" s="59" t="e">
        <f t="shared" si="23"/>
        <v>#NUM!</v>
      </c>
      <c r="FJ31" s="59">
        <f ca="1">AVERAGE(OFFSET($FI$3,0,0,'Données projet'!$E$16+1,1))-AVERAGE(OFFSET($H$3,0,0,'Données projet'!$E$16+1,1))</f>
        <v>0</v>
      </c>
      <c r="FK31" s="59">
        <f t="shared" si="48"/>
        <v>0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>
        <f>EXP(-LN(2)/35)*FQ30+(1-EXP(-LN(2)/35))/(LN(2)/35)*FM31*FN31*VLOOKUP('Données projet'!$B$16,Paramètres!$A$1:$I$89,3,0)*0.475*44/12</f>
        <v>0</v>
      </c>
      <c r="FR31" s="21">
        <f>EXP(-LN(2)/25)*FR30+(1-EXP(-LN(2)/25))/(LN(2)/25)*Calculateur!FM31*Calculateur!FO31*VLOOKUP('Données projet'!$B$16,Paramètres!$A$1:$I$89,3,0)*0.475*44/12</f>
        <v>0</v>
      </c>
      <c r="FS31" s="21">
        <f>EXP(-LN(2)/2)*FS30+(1-EXP(-LN(2)/2))/(LN(2)/2)*FM31*FP31*VLOOKUP('Données projet'!$B$16,Paramètres!$A$1:$I$89,3,0)*0.475*44/12</f>
        <v>0</v>
      </c>
      <c r="FT31" s="22">
        <f t="shared" si="24"/>
        <v>0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1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14.833333333333334</v>
      </c>
      <c r="N32" s="13">
        <f>IF('Données projet'!$A$36&gt;35,N31+M32-V31,IF(A32&lt;'Données projet'!$A$36,$K$205^A32,IF(A32='Données projet'!$A$36,'Données projet'!$B$36,N31+M32-V31)))</f>
        <v>169.83333333333334</v>
      </c>
      <c r="O32" s="13">
        <f>N32*VLOOKUP('Données projet'!$B$9,Paramètres!$A$1:$I$89,3,0)*VLOOKUP('Données projet'!$B$9,Paramètres!$A$1:$I$89,5,0)</f>
        <v>101.56033333333333</v>
      </c>
      <c r="P32" s="13">
        <f t="shared" si="33"/>
        <v>27.333389821325063</v>
      </c>
      <c r="Q32" s="20">
        <f t="shared" si="2"/>
        <v>224.48990116103005</v>
      </c>
      <c r="R32" s="59">
        <f t="shared" si="0"/>
        <v>517.82323449436331</v>
      </c>
      <c r="S32" s="59">
        <f ca="1">AVERAGE(OFFSET($R$3,0,0,'Données projet'!$E$9+1,1))-AVERAGE(OFFSET($H$3,0,0,'Données projet'!$E$9+1,1))</f>
        <v>186.90544184210381</v>
      </c>
      <c r="T32" s="59">
        <f t="shared" si="34"/>
        <v>202.05988514450519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9.220886429674259</v>
      </c>
      <c r="AA32" s="21">
        <f>EXP(-LN(2)/25)*AA31+(1-EXP(-LN(2)/25))/(LN(2)/25)*Calculateur!V32*Calculateur!X32*VLOOKUP('Données projet'!$B$9,Paramètres!$A$1:$I$89,3,0)*0.475*44/12</f>
        <v>11.287765075149753</v>
      </c>
      <c r="AB32" s="21">
        <f>EXP(-LN(2)/2)*AB31+(1-EXP(-LN(2)/2))/(LN(2)/2)*V32*Y32*VLOOKUP('Données projet'!$B$9,Paramètres!$A$1:$I$89,3,0)*0.475*44/12</f>
        <v>6.6450983566732491</v>
      </c>
      <c r="AC32" s="22">
        <f t="shared" si="3"/>
        <v>27.153749861497261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14.833333333333334</v>
      </c>
      <c r="AI32" s="13">
        <f>IF('Données projet'!$A$62&gt;35,AI31+AH32-AQ31,IF(A32&lt;'Données projet'!$A$62,$AF$205^A32,IF(A32='Données projet'!$A$62,'Données projet'!$B$62,AI31+AH32-AQ31)))</f>
        <v>169.83333333333334</v>
      </c>
      <c r="AJ32" s="13">
        <f>AI32*VLOOKUP('Données projet'!$B$10,Paramètres!$A$1:$I$89,3,0)*VLOOKUP('Données projet'!$B$10,Paramètres!$A$1:$I$89,5,0)</f>
        <v>101.56033333333333</v>
      </c>
      <c r="AK32" s="13">
        <f t="shared" si="35"/>
        <v>27.333389821325063</v>
      </c>
      <c r="AL32" s="20">
        <f t="shared" si="4"/>
        <v>224.48990116103005</v>
      </c>
      <c r="AM32" s="59">
        <f t="shared" si="5"/>
        <v>517.82323449436331</v>
      </c>
      <c r="AN32" s="59">
        <f ca="1">AVERAGE(OFFSET($AM$3,0,0,'Données projet'!$E$10+1,1))-AVERAGE(OFFSET($H$3,0,0,'Données projet'!$E$10+1,1))</f>
        <v>186.90544184210381</v>
      </c>
      <c r="AO32" s="59">
        <f t="shared" si="36"/>
        <v>202.05988514450519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9.220886429674259</v>
      </c>
      <c r="AV32" s="21">
        <f>EXP(-LN(2)/25)*AV31+(1-EXP(-LN(2)/25))/(LN(2)/25)*Calculateur!AQ32*Calculateur!AS32*VLOOKUP('Données projet'!$B$10,Paramètres!$A$1:$I$89,3,0)*0.475*44/12</f>
        <v>11.287765075149753</v>
      </c>
      <c r="AW32" s="21">
        <f>EXP(-LN(2)/2)*AW31+(1-EXP(-LN(2)/2))/(LN(2)/2)*AQ32*AT32*VLOOKUP('Données projet'!$B$10,Paramètres!$A$1:$I$89,3,0)*0.475*44/12</f>
        <v>6.6450983566732491</v>
      </c>
      <c r="AX32" s="21">
        <f t="shared" si="6"/>
        <v>27.153749861497261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3.6</v>
      </c>
      <c r="BD32" s="12">
        <f>IF('Données projet'!$A$88&gt;35,BD31+BC32-BL31,IF(A32&lt;'Données projet'!$A$88,$BA$205^A32,IF(A32='Données projet'!$A$88,'Données projet'!$B$88,BD31+BC32-BL31)))</f>
        <v>60.399999999999991</v>
      </c>
      <c r="BE32" s="13">
        <f>BD32*VLOOKUP('Données projet'!$B$11,Paramètres!$A$1:$I$89,3,0)*VLOOKUP('Données projet'!$B$11,Paramètres!$A$1:$I$89,5,0)</f>
        <v>48.996479999999998</v>
      </c>
      <c r="BF32" s="13">
        <f t="shared" si="37"/>
        <v>14.354291233899691</v>
      </c>
      <c r="BG32" s="20">
        <f t="shared" si="7"/>
        <v>110.33592656570862</v>
      </c>
      <c r="BH32" s="59">
        <f t="shared" si="8"/>
        <v>403.66925989904195</v>
      </c>
      <c r="BI32" s="59">
        <f ca="1">AVERAGE(OFFSET($BH$3,0,0,'Données projet'!$E$11+1,1))-AVERAGE(OFFSET($H$3,0,0,'Données projet'!$E$11+1,1))</f>
        <v>5.8584049049231908</v>
      </c>
      <c r="BJ32" s="59">
        <f t="shared" si="38"/>
        <v>42.266833200216638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2.1048198411017007</v>
      </c>
      <c r="BS32" s="22">
        <f t="shared" si="9"/>
        <v>2.1048198411017007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>
        <f>BY32*VLOOKUP('Données projet'!$B$12,Paramètres!$A$1:$I$89,3,0)*VLOOKUP('Données projet'!$B$12,Paramètres!$A$1:$I$89,5,0)</f>
        <v>0</v>
      </c>
      <c r="CA32" s="13" t="e">
        <f t="shared" si="39"/>
        <v>#NUM!</v>
      </c>
      <c r="CB32" s="20" t="e">
        <f t="shared" si="10"/>
        <v>#NUM!</v>
      </c>
      <c r="CC32" s="59" t="e">
        <f t="shared" si="11"/>
        <v>#NUM!</v>
      </c>
      <c r="CD32" s="59">
        <f ca="1">AVERAGE(OFFSET($CC$3,0,0,'Données projet'!$E$12+1,1))-AVERAGE(OFFSET($H$3,0,0,'Données projet'!$E$12+1,1))</f>
        <v>0</v>
      </c>
      <c r="CE32" s="59">
        <f t="shared" si="40"/>
        <v>0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>
        <f>CT32*VLOOKUP('Données projet'!$B$13,Paramètres!$A$1:$I$89,3,0)*VLOOKUP('Données projet'!$B$13,Paramètres!$A$1:$I$89,5,0)</f>
        <v>0</v>
      </c>
      <c r="CV32" s="13" t="e">
        <f t="shared" si="41"/>
        <v>#NUM!</v>
      </c>
      <c r="CW32" s="20" t="e">
        <f t="shared" si="13"/>
        <v>#NUM!</v>
      </c>
      <c r="CX32" s="59" t="e">
        <f t="shared" si="14"/>
        <v>#NUM!</v>
      </c>
      <c r="CY32" s="59">
        <f ca="1">AVERAGE(OFFSET($CX$3,0,0,'Données projet'!$E$13+1,1))-AVERAGE(OFFSET($H$3,0,0,'Données projet'!$E$13+1,1))</f>
        <v>0</v>
      </c>
      <c r="CZ32" s="59">
        <f t="shared" si="42"/>
        <v>0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>
        <f>DO32*VLOOKUP('Données projet'!$B$14,Paramètres!$A$1:$I$89,3,0)*VLOOKUP('Données projet'!$B$14,Paramètres!$A$1:$I$89,5,0)</f>
        <v>0</v>
      </c>
      <c r="DQ32" s="13" t="e">
        <f t="shared" si="43"/>
        <v>#NUM!</v>
      </c>
      <c r="DR32" s="20" t="e">
        <f t="shared" si="16"/>
        <v>#NUM!</v>
      </c>
      <c r="DS32" s="59" t="e">
        <f t="shared" si="17"/>
        <v>#NUM!</v>
      </c>
      <c r="DT32" s="59">
        <f ca="1">AVERAGE(OFFSET($DS$3,0,0,'Données projet'!$E$14+1,1))-AVERAGE(OFFSET($H$3,0,0,'Données projet'!$E$14+1,1))</f>
        <v>0</v>
      </c>
      <c r="DU32" s="59">
        <f t="shared" si="44"/>
        <v>0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>
        <f>EJ32*VLOOKUP('Données projet'!$B$15,Paramètres!$A$1:$I$89,3,0)*VLOOKUP('Données projet'!$B$15,Paramètres!$A$1:$I$89,5,0)</f>
        <v>0</v>
      </c>
      <c r="EL32" s="13" t="e">
        <f t="shared" si="45"/>
        <v>#NUM!</v>
      </c>
      <c r="EM32" s="20" t="e">
        <f t="shared" si="19"/>
        <v>#NUM!</v>
      </c>
      <c r="EN32" s="59" t="e">
        <f t="shared" si="20"/>
        <v>#NUM!</v>
      </c>
      <c r="EO32" s="59">
        <f ca="1">AVERAGE(OFFSET($EN$3,0,0,'Données projet'!$E$15+1,1))-AVERAGE(OFFSET($H$3,0,0,'Données projet'!$E$15+1,1))</f>
        <v>0</v>
      </c>
      <c r="EP32" s="59">
        <f t="shared" si="46"/>
        <v>0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0</v>
      </c>
      <c r="EX32" s="21">
        <f>EXP(-LN(2)/2)*EX31+(1-EXP(-LN(2)/2))/(LN(2)/2)*ER32*EU32*VLOOKUP('Données projet'!$B$15,Paramètres!$A$1:$I$89,3,0)*0.475*44/12</f>
        <v>0</v>
      </c>
      <c r="EY32" s="22">
        <f t="shared" si="21"/>
        <v>0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>
        <f>FE32*VLOOKUP('Données projet'!$B$16,Paramètres!$A$1:$I$89,3,0)*VLOOKUP('Données projet'!$B$16,Paramètres!$A$1:$I$89,5,0)</f>
        <v>0</v>
      </c>
      <c r="FG32" s="13" t="e">
        <f t="shared" si="47"/>
        <v>#NUM!</v>
      </c>
      <c r="FH32" s="20" t="e">
        <f t="shared" si="22"/>
        <v>#NUM!</v>
      </c>
      <c r="FI32" s="59" t="e">
        <f t="shared" si="23"/>
        <v>#NUM!</v>
      </c>
      <c r="FJ32" s="59">
        <f ca="1">AVERAGE(OFFSET($FI$3,0,0,'Données projet'!$E$16+1,1))-AVERAGE(OFFSET($H$3,0,0,'Données projet'!$E$16+1,1))</f>
        <v>0</v>
      </c>
      <c r="FK32" s="59">
        <f t="shared" si="48"/>
        <v>0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>
        <f>EXP(-LN(2)/35)*FQ31+(1-EXP(-LN(2)/35))/(LN(2)/35)*FM32*FN32*VLOOKUP('Données projet'!$B$16,Paramètres!$A$1:$I$89,3,0)*0.475*44/12</f>
        <v>0</v>
      </c>
      <c r="FR32" s="21">
        <f>EXP(-LN(2)/25)*FR31+(1-EXP(-LN(2)/25))/(LN(2)/25)*Calculateur!FM32*Calculateur!FO32*VLOOKUP('Données projet'!$B$16,Paramètres!$A$1:$I$89,3,0)*0.475*44/12</f>
        <v>0</v>
      </c>
      <c r="FS32" s="21">
        <f>EXP(-LN(2)/2)*FS31+(1-EXP(-LN(2)/2))/(LN(2)/2)*FM32*FP32*VLOOKUP('Données projet'!$B$16,Paramètres!$A$1:$I$89,3,0)*0.475*44/12</f>
        <v>0</v>
      </c>
      <c r="FT32" s="22">
        <f t="shared" si="24"/>
        <v>0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1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14.833333333333334</v>
      </c>
      <c r="N33" s="13">
        <f>IF('Données projet'!$A$36&gt;35,N32+M33-V32,IF(A33&lt;'Données projet'!$A$36,$K$205^A33,IF(A33='Données projet'!$A$36,'Données projet'!$B$36,N32+M33-V32)))</f>
        <v>184.66666666666669</v>
      </c>
      <c r="O33" s="13">
        <f>N33*VLOOKUP('Données projet'!$B$9,Paramètres!$A$1:$I$89,3,0)*VLOOKUP('Données projet'!$B$9,Paramètres!$A$1:$I$89,5,0)</f>
        <v>110.43066666666668</v>
      </c>
      <c r="P33" s="13">
        <f t="shared" si="33"/>
        <v>29.43242991113809</v>
      </c>
      <c r="Q33" s="20">
        <f t="shared" si="2"/>
        <v>243.5948932063433</v>
      </c>
      <c r="R33" s="59">
        <f t="shared" si="0"/>
        <v>536.92822653967664</v>
      </c>
      <c r="S33" s="59">
        <f ca="1">AVERAGE(OFFSET($R$3,0,0,'Données projet'!$E$9+1,1))-AVERAGE(OFFSET($H$3,0,0,'Données projet'!$E$9+1,1))</f>
        <v>186.90544184210381</v>
      </c>
      <c r="T33" s="59">
        <f t="shared" si="34"/>
        <v>202.05988514450519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9.0400704709737258</v>
      </c>
      <c r="AA33" s="21">
        <f>EXP(-LN(2)/25)*AA32+(1-EXP(-LN(2)/25))/(LN(2)/25)*Calculateur!V33*Calculateur!X33*VLOOKUP('Données projet'!$B$9,Paramètres!$A$1:$I$89,3,0)*0.475*44/12</f>
        <v>10.979100545572017</v>
      </c>
      <c r="AB33" s="21">
        <f>EXP(-LN(2)/2)*AB32+(1-EXP(-LN(2)/2))/(LN(2)/2)*V33*Y33*VLOOKUP('Données projet'!$B$9,Paramètres!$A$1:$I$89,3,0)*0.475*44/12</f>
        <v>4.6987941096552381</v>
      </c>
      <c r="AC33" s="22">
        <f t="shared" si="3"/>
        <v>24.71796512620098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14.833333333333334</v>
      </c>
      <c r="AI33" s="13">
        <f>IF('Données projet'!$A$62&gt;35,AI32+AH33-AQ32,IF(A33&lt;'Données projet'!$A$62,$AF$205^A33,IF(A33='Données projet'!$A$62,'Données projet'!$B$62,AI32+AH33-AQ32)))</f>
        <v>184.66666666666669</v>
      </c>
      <c r="AJ33" s="13">
        <f>AI33*VLOOKUP('Données projet'!$B$10,Paramètres!$A$1:$I$89,3,0)*VLOOKUP('Données projet'!$B$10,Paramètres!$A$1:$I$89,5,0)</f>
        <v>110.43066666666668</v>
      </c>
      <c r="AK33" s="13">
        <f t="shared" si="35"/>
        <v>29.43242991113809</v>
      </c>
      <c r="AL33" s="20">
        <f t="shared" si="4"/>
        <v>243.5948932063433</v>
      </c>
      <c r="AM33" s="59">
        <f t="shared" si="5"/>
        <v>536.92822653967664</v>
      </c>
      <c r="AN33" s="59">
        <f ca="1">AVERAGE(OFFSET($AM$3,0,0,'Données projet'!$E$10+1,1))-AVERAGE(OFFSET($H$3,0,0,'Données projet'!$E$10+1,1))</f>
        <v>186.90544184210381</v>
      </c>
      <c r="AO33" s="59">
        <f t="shared" si="36"/>
        <v>202.05988514450519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9.0400704709737258</v>
      </c>
      <c r="AV33" s="21">
        <f>EXP(-LN(2)/25)*AV32+(1-EXP(-LN(2)/25))/(LN(2)/25)*Calculateur!AQ33*Calculateur!AS33*VLOOKUP('Données projet'!$B$10,Paramètres!$A$1:$I$89,3,0)*0.475*44/12</f>
        <v>10.979100545572017</v>
      </c>
      <c r="AW33" s="21">
        <f>EXP(-LN(2)/2)*AW32+(1-EXP(-LN(2)/2))/(LN(2)/2)*AQ33*AT33*VLOOKUP('Données projet'!$B$10,Paramètres!$A$1:$I$89,3,0)*0.475*44/12</f>
        <v>4.6987941096552381</v>
      </c>
      <c r="AX33" s="21">
        <f t="shared" si="6"/>
        <v>24.71796512620098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64</v>
      </c>
      <c r="BB33" s="12">
        <f>VLOOKUP(A33,'Données projet'!$A$87:$I$107,9,0)</f>
        <v>3.6</v>
      </c>
      <c r="BC33" s="12">
        <f t="array" ref="BC33">INDEX(BB:BB,MIN(IF(ISNUMBER(BB33:BB229),ROW(BB33:BB229),"")))</f>
        <v>3.6</v>
      </c>
      <c r="BD33" s="12">
        <f>IF('Données projet'!$A$88&gt;35,BD32+BC33-BL32,IF(A33&lt;'Données projet'!$A$88,$BA$205^A33,IF(A33='Données projet'!$A$88,'Données projet'!$B$88,BD32+BC33-BL32)))</f>
        <v>63.999999999999993</v>
      </c>
      <c r="BE33" s="13">
        <f>BD33*VLOOKUP('Données projet'!$B$11,Paramètres!$A$1:$I$89,3,0)*VLOOKUP('Données projet'!$B$11,Paramètres!$A$1:$I$89,5,0)</f>
        <v>51.916799999999995</v>
      </c>
      <c r="BF33" s="13">
        <f t="shared" si="37"/>
        <v>15.107692595703275</v>
      </c>
      <c r="BG33" s="20">
        <f t="shared" si="7"/>
        <v>116.73432460418319</v>
      </c>
      <c r="BH33" s="59">
        <f t="shared" si="8"/>
        <v>410.06765793751651</v>
      </c>
      <c r="BI33" s="59">
        <f ca="1">AVERAGE(OFFSET($BH$3,0,0,'Données projet'!$E$11+1,1))-AVERAGE(OFFSET($H$3,0,0,'Données projet'!$E$11+1,1))</f>
        <v>5.8584049049231908</v>
      </c>
      <c r="BJ33" s="59">
        <f t="shared" si="38"/>
        <v>42.266833200216638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7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1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6.8460556147142402</v>
      </c>
      <c r="BS33" s="22">
        <f t="shared" si="9"/>
        <v>6.8460556147142402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>
        <f>BY33*VLOOKUP('Données projet'!$B$12,Paramètres!$A$1:$I$89,3,0)*VLOOKUP('Données projet'!$B$12,Paramètres!$A$1:$I$89,5,0)</f>
        <v>0</v>
      </c>
      <c r="CA33" s="13" t="e">
        <f t="shared" si="39"/>
        <v>#NUM!</v>
      </c>
      <c r="CB33" s="20" t="e">
        <f t="shared" si="10"/>
        <v>#NUM!</v>
      </c>
      <c r="CC33" s="59" t="e">
        <f t="shared" si="11"/>
        <v>#NUM!</v>
      </c>
      <c r="CD33" s="59">
        <f ca="1">AVERAGE(OFFSET($CC$3,0,0,'Données projet'!$E$12+1,1))-AVERAGE(OFFSET($H$3,0,0,'Données projet'!$E$12+1,1))</f>
        <v>0</v>
      </c>
      <c r="CE33" s="59">
        <f t="shared" si="40"/>
        <v>0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>
        <f>CT33*VLOOKUP('Données projet'!$B$13,Paramètres!$A$1:$I$89,3,0)*VLOOKUP('Données projet'!$B$13,Paramètres!$A$1:$I$89,5,0)</f>
        <v>0</v>
      </c>
      <c r="CV33" s="13" t="e">
        <f t="shared" si="41"/>
        <v>#NUM!</v>
      </c>
      <c r="CW33" s="20" t="e">
        <f t="shared" si="13"/>
        <v>#NUM!</v>
      </c>
      <c r="CX33" s="59" t="e">
        <f t="shared" si="14"/>
        <v>#NUM!</v>
      </c>
      <c r="CY33" s="59">
        <f ca="1">AVERAGE(OFFSET($CX$3,0,0,'Données projet'!$E$13+1,1))-AVERAGE(OFFSET($H$3,0,0,'Données projet'!$E$13+1,1))</f>
        <v>0</v>
      </c>
      <c r="CZ33" s="59">
        <f t="shared" si="42"/>
        <v>0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>
        <f>DO33*VLOOKUP('Données projet'!$B$14,Paramètres!$A$1:$I$89,3,0)*VLOOKUP('Données projet'!$B$14,Paramètres!$A$1:$I$89,5,0)</f>
        <v>0</v>
      </c>
      <c r="DQ33" s="13" t="e">
        <f t="shared" si="43"/>
        <v>#NUM!</v>
      </c>
      <c r="DR33" s="20" t="e">
        <f t="shared" si="16"/>
        <v>#NUM!</v>
      </c>
      <c r="DS33" s="59" t="e">
        <f t="shared" si="17"/>
        <v>#NUM!</v>
      </c>
      <c r="DT33" s="59">
        <f ca="1">AVERAGE(OFFSET($DS$3,0,0,'Données projet'!$E$14+1,1))-AVERAGE(OFFSET($H$3,0,0,'Données projet'!$E$14+1,1))</f>
        <v>0</v>
      </c>
      <c r="DU33" s="59">
        <f t="shared" si="44"/>
        <v>0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0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0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>
        <f>EJ33*VLOOKUP('Données projet'!$B$15,Paramètres!$A$1:$I$89,3,0)*VLOOKUP('Données projet'!$B$15,Paramètres!$A$1:$I$89,5,0)</f>
        <v>0</v>
      </c>
      <c r="EL33" s="13" t="e">
        <f t="shared" si="45"/>
        <v>#NUM!</v>
      </c>
      <c r="EM33" s="20" t="e">
        <f t="shared" si="19"/>
        <v>#NUM!</v>
      </c>
      <c r="EN33" s="59" t="e">
        <f t="shared" si="20"/>
        <v>#NUM!</v>
      </c>
      <c r="EO33" s="59">
        <f ca="1">AVERAGE(OFFSET($EN$3,0,0,'Données projet'!$E$15+1,1))-AVERAGE(OFFSET($H$3,0,0,'Données projet'!$E$15+1,1))</f>
        <v>0</v>
      </c>
      <c r="EP33" s="59">
        <f t="shared" si="46"/>
        <v>0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>
        <f>EXP(-LN(2)/35)*EV32+(1-EXP(-LN(2)/35))/(LN(2)/35)*ER33*ES33*VLOOKUP('Données projet'!$B$15,Paramètres!$A$1:$I$89,3,0)*0.475*44/12</f>
        <v>0</v>
      </c>
      <c r="EW33" s="21">
        <f>EXP(-LN(2)/25)*EW32+(1-EXP(-LN(2)/25))/(LN(2)/25)*Calculateur!ER33*Calculateur!ET33*VLOOKUP('Données projet'!$B$15,Paramètres!$A$1:$I$89,3,0)*0.475*44/12</f>
        <v>0</v>
      </c>
      <c r="EX33" s="21">
        <f>EXP(-LN(2)/2)*EX32+(1-EXP(-LN(2)/2))/(LN(2)/2)*ER33*EU33*VLOOKUP('Données projet'!$B$15,Paramètres!$A$1:$I$89,3,0)*0.475*44/12</f>
        <v>0</v>
      </c>
      <c r="EY33" s="22">
        <f t="shared" si="21"/>
        <v>0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>
        <f>FE33*VLOOKUP('Données projet'!$B$16,Paramètres!$A$1:$I$89,3,0)*VLOOKUP('Données projet'!$B$16,Paramètres!$A$1:$I$89,5,0)</f>
        <v>0</v>
      </c>
      <c r="FG33" s="13" t="e">
        <f t="shared" si="47"/>
        <v>#NUM!</v>
      </c>
      <c r="FH33" s="20" t="e">
        <f t="shared" si="22"/>
        <v>#NUM!</v>
      </c>
      <c r="FI33" s="59" t="e">
        <f t="shared" si="23"/>
        <v>#NUM!</v>
      </c>
      <c r="FJ33" s="59">
        <f ca="1">AVERAGE(OFFSET($FI$3,0,0,'Données projet'!$E$16+1,1))-AVERAGE(OFFSET($H$3,0,0,'Données projet'!$E$16+1,1))</f>
        <v>0</v>
      </c>
      <c r="FK33" s="59">
        <f t="shared" si="48"/>
        <v>0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>
        <f>EXP(-LN(2)/35)*FQ32+(1-EXP(-LN(2)/35))/(LN(2)/35)*FM33*FN33*VLOOKUP('Données projet'!$B$16,Paramètres!$A$1:$I$89,3,0)*0.475*44/12</f>
        <v>0</v>
      </c>
      <c r="FR33" s="21">
        <f>EXP(-LN(2)/25)*FR32+(1-EXP(-LN(2)/25))/(LN(2)/25)*Calculateur!FM33*Calculateur!FO33*VLOOKUP('Données projet'!$B$16,Paramètres!$A$1:$I$89,3,0)*0.475*44/12</f>
        <v>0</v>
      </c>
      <c r="FS33" s="21">
        <f>EXP(-LN(2)/2)*FS32+(1-EXP(-LN(2)/2))/(LN(2)/2)*FM33*FP33*VLOOKUP('Données projet'!$B$16,Paramètres!$A$1:$I$89,3,0)*0.475*44/12</f>
        <v>0</v>
      </c>
      <c r="FT33" s="22">
        <f t="shared" si="24"/>
        <v>0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1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14.833333333333334</v>
      </c>
      <c r="N34" s="13">
        <f>IF('Données projet'!$A$36&gt;35,N33+M34-V33,IF(A34&lt;'Données projet'!$A$36,$K$205^A34,IF(A34='Données projet'!$A$36,'Données projet'!$B$36,N33+M34-V33)))</f>
        <v>199.50000000000003</v>
      </c>
      <c r="O34" s="13">
        <f>N34*VLOOKUP('Données projet'!$B$9,Paramètres!$A$1:$I$89,3,0)*VLOOKUP('Données projet'!$B$9,Paramètres!$A$1:$I$89,5,0)</f>
        <v>119.30100000000002</v>
      </c>
      <c r="P34" s="13">
        <f t="shared" si="33"/>
        <v>31.51191363312137</v>
      </c>
      <c r="Q34" s="20">
        <f t="shared" si="2"/>
        <v>262.66582457768635</v>
      </c>
      <c r="R34" s="59">
        <f t="shared" si="0"/>
        <v>555.99915791101967</v>
      </c>
      <c r="S34" s="59">
        <f ca="1">AVERAGE(OFFSET($R$3,0,0,'Données projet'!$E$9+1,1))-AVERAGE(OFFSET($H$3,0,0,'Données projet'!$E$9+1,1))</f>
        <v>186.90544184210381</v>
      </c>
      <c r="T34" s="59">
        <f t="shared" si="34"/>
        <v>202.05988514450519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8.8628002029364659</v>
      </c>
      <c r="AA34" s="21">
        <f>EXP(-LN(2)/25)*AA33+(1-EXP(-LN(2)/25))/(LN(2)/25)*Calculateur!V34*Calculateur!X34*VLOOKUP('Données projet'!$B$9,Paramètres!$A$1:$I$89,3,0)*0.475*44/12</f>
        <v>10.678876463787546</v>
      </c>
      <c r="AB34" s="21">
        <f>EXP(-LN(2)/2)*AB33+(1-EXP(-LN(2)/2))/(LN(2)/2)*V34*Y34*VLOOKUP('Données projet'!$B$9,Paramètres!$A$1:$I$89,3,0)*0.475*44/12</f>
        <v>3.322549178336625</v>
      </c>
      <c r="AC34" s="22">
        <f t="shared" si="3"/>
        <v>22.864225845060638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14.833333333333334</v>
      </c>
      <c r="AI34" s="13">
        <f>IF('Données projet'!$A$62&gt;35,AI33+AH34-AQ33,IF(A34&lt;'Données projet'!$A$62,$AF$205^A34,IF(A34='Données projet'!$A$62,'Données projet'!$B$62,AI33+AH34-AQ33)))</f>
        <v>199.50000000000003</v>
      </c>
      <c r="AJ34" s="13">
        <f>AI34*VLOOKUP('Données projet'!$B$10,Paramètres!$A$1:$I$89,3,0)*VLOOKUP('Données projet'!$B$10,Paramètres!$A$1:$I$89,5,0)</f>
        <v>119.30100000000002</v>
      </c>
      <c r="AK34" s="13">
        <f t="shared" si="35"/>
        <v>31.51191363312137</v>
      </c>
      <c r="AL34" s="20">
        <f t="shared" si="4"/>
        <v>262.66582457768635</v>
      </c>
      <c r="AM34" s="59">
        <f t="shared" si="5"/>
        <v>555.99915791101967</v>
      </c>
      <c r="AN34" s="59">
        <f ca="1">AVERAGE(OFFSET($AM$3,0,0,'Données projet'!$E$10+1,1))-AVERAGE(OFFSET($H$3,0,0,'Données projet'!$E$10+1,1))</f>
        <v>186.90544184210381</v>
      </c>
      <c r="AO34" s="59">
        <f t="shared" si="36"/>
        <v>202.05988514450519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8.8628002029364659</v>
      </c>
      <c r="AV34" s="21">
        <f>EXP(-LN(2)/25)*AV33+(1-EXP(-LN(2)/25))/(LN(2)/25)*Calculateur!AQ34*Calculateur!AS34*VLOOKUP('Données projet'!$B$10,Paramètres!$A$1:$I$89,3,0)*0.475*44/12</f>
        <v>10.678876463787546</v>
      </c>
      <c r="AW34" s="21">
        <f>EXP(-LN(2)/2)*AW33+(1-EXP(-LN(2)/2))/(LN(2)/2)*AQ34*AT34*VLOOKUP('Données projet'!$B$10,Paramètres!$A$1:$I$89,3,0)*0.475*44/12</f>
        <v>3.322549178336625</v>
      </c>
      <c r="AX34" s="21">
        <f t="shared" si="6"/>
        <v>22.864225845060638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3.6</v>
      </c>
      <c r="BD34" s="12">
        <f>IF('Données projet'!$A$88&gt;35,BD33+BC34-BL33,IF(A34&lt;'Données projet'!$A$88,$BA$205^A34,IF(A34='Données projet'!$A$88,'Données projet'!$B$88,BD33+BC34-BL33)))</f>
        <v>60.599999999999994</v>
      </c>
      <c r="BE34" s="13">
        <f>BD34*VLOOKUP('Données projet'!$B$11,Paramètres!$A$1:$I$89,3,0)*VLOOKUP('Données projet'!$B$11,Paramètres!$A$1:$I$89,5,0)</f>
        <v>49.158719999999995</v>
      </c>
      <c r="BF34" s="13">
        <f t="shared" si="37"/>
        <v>14.396281334716242</v>
      </c>
      <c r="BG34" s="20">
        <f t="shared" si="7"/>
        <v>110.69162732463077</v>
      </c>
      <c r="BH34" s="59">
        <f t="shared" si="8"/>
        <v>404.02496065796407</v>
      </c>
      <c r="BI34" s="59">
        <f ca="1">AVERAGE(OFFSET($BH$3,0,0,'Données projet'!$E$11+1,1))-AVERAGE(OFFSET($H$3,0,0,'Données projet'!$E$11+1,1))</f>
        <v>5.8584049049231908</v>
      </c>
      <c r="BJ34" s="59">
        <f t="shared" si="38"/>
        <v>42.266833200216638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4.8408923495446778</v>
      </c>
      <c r="BS34" s="22">
        <f t="shared" si="9"/>
        <v>4.8408923495446778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>
        <f>BY34*VLOOKUP('Données projet'!$B$12,Paramètres!$A$1:$I$89,3,0)*VLOOKUP('Données projet'!$B$12,Paramètres!$A$1:$I$89,5,0)</f>
        <v>0</v>
      </c>
      <c r="CA34" s="13" t="e">
        <f t="shared" si="39"/>
        <v>#NUM!</v>
      </c>
      <c r="CB34" s="20" t="e">
        <f t="shared" si="10"/>
        <v>#NUM!</v>
      </c>
      <c r="CC34" s="59" t="e">
        <f t="shared" si="11"/>
        <v>#NUM!</v>
      </c>
      <c r="CD34" s="59">
        <f ca="1">AVERAGE(OFFSET($CC$3,0,0,'Données projet'!$E$12+1,1))-AVERAGE(OFFSET($H$3,0,0,'Données projet'!$E$12+1,1))</f>
        <v>0</v>
      </c>
      <c r="CE34" s="59">
        <f t="shared" si="40"/>
        <v>0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>
        <f>CT34*VLOOKUP('Données projet'!$B$13,Paramètres!$A$1:$I$89,3,0)*VLOOKUP('Données projet'!$B$13,Paramètres!$A$1:$I$89,5,0)</f>
        <v>0</v>
      </c>
      <c r="CV34" s="13" t="e">
        <f t="shared" si="41"/>
        <v>#NUM!</v>
      </c>
      <c r="CW34" s="20" t="e">
        <f t="shared" si="13"/>
        <v>#NUM!</v>
      </c>
      <c r="CX34" s="59" t="e">
        <f t="shared" si="14"/>
        <v>#NUM!</v>
      </c>
      <c r="CY34" s="59">
        <f ca="1">AVERAGE(OFFSET($CX$3,0,0,'Données projet'!$E$13+1,1))-AVERAGE(OFFSET($H$3,0,0,'Données projet'!$E$13+1,1))</f>
        <v>0</v>
      </c>
      <c r="CZ34" s="59">
        <f t="shared" si="42"/>
        <v>0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>
        <f>DO34*VLOOKUP('Données projet'!$B$14,Paramètres!$A$1:$I$89,3,0)*VLOOKUP('Données projet'!$B$14,Paramètres!$A$1:$I$89,5,0)</f>
        <v>0</v>
      </c>
      <c r="DQ34" s="13" t="e">
        <f t="shared" si="43"/>
        <v>#NUM!</v>
      </c>
      <c r="DR34" s="20" t="e">
        <f t="shared" si="16"/>
        <v>#NUM!</v>
      </c>
      <c r="DS34" s="59" t="e">
        <f t="shared" si="17"/>
        <v>#NUM!</v>
      </c>
      <c r="DT34" s="59">
        <f ca="1">AVERAGE(OFFSET($DS$3,0,0,'Données projet'!$E$14+1,1))-AVERAGE(OFFSET($H$3,0,0,'Données projet'!$E$14+1,1))</f>
        <v>0</v>
      </c>
      <c r="DU34" s="59">
        <f t="shared" si="44"/>
        <v>0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0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0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>
        <f>EJ34*VLOOKUP('Données projet'!$B$15,Paramètres!$A$1:$I$89,3,0)*VLOOKUP('Données projet'!$B$15,Paramètres!$A$1:$I$89,5,0)</f>
        <v>0</v>
      </c>
      <c r="EL34" s="13" t="e">
        <f t="shared" si="45"/>
        <v>#NUM!</v>
      </c>
      <c r="EM34" s="20" t="e">
        <f t="shared" si="19"/>
        <v>#NUM!</v>
      </c>
      <c r="EN34" s="59" t="e">
        <f t="shared" si="20"/>
        <v>#NUM!</v>
      </c>
      <c r="EO34" s="59">
        <f ca="1">AVERAGE(OFFSET($EN$3,0,0,'Données projet'!$E$15+1,1))-AVERAGE(OFFSET($H$3,0,0,'Données projet'!$E$15+1,1))</f>
        <v>0</v>
      </c>
      <c r="EP34" s="59">
        <f t="shared" si="46"/>
        <v>0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>
        <f>EXP(-LN(2)/35)*EV33+(1-EXP(-LN(2)/35))/(LN(2)/35)*ER34*ES34*VLOOKUP('Données projet'!$B$15,Paramètres!$A$1:$I$89,3,0)*0.475*44/12</f>
        <v>0</v>
      </c>
      <c r="EW34" s="21">
        <f>EXP(-LN(2)/25)*EW33+(1-EXP(-LN(2)/25))/(LN(2)/25)*Calculateur!ER34*Calculateur!ET34*VLOOKUP('Données projet'!$B$15,Paramètres!$A$1:$I$89,3,0)*0.475*44/12</f>
        <v>0</v>
      </c>
      <c r="EX34" s="21">
        <f>EXP(-LN(2)/2)*EX33+(1-EXP(-LN(2)/2))/(LN(2)/2)*ER34*EU34*VLOOKUP('Données projet'!$B$15,Paramètres!$A$1:$I$89,3,0)*0.475*44/12</f>
        <v>0</v>
      </c>
      <c r="EY34" s="22">
        <f t="shared" si="21"/>
        <v>0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>
        <f>FE34*VLOOKUP('Données projet'!$B$16,Paramètres!$A$1:$I$89,3,0)*VLOOKUP('Données projet'!$B$16,Paramètres!$A$1:$I$89,5,0)</f>
        <v>0</v>
      </c>
      <c r="FG34" s="13" t="e">
        <f t="shared" si="47"/>
        <v>#NUM!</v>
      </c>
      <c r="FH34" s="20" t="e">
        <f t="shared" si="22"/>
        <v>#NUM!</v>
      </c>
      <c r="FI34" s="59" t="e">
        <f t="shared" si="23"/>
        <v>#NUM!</v>
      </c>
      <c r="FJ34" s="59">
        <f ca="1">AVERAGE(OFFSET($FI$3,0,0,'Données projet'!$E$16+1,1))-AVERAGE(OFFSET($H$3,0,0,'Données projet'!$E$16+1,1))</f>
        <v>0</v>
      </c>
      <c r="FK34" s="59">
        <f t="shared" si="48"/>
        <v>0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>
        <f>EXP(-LN(2)/35)*FQ33+(1-EXP(-LN(2)/35))/(LN(2)/35)*FM34*FN34*VLOOKUP('Données projet'!$B$16,Paramètres!$A$1:$I$89,3,0)*0.475*44/12</f>
        <v>0</v>
      </c>
      <c r="FR34" s="21">
        <f>EXP(-LN(2)/25)*FR33+(1-EXP(-LN(2)/25))/(LN(2)/25)*Calculateur!FM34*Calculateur!FO34*VLOOKUP('Données projet'!$B$16,Paramètres!$A$1:$I$89,3,0)*0.475*44/12</f>
        <v>0</v>
      </c>
      <c r="FS34" s="21">
        <f>EXP(-LN(2)/2)*FS33+(1-EXP(-LN(2)/2))/(LN(2)/2)*FM34*FP34*VLOOKUP('Données projet'!$B$16,Paramètres!$A$1:$I$89,3,0)*0.475*44/12</f>
        <v>0</v>
      </c>
      <c r="FT34" s="22">
        <f t="shared" si="24"/>
        <v>0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1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14.833333333333334</v>
      </c>
      <c r="N35" s="13">
        <f>IF('Données projet'!$A$36&gt;35,N34+M35-V34,IF(A35&lt;'Données projet'!$A$36,$K$205^A35,IF(A35='Données projet'!$A$36,'Données projet'!$B$36,N34+M35-V34)))</f>
        <v>214.33333333333337</v>
      </c>
      <c r="O35" s="13">
        <f>N35*VLOOKUP('Données projet'!$B$9,Paramètres!$A$1:$I$89,3,0)*VLOOKUP('Données projet'!$B$9,Paramètres!$A$1:$I$89,5,0)</f>
        <v>128.17133333333337</v>
      </c>
      <c r="P35" s="13">
        <f t="shared" si="33"/>
        <v>33.5734603980111</v>
      </c>
      <c r="Q35" s="20">
        <f t="shared" ref="Q35:Q66" si="53">(O35+P35)*0.475*44/12</f>
        <v>281.70551574875822</v>
      </c>
      <c r="R35" s="59">
        <f t="shared" si="0"/>
        <v>575.03884908209147</v>
      </c>
      <c r="S35" s="59">
        <f ca="1">AVERAGE(OFFSET($R$3,0,0,'Données projet'!$E$9+1,1))-AVERAGE(OFFSET($H$3,0,0,'Données projet'!$E$9+1,1))</f>
        <v>186.90544184210381</v>
      </c>
      <c r="T35" s="59">
        <f t="shared" si="34"/>
        <v>202.05988514450519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8.6890060967312301</v>
      </c>
      <c r="AA35" s="21">
        <f>EXP(-LN(2)/25)*AA34+(1-EXP(-LN(2)/25))/(LN(2)/25)*Calculateur!V35*Calculateur!X35*VLOOKUP('Données projet'!$B$9,Paramètres!$A$1:$I$89,3,0)*0.475*44/12</f>
        <v>10.386862025307568</v>
      </c>
      <c r="AB35" s="21">
        <f>EXP(-LN(2)/2)*AB34+(1-EXP(-LN(2)/2))/(LN(2)/2)*V35*Y35*VLOOKUP('Données projet'!$B$9,Paramètres!$A$1:$I$89,3,0)*0.475*44/12</f>
        <v>2.3493970548276195</v>
      </c>
      <c r="AC35" s="22">
        <f t="shared" si="3"/>
        <v>21.425265176866418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14.833333333333334</v>
      </c>
      <c r="AI35" s="13">
        <f>IF('Données projet'!$A$62&gt;35,AI34+AH35-AQ34,IF(A35&lt;'Données projet'!$A$62,$AF$205^A35,IF(A35='Données projet'!$A$62,'Données projet'!$B$62,AI34+AH35-AQ34)))</f>
        <v>214.33333333333337</v>
      </c>
      <c r="AJ35" s="13">
        <f>AI35*VLOOKUP('Données projet'!$B$10,Paramètres!$A$1:$I$89,3,0)*VLOOKUP('Données projet'!$B$10,Paramètres!$A$1:$I$89,5,0)</f>
        <v>128.17133333333337</v>
      </c>
      <c r="AK35" s="13">
        <f t="shared" si="35"/>
        <v>33.5734603980111</v>
      </c>
      <c r="AL35" s="20">
        <f t="shared" si="4"/>
        <v>281.70551574875822</v>
      </c>
      <c r="AM35" s="59">
        <f t="shared" si="5"/>
        <v>575.03884908209147</v>
      </c>
      <c r="AN35" s="59">
        <f ca="1">AVERAGE(OFFSET($AM$3,0,0,'Données projet'!$E$10+1,1))-AVERAGE(OFFSET($H$3,0,0,'Données projet'!$E$10+1,1))</f>
        <v>186.90544184210381</v>
      </c>
      <c r="AO35" s="59">
        <f t="shared" si="36"/>
        <v>202.05988514450519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8.6890060967312301</v>
      </c>
      <c r="AV35" s="21">
        <f>EXP(-LN(2)/25)*AV34+(1-EXP(-LN(2)/25))/(LN(2)/25)*Calculateur!AQ35*Calculateur!AS35*VLOOKUP('Données projet'!$B$10,Paramètres!$A$1:$I$89,3,0)*0.475*44/12</f>
        <v>10.386862025307568</v>
      </c>
      <c r="AW35" s="21">
        <f>EXP(-LN(2)/2)*AW34+(1-EXP(-LN(2)/2))/(LN(2)/2)*AQ35*AT35*VLOOKUP('Données projet'!$B$10,Paramètres!$A$1:$I$89,3,0)*0.475*44/12</f>
        <v>2.3493970548276195</v>
      </c>
      <c r="AX35" s="21">
        <f t="shared" si="6"/>
        <v>21.425265176866418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3.6</v>
      </c>
      <c r="BD35" s="12">
        <f>IF('Données projet'!$A$88&gt;35,BD34+BC35-BL34,IF(A35&lt;'Données projet'!$A$88,$BA$205^A35,IF(A35='Données projet'!$A$88,'Données projet'!$B$88,BD34+BC35-BL34)))</f>
        <v>64.199999999999989</v>
      </c>
      <c r="BE35" s="13">
        <f>BD35*VLOOKUP('Données projet'!$B$11,Paramètres!$A$1:$I$89,3,0)*VLOOKUP('Données projet'!$B$11,Paramètres!$A$1:$I$89,5,0)</f>
        <v>52.079039999999992</v>
      </c>
      <c r="BF35" s="13">
        <f t="shared" si="37"/>
        <v>15.149401133573162</v>
      </c>
      <c r="BG35" s="20">
        <f t="shared" si="7"/>
        <v>117.08953497430657</v>
      </c>
      <c r="BH35" s="59">
        <f t="shared" si="8"/>
        <v>410.42286830763987</v>
      </c>
      <c r="BI35" s="59">
        <f ca="1">AVERAGE(OFFSET($BH$3,0,0,'Données projet'!$E$11+1,1))-AVERAGE(OFFSET($H$3,0,0,'Données projet'!$E$11+1,1))</f>
        <v>5.8584049049231908</v>
      </c>
      <c r="BJ35" s="59">
        <f t="shared" si="38"/>
        <v>42.266833200216638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3.4230278073571205</v>
      </c>
      <c r="BS35" s="22">
        <f t="shared" si="9"/>
        <v>3.4230278073571205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>
        <f>BY35*VLOOKUP('Données projet'!$B$12,Paramètres!$A$1:$I$89,3,0)*VLOOKUP('Données projet'!$B$12,Paramètres!$A$1:$I$89,5,0)</f>
        <v>0</v>
      </c>
      <c r="CA35" s="13" t="e">
        <f t="shared" si="39"/>
        <v>#NUM!</v>
      </c>
      <c r="CB35" s="20" t="e">
        <f t="shared" si="10"/>
        <v>#NUM!</v>
      </c>
      <c r="CC35" s="59" t="e">
        <f t="shared" si="11"/>
        <v>#NUM!</v>
      </c>
      <c r="CD35" s="59">
        <f ca="1">AVERAGE(OFFSET($CC$3,0,0,'Données projet'!$E$12+1,1))-AVERAGE(OFFSET($H$3,0,0,'Données projet'!$E$12+1,1))</f>
        <v>0</v>
      </c>
      <c r="CE35" s="59">
        <f t="shared" si="40"/>
        <v>0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>
        <f>CT35*VLOOKUP('Données projet'!$B$13,Paramètres!$A$1:$I$89,3,0)*VLOOKUP('Données projet'!$B$13,Paramètres!$A$1:$I$89,5,0)</f>
        <v>0</v>
      </c>
      <c r="CV35" s="13" t="e">
        <f t="shared" si="41"/>
        <v>#NUM!</v>
      </c>
      <c r="CW35" s="20" t="e">
        <f t="shared" si="13"/>
        <v>#NUM!</v>
      </c>
      <c r="CX35" s="59" t="e">
        <f t="shared" si="14"/>
        <v>#NUM!</v>
      </c>
      <c r="CY35" s="59">
        <f ca="1">AVERAGE(OFFSET($CX$3,0,0,'Données projet'!$E$13+1,1))-AVERAGE(OFFSET($H$3,0,0,'Données projet'!$E$13+1,1))</f>
        <v>0</v>
      </c>
      <c r="CZ35" s="59">
        <f t="shared" si="42"/>
        <v>0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>
        <f>DO35*VLOOKUP('Données projet'!$B$14,Paramètres!$A$1:$I$89,3,0)*VLOOKUP('Données projet'!$B$14,Paramètres!$A$1:$I$89,5,0)</f>
        <v>0</v>
      </c>
      <c r="DQ35" s="13" t="e">
        <f t="shared" si="43"/>
        <v>#NUM!</v>
      </c>
      <c r="DR35" s="20" t="e">
        <f t="shared" si="16"/>
        <v>#NUM!</v>
      </c>
      <c r="DS35" s="59" t="e">
        <f t="shared" si="17"/>
        <v>#NUM!</v>
      </c>
      <c r="DT35" s="59">
        <f ca="1">AVERAGE(OFFSET($DS$3,0,0,'Données projet'!$E$14+1,1))-AVERAGE(OFFSET($H$3,0,0,'Données projet'!$E$14+1,1))</f>
        <v>0</v>
      </c>
      <c r="DU35" s="59">
        <f t="shared" si="44"/>
        <v>0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0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0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>
        <f>EJ35*VLOOKUP('Données projet'!$B$15,Paramètres!$A$1:$I$89,3,0)*VLOOKUP('Données projet'!$B$15,Paramètres!$A$1:$I$89,5,0)</f>
        <v>0</v>
      </c>
      <c r="EL35" s="13" t="e">
        <f t="shared" si="45"/>
        <v>#NUM!</v>
      </c>
      <c r="EM35" s="20" t="e">
        <f t="shared" si="19"/>
        <v>#NUM!</v>
      </c>
      <c r="EN35" s="59" t="e">
        <f t="shared" si="20"/>
        <v>#NUM!</v>
      </c>
      <c r="EO35" s="59">
        <f ca="1">AVERAGE(OFFSET($EN$3,0,0,'Données projet'!$E$15+1,1))-AVERAGE(OFFSET($H$3,0,0,'Données projet'!$E$15+1,1))</f>
        <v>0</v>
      </c>
      <c r="EP35" s="59">
        <f t="shared" si="46"/>
        <v>0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>
        <f>EXP(-LN(2)/35)*EV34+(1-EXP(-LN(2)/35))/(LN(2)/35)*ER35*ES35*VLOOKUP('Données projet'!$B$15,Paramètres!$A$1:$I$89,3,0)*0.475*44/12</f>
        <v>0</v>
      </c>
      <c r="EW35" s="21">
        <f>EXP(-LN(2)/25)*EW34+(1-EXP(-LN(2)/25))/(LN(2)/25)*Calculateur!ER35*Calculateur!ET35*VLOOKUP('Données projet'!$B$15,Paramètres!$A$1:$I$89,3,0)*0.475*44/12</f>
        <v>0</v>
      </c>
      <c r="EX35" s="21">
        <f>EXP(-LN(2)/2)*EX34+(1-EXP(-LN(2)/2))/(LN(2)/2)*ER35*EU35*VLOOKUP('Données projet'!$B$15,Paramètres!$A$1:$I$89,3,0)*0.475*44/12</f>
        <v>0</v>
      </c>
      <c r="EY35" s="22">
        <f t="shared" si="21"/>
        <v>0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>
        <f>FE35*VLOOKUP('Données projet'!$B$16,Paramètres!$A$1:$I$89,3,0)*VLOOKUP('Données projet'!$B$16,Paramètres!$A$1:$I$89,5,0)</f>
        <v>0</v>
      </c>
      <c r="FG35" s="13" t="e">
        <f t="shared" si="47"/>
        <v>#NUM!</v>
      </c>
      <c r="FH35" s="20" t="e">
        <f t="shared" si="22"/>
        <v>#NUM!</v>
      </c>
      <c r="FI35" s="59" t="e">
        <f t="shared" si="23"/>
        <v>#NUM!</v>
      </c>
      <c r="FJ35" s="59">
        <f ca="1">AVERAGE(OFFSET($FI$3,0,0,'Données projet'!$E$16+1,1))-AVERAGE(OFFSET($H$3,0,0,'Données projet'!$E$16+1,1))</f>
        <v>0</v>
      </c>
      <c r="FK35" s="59">
        <f t="shared" si="48"/>
        <v>0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>
        <f>EXP(-LN(2)/35)*FQ34+(1-EXP(-LN(2)/35))/(LN(2)/35)*FM35*FN35*VLOOKUP('Données projet'!$B$16,Paramètres!$A$1:$I$89,3,0)*0.475*44/12</f>
        <v>0</v>
      </c>
      <c r="FR35" s="21">
        <f>EXP(-LN(2)/25)*FR34+(1-EXP(-LN(2)/25))/(LN(2)/25)*Calculateur!FM35*Calculateur!FO35*VLOOKUP('Données projet'!$B$16,Paramètres!$A$1:$I$89,3,0)*0.475*44/12</f>
        <v>0</v>
      </c>
      <c r="FS35" s="21">
        <f>EXP(-LN(2)/2)*FS34+(1-EXP(-LN(2)/2))/(LN(2)/2)*FM35*FP35*VLOOKUP('Données projet'!$B$16,Paramètres!$A$1:$I$89,3,0)*0.475*44/12</f>
        <v>0</v>
      </c>
      <c r="FT35" s="22">
        <f t="shared" si="24"/>
        <v>0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1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14.833333333333334</v>
      </c>
      <c r="N36" s="13">
        <f>IF('Données projet'!$A$36&gt;35,N35+M36-V35,IF(A36&lt;'Données projet'!$A$36,$K$205^A36,IF(A36='Données projet'!$A$36,'Données projet'!$B$36,N35+M36-V35)))</f>
        <v>229.16666666666671</v>
      </c>
      <c r="O36" s="13">
        <f>N36*VLOOKUP('Données projet'!$B$9,Paramètres!$A$1:$I$89,3,0)*VLOOKUP('Données projet'!$B$9,Paramètres!$A$1:$I$89,5,0)</f>
        <v>137.04166666666671</v>
      </c>
      <c r="P36" s="13">
        <f t="shared" si="33"/>
        <v>35.618452776877568</v>
      </c>
      <c r="Q36" s="20">
        <f t="shared" si="53"/>
        <v>300.7163746975063</v>
      </c>
      <c r="R36" s="59">
        <f t="shared" si="0"/>
        <v>594.04970803083961</v>
      </c>
      <c r="S36" s="59">
        <f ca="1">AVERAGE(OFFSET($R$3,0,0,'Données projet'!$E$9+1,1))-AVERAGE(OFFSET($H$3,0,0,'Données projet'!$E$9+1,1))</f>
        <v>186.90544184210381</v>
      </c>
      <c r="T36" s="59">
        <f t="shared" si="34"/>
        <v>202.05988514450519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8.5186199869447403</v>
      </c>
      <c r="AA36" s="21">
        <f>EXP(-LN(2)/25)*AA35+(1-EXP(-LN(2)/25))/(LN(2)/25)*Calculateur!V36*Calculateur!X36*VLOOKUP('Données projet'!$B$9,Paramètres!$A$1:$I$89,3,0)*0.475*44/12</f>
        <v>10.102832737004199</v>
      </c>
      <c r="AB36" s="21">
        <f>EXP(-LN(2)/2)*AB35+(1-EXP(-LN(2)/2))/(LN(2)/2)*V36*Y36*VLOOKUP('Données projet'!$B$9,Paramètres!$A$1:$I$89,3,0)*0.475*44/12</f>
        <v>1.6612745891683129</v>
      </c>
      <c r="AC36" s="22">
        <f t="shared" si="3"/>
        <v>20.282727313117256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14.833333333333334</v>
      </c>
      <c r="AI36" s="13">
        <f>IF('Données projet'!$A$62&gt;35,AI35+AH36-AQ35,IF(A36&lt;'Données projet'!$A$62,$AF$205^A36,IF(A36='Données projet'!$A$62,'Données projet'!$B$62,AI35+AH36-AQ35)))</f>
        <v>229.16666666666671</v>
      </c>
      <c r="AJ36" s="13">
        <f>AI36*VLOOKUP('Données projet'!$B$10,Paramètres!$A$1:$I$89,3,0)*VLOOKUP('Données projet'!$B$10,Paramètres!$A$1:$I$89,5,0)</f>
        <v>137.04166666666671</v>
      </c>
      <c r="AK36" s="13">
        <f t="shared" si="35"/>
        <v>35.618452776877568</v>
      </c>
      <c r="AL36" s="20">
        <f t="shared" si="4"/>
        <v>300.7163746975063</v>
      </c>
      <c r="AM36" s="59">
        <f t="shared" si="5"/>
        <v>594.04970803083961</v>
      </c>
      <c r="AN36" s="59">
        <f ca="1">AVERAGE(OFFSET($AM$3,0,0,'Données projet'!$E$10+1,1))-AVERAGE(OFFSET($H$3,0,0,'Données projet'!$E$10+1,1))</f>
        <v>186.90544184210381</v>
      </c>
      <c r="AO36" s="59">
        <f t="shared" si="36"/>
        <v>202.05988514450519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8.5186199869447403</v>
      </c>
      <c r="AV36" s="21">
        <f>EXP(-LN(2)/25)*AV35+(1-EXP(-LN(2)/25))/(LN(2)/25)*Calculateur!AQ36*Calculateur!AS36*VLOOKUP('Données projet'!$B$10,Paramètres!$A$1:$I$89,3,0)*0.475*44/12</f>
        <v>10.102832737004199</v>
      </c>
      <c r="AW36" s="21">
        <f>EXP(-LN(2)/2)*AW35+(1-EXP(-LN(2)/2))/(LN(2)/2)*AQ36*AT36*VLOOKUP('Données projet'!$B$10,Paramètres!$A$1:$I$89,3,0)*0.475*44/12</f>
        <v>1.6612745891683129</v>
      </c>
      <c r="AX36" s="21">
        <f t="shared" si="6"/>
        <v>20.282727313117256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3.6</v>
      </c>
      <c r="BD36" s="12">
        <f>IF('Données projet'!$A$88&gt;35,BD35+BC36-BL35,IF(A36&lt;'Données projet'!$A$88,$BA$205^A36,IF(A36='Données projet'!$A$88,'Données projet'!$B$88,BD35+BC36-BL35)))</f>
        <v>67.799999999999983</v>
      </c>
      <c r="BE36" s="13">
        <f>BD36*VLOOKUP('Données projet'!$B$11,Paramètres!$A$1:$I$89,3,0)*VLOOKUP('Données projet'!$B$11,Paramètres!$A$1:$I$89,5,0)</f>
        <v>54.999359999999989</v>
      </c>
      <c r="BF36" s="13">
        <f t="shared" si="37"/>
        <v>15.897618537944966</v>
      </c>
      <c r="BG36" s="20">
        <f t="shared" si="7"/>
        <v>123.47890428692081</v>
      </c>
      <c r="BH36" s="59">
        <f t="shared" si="8"/>
        <v>416.81223762025411</v>
      </c>
      <c r="BI36" s="59">
        <f ca="1">AVERAGE(OFFSET($BH$3,0,0,'Données projet'!$E$11+1,1))-AVERAGE(OFFSET($H$3,0,0,'Données projet'!$E$11+1,1))</f>
        <v>5.8584049049231908</v>
      </c>
      <c r="BJ36" s="59">
        <f t="shared" si="38"/>
        <v>42.266833200216638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2.4204461747723394</v>
      </c>
      <c r="BS36" s="22">
        <f t="shared" si="9"/>
        <v>2.4204461747723394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>
        <f>BY36*VLOOKUP('Données projet'!$B$12,Paramètres!$A$1:$I$89,3,0)*VLOOKUP('Données projet'!$B$12,Paramètres!$A$1:$I$89,5,0)</f>
        <v>0</v>
      </c>
      <c r="CA36" s="13" t="e">
        <f t="shared" si="39"/>
        <v>#NUM!</v>
      </c>
      <c r="CB36" s="20" t="e">
        <f t="shared" si="10"/>
        <v>#NUM!</v>
      </c>
      <c r="CC36" s="59" t="e">
        <f t="shared" si="11"/>
        <v>#NUM!</v>
      </c>
      <c r="CD36" s="59">
        <f ca="1">AVERAGE(OFFSET($CC$3,0,0,'Données projet'!$E$12+1,1))-AVERAGE(OFFSET($H$3,0,0,'Données projet'!$E$12+1,1))</f>
        <v>0</v>
      </c>
      <c r="CE36" s="59">
        <f t="shared" si="40"/>
        <v>0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>
        <f>CT36*VLOOKUP('Données projet'!$B$13,Paramètres!$A$1:$I$89,3,0)*VLOOKUP('Données projet'!$B$13,Paramètres!$A$1:$I$89,5,0)</f>
        <v>0</v>
      </c>
      <c r="CV36" s="13" t="e">
        <f t="shared" si="41"/>
        <v>#NUM!</v>
      </c>
      <c r="CW36" s="20" t="e">
        <f t="shared" si="13"/>
        <v>#NUM!</v>
      </c>
      <c r="CX36" s="59" t="e">
        <f t="shared" si="14"/>
        <v>#NUM!</v>
      </c>
      <c r="CY36" s="59">
        <f ca="1">AVERAGE(OFFSET($CX$3,0,0,'Données projet'!$E$13+1,1))-AVERAGE(OFFSET($H$3,0,0,'Données projet'!$E$13+1,1))</f>
        <v>0</v>
      </c>
      <c r="CZ36" s="59">
        <f t="shared" si="42"/>
        <v>0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>
        <f>DO36*VLOOKUP('Données projet'!$B$14,Paramètres!$A$1:$I$89,3,0)*VLOOKUP('Données projet'!$B$14,Paramètres!$A$1:$I$89,5,0)</f>
        <v>0</v>
      </c>
      <c r="DQ36" s="13" t="e">
        <f t="shared" si="43"/>
        <v>#NUM!</v>
      </c>
      <c r="DR36" s="20" t="e">
        <f t="shared" si="16"/>
        <v>#NUM!</v>
      </c>
      <c r="DS36" s="59" t="e">
        <f t="shared" si="17"/>
        <v>#NUM!</v>
      </c>
      <c r="DT36" s="59">
        <f ca="1">AVERAGE(OFFSET($DS$3,0,0,'Données projet'!$E$14+1,1))-AVERAGE(OFFSET($H$3,0,0,'Données projet'!$E$14+1,1))</f>
        <v>0</v>
      </c>
      <c r="DU36" s="59">
        <f t="shared" si="44"/>
        <v>0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0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0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>
        <f>EJ36*VLOOKUP('Données projet'!$B$15,Paramètres!$A$1:$I$89,3,0)*VLOOKUP('Données projet'!$B$15,Paramètres!$A$1:$I$89,5,0)</f>
        <v>0</v>
      </c>
      <c r="EL36" s="13" t="e">
        <f t="shared" si="45"/>
        <v>#NUM!</v>
      </c>
      <c r="EM36" s="20" t="e">
        <f t="shared" si="19"/>
        <v>#NUM!</v>
      </c>
      <c r="EN36" s="59" t="e">
        <f t="shared" si="20"/>
        <v>#NUM!</v>
      </c>
      <c r="EO36" s="59">
        <f ca="1">AVERAGE(OFFSET($EN$3,0,0,'Données projet'!$E$15+1,1))-AVERAGE(OFFSET($H$3,0,0,'Données projet'!$E$15+1,1))</f>
        <v>0</v>
      </c>
      <c r="EP36" s="59">
        <f t="shared" si="46"/>
        <v>0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>
        <f>EXP(-LN(2)/35)*EV35+(1-EXP(-LN(2)/35))/(LN(2)/35)*ER36*ES36*VLOOKUP('Données projet'!$B$15,Paramètres!$A$1:$I$89,3,0)*0.475*44/12</f>
        <v>0</v>
      </c>
      <c r="EW36" s="21">
        <f>EXP(-LN(2)/25)*EW35+(1-EXP(-LN(2)/25))/(LN(2)/25)*Calculateur!ER36*Calculateur!ET36*VLOOKUP('Données projet'!$B$15,Paramètres!$A$1:$I$89,3,0)*0.475*44/12</f>
        <v>0</v>
      </c>
      <c r="EX36" s="21">
        <f>EXP(-LN(2)/2)*EX35+(1-EXP(-LN(2)/2))/(LN(2)/2)*ER36*EU36*VLOOKUP('Données projet'!$B$15,Paramètres!$A$1:$I$89,3,0)*0.475*44/12</f>
        <v>0</v>
      </c>
      <c r="EY36" s="22">
        <f t="shared" si="21"/>
        <v>0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>
        <f>FE36*VLOOKUP('Données projet'!$B$16,Paramètres!$A$1:$I$89,3,0)*VLOOKUP('Données projet'!$B$16,Paramètres!$A$1:$I$89,5,0)</f>
        <v>0</v>
      </c>
      <c r="FG36" s="13" t="e">
        <f t="shared" si="47"/>
        <v>#NUM!</v>
      </c>
      <c r="FH36" s="20" t="e">
        <f t="shared" si="22"/>
        <v>#NUM!</v>
      </c>
      <c r="FI36" s="59" t="e">
        <f t="shared" si="23"/>
        <v>#NUM!</v>
      </c>
      <c r="FJ36" s="59">
        <f ca="1">AVERAGE(OFFSET($FI$3,0,0,'Données projet'!$E$16+1,1))-AVERAGE(OFFSET($H$3,0,0,'Données projet'!$E$16+1,1))</f>
        <v>0</v>
      </c>
      <c r="FK36" s="59">
        <f t="shared" si="48"/>
        <v>0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>
        <f>EXP(-LN(2)/35)*FQ35+(1-EXP(-LN(2)/35))/(LN(2)/35)*FM36*FN36*VLOOKUP('Données projet'!$B$16,Paramètres!$A$1:$I$89,3,0)*0.475*44/12</f>
        <v>0</v>
      </c>
      <c r="FR36" s="21">
        <f>EXP(-LN(2)/25)*FR35+(1-EXP(-LN(2)/25))/(LN(2)/25)*Calculateur!FM36*Calculateur!FO36*VLOOKUP('Données projet'!$B$16,Paramètres!$A$1:$I$89,3,0)*0.475*44/12</f>
        <v>0</v>
      </c>
      <c r="FS36" s="21">
        <f>EXP(-LN(2)/2)*FS35+(1-EXP(-LN(2)/2))/(LN(2)/2)*FM36*FP36*VLOOKUP('Données projet'!$B$16,Paramètres!$A$1:$I$89,3,0)*0.475*44/12</f>
        <v>0</v>
      </c>
      <c r="FT36" s="22">
        <f t="shared" si="24"/>
        <v>0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1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244</v>
      </c>
      <c r="L37" s="12">
        <f>VLOOKUP(A37,'Données projet'!$A$35:$I$55,9,0)</f>
        <v>14.833333333333334</v>
      </c>
      <c r="M37" s="12">
        <f t="array" ref="M37">INDEX(L:L,MIN(IF(ISNUMBER(L37:L233),ROW(L37:L233),"")))</f>
        <v>14.833333333333334</v>
      </c>
      <c r="N37" s="13">
        <f>IF('Données projet'!$A$36&gt;35,N36+M37-V36,IF(A37&lt;'Données projet'!$A$36,$K$205^A37,IF(A37='Données projet'!$A$36,'Données projet'!$B$36,N36+M37-V36)))</f>
        <v>244.00000000000006</v>
      </c>
      <c r="O37" s="13">
        <f>N37*VLOOKUP('Données projet'!$B$9,Paramètres!$A$1:$I$89,3,0)*VLOOKUP('Données projet'!$B$9,Paramètres!$A$1:$I$89,5,0)</f>
        <v>145.91200000000006</v>
      </c>
      <c r="P37" s="13">
        <f t="shared" si="33"/>
        <v>37.648084239987625</v>
      </c>
      <c r="Q37" s="20">
        <f t="shared" si="53"/>
        <v>319.7004800513119</v>
      </c>
      <c r="R37" s="59">
        <f t="shared" si="0"/>
        <v>613.03381338464521</v>
      </c>
      <c r="S37" s="59">
        <f ca="1">AVERAGE(OFFSET($R$3,0,0,'Données projet'!$E$9+1,1))-AVERAGE(OFFSET($H$3,0,0,'Données projet'!$E$9+1,1))</f>
        <v>186.90544184210381</v>
      </c>
      <c r="T37" s="59">
        <f t="shared" si="34"/>
        <v>202.05988514450519</v>
      </c>
      <c r="U37" s="15">
        <f>IF(ISNA(VLOOKUP(A37,'Données projet'!$A$35:$I$55,3,0)),0,VLOOKUP(A37,'Données projet'!$A$35:$I$55,3,0))</f>
        <v>5</v>
      </c>
      <c r="V37" s="15">
        <f>IF(ISNA(VLOOKUP(A37,'Données projet'!$A$35:$I$55,4,0)),0,VLOOKUP(A37,'Données projet'!$A$35:$I$55,4,0))</f>
        <v>46</v>
      </c>
      <c r="W37" s="16">
        <f>IF(ISNA(VLOOKUP(A37,'Données projet'!$A$35:$I$55,5,0)),0%,VLOOKUP(A37,'Données projet'!$A$35:$I$55,5,0)*VLOOKUP('Données projet'!$B$9,Paramètres!$A$1:$I$89,7,0))</f>
        <v>0.22500000000000001</v>
      </c>
      <c r="X37" s="16">
        <f>IF(ISNA(VLOOKUP(A37,'Données projet'!$A$35:$I$55,6,0)),0%,VLOOKUP(A37,'Données projet'!$A$35:$I$55,6,0)*VLOOKUP('Données projet'!$B$9,Paramètres!$A$1:$I$89,7,0))</f>
        <v>0.1125</v>
      </c>
      <c r="Y37" s="16">
        <f>IF(ISNA(VLOOKUP(A37,'Données projet'!$A$35:$I$55,7,0)),0%,VLOOKUP(A37,'Données projet'!$A$35:$I$55,7,0))</f>
        <v>0.25</v>
      </c>
      <c r="Z37" s="21">
        <f>EXP(-LN(2)/35)*Z36+(1-EXP(-LN(2)/35))/(LN(2)/35)*V37*W37*VLOOKUP('Données projet'!$B$9,Paramètres!$A$1:$I$89,3,0)*0.475*44/12</f>
        <v>16.562080428897843</v>
      </c>
      <c r="AA37" s="21">
        <f>EXP(-LN(2)/25)*AA36+(1-EXP(-LN(2)/25))/(LN(2)/25)*Calculateur!V37*Calculateur!X37*VLOOKUP('Données projet'!$B$9,Paramètres!$A$1:$I$89,3,0)*0.475*44/12</f>
        <v>13.915658992479493</v>
      </c>
      <c r="AB37" s="21">
        <f>EXP(-LN(2)/2)*AB36+(1-EXP(-LN(2)/2))/(LN(2)/2)*V37*Y37*VLOOKUP('Données projet'!$B$9,Paramètres!$A$1:$I$89,3,0)*0.475*44/12</f>
        <v>8.9610600375033158</v>
      </c>
      <c r="AC37" s="22">
        <f t="shared" si="3"/>
        <v>39.438799458880652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>
        <f>VLOOKUP(A37,'Données projet'!$A$61:$I$81,2,0)</f>
        <v>244</v>
      </c>
      <c r="AG37" s="12">
        <f>VLOOKUP(A37,'Données projet'!$A$61:$I$81,9,0)</f>
        <v>14.833333333333334</v>
      </c>
      <c r="AH37" s="12">
        <f t="array" ref="AH37">INDEX(AG:AG,MIN(IF(ISNUMBER(AG37:AG233),ROW(AG37:AG233),"")))</f>
        <v>14.833333333333334</v>
      </c>
      <c r="AI37" s="13">
        <f>IF('Données projet'!$A$62&gt;35,AI36+AH37-AQ36,IF(A37&lt;'Données projet'!$A$62,$AF$205^A37,IF(A37='Données projet'!$A$62,'Données projet'!$B$62,AI36+AH37-AQ36)))</f>
        <v>244.00000000000006</v>
      </c>
      <c r="AJ37" s="13">
        <f>AI37*VLOOKUP('Données projet'!$B$10,Paramètres!$A$1:$I$89,3,0)*VLOOKUP('Données projet'!$B$10,Paramètres!$A$1:$I$89,5,0)</f>
        <v>145.91200000000006</v>
      </c>
      <c r="AK37" s="13">
        <f t="shared" si="35"/>
        <v>37.648084239987625</v>
      </c>
      <c r="AL37" s="20">
        <f t="shared" si="4"/>
        <v>319.7004800513119</v>
      </c>
      <c r="AM37" s="59">
        <f t="shared" si="5"/>
        <v>613.03381338464521</v>
      </c>
      <c r="AN37" s="59">
        <f ca="1">AVERAGE(OFFSET($AM$3,0,0,'Données projet'!$E$10+1,1))-AVERAGE(OFFSET($H$3,0,0,'Données projet'!$E$10+1,1))</f>
        <v>186.90544184210381</v>
      </c>
      <c r="AO37" s="59">
        <f t="shared" si="36"/>
        <v>202.05988514450519</v>
      </c>
      <c r="AP37" s="15">
        <f>IF(ISNA(VLOOKUP(A37,'Données projet'!$A$61:$I$81,3,0)),0,VLOOKUP(A37,'Données projet'!$A$61:$I$81,3,0))</f>
        <v>5</v>
      </c>
      <c r="AQ37" s="15">
        <f>IF(ISNA(VLOOKUP(A37,'Données projet'!$A$61:$I$81,4,0)),0,VLOOKUP(A37,'Données projet'!$A$61:$I$81,4,0))</f>
        <v>46</v>
      </c>
      <c r="AR37" s="16">
        <f>IF(ISNA(VLOOKUP(A37,'Données projet'!$A$61:$I$81,5,0)),0%,VLOOKUP(A37,'Données projet'!$A$61:$I$81,5,0)*VLOOKUP('Données projet'!$B$10,Paramètres!$A$1:$I$89,7,0))</f>
        <v>0.22500000000000001</v>
      </c>
      <c r="AS37" s="16">
        <f>IF(ISNA(VLOOKUP(A37,'Données projet'!$A$61:$I$81,6,0)),0%,VLOOKUP(A37,'Données projet'!$A$61:$I$81,6,0)*VLOOKUP('Données projet'!$B$10,Paramètres!$A$1:$I$89,7,0))</f>
        <v>0.1125</v>
      </c>
      <c r="AT37" s="16">
        <f>IF(ISNA(VLOOKUP(A37,'Données projet'!$A$61:$I$81,7,0)),0%,VLOOKUP(A37,'Données projet'!$A$61:$I$81,7,0))</f>
        <v>0.25</v>
      </c>
      <c r="AU37" s="21">
        <f>EXP(-LN(2)/35)*AU36+(1-EXP(-LN(2)/35))/(LN(2)/35)*AQ37*AR37*VLOOKUP('Données projet'!$B$10,Paramètres!$A$1:$I$89,3,0)*0.475*44/12</f>
        <v>16.562080428897843</v>
      </c>
      <c r="AV37" s="21">
        <f>EXP(-LN(2)/25)*AV36+(1-EXP(-LN(2)/25))/(LN(2)/25)*Calculateur!AQ37*Calculateur!AS37*VLOOKUP('Données projet'!$B$10,Paramètres!$A$1:$I$89,3,0)*0.475*44/12</f>
        <v>13.915658992479493</v>
      </c>
      <c r="AW37" s="21">
        <f>EXP(-LN(2)/2)*AW36+(1-EXP(-LN(2)/2))/(LN(2)/2)*AQ37*AT37*VLOOKUP('Données projet'!$B$10,Paramètres!$A$1:$I$89,3,0)*0.475*44/12</f>
        <v>8.9610600375033158</v>
      </c>
      <c r="AX37" s="21">
        <f t="shared" si="6"/>
        <v>39.438799458880652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3.6</v>
      </c>
      <c r="BD37" s="12">
        <f>IF('Données projet'!$A$88&gt;35,BD36+BC37-BL36,IF(A37&lt;'Données projet'!$A$88,$BA$205^A37,IF(A37='Données projet'!$A$88,'Données projet'!$B$88,BD36+BC37-BL36)))</f>
        <v>71.399999999999977</v>
      </c>
      <c r="BE37" s="13">
        <f>BD37*VLOOKUP('Données projet'!$B$11,Paramètres!$A$1:$I$89,3,0)*VLOOKUP('Données projet'!$B$11,Paramètres!$A$1:$I$89,5,0)</f>
        <v>57.919679999999978</v>
      </c>
      <c r="BF37" s="13">
        <f t="shared" si="37"/>
        <v>16.641223534705841</v>
      </c>
      <c r="BG37" s="20">
        <f t="shared" si="7"/>
        <v>129.86024032294594</v>
      </c>
      <c r="BH37" s="59">
        <f t="shared" si="8"/>
        <v>423.19357365627923</v>
      </c>
      <c r="BI37" s="59">
        <f ca="1">AVERAGE(OFFSET($BH$3,0,0,'Données projet'!$E$11+1,1))-AVERAGE(OFFSET($H$3,0,0,'Données projet'!$E$11+1,1))</f>
        <v>5.8584049049231908</v>
      </c>
      <c r="BJ37" s="59">
        <f t="shared" si="38"/>
        <v>42.266833200216638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1.7115139036785607</v>
      </c>
      <c r="BS37" s="22">
        <f t="shared" si="9"/>
        <v>1.7115139036785607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>
        <f>BY37*VLOOKUP('Données projet'!$B$12,Paramètres!$A$1:$I$89,3,0)*VLOOKUP('Données projet'!$B$12,Paramètres!$A$1:$I$89,5,0)</f>
        <v>0</v>
      </c>
      <c r="CA37" s="13" t="e">
        <f t="shared" si="39"/>
        <v>#NUM!</v>
      </c>
      <c r="CB37" s="20" t="e">
        <f t="shared" si="10"/>
        <v>#NUM!</v>
      </c>
      <c r="CC37" s="59" t="e">
        <f t="shared" si="11"/>
        <v>#NUM!</v>
      </c>
      <c r="CD37" s="59">
        <f ca="1">AVERAGE(OFFSET($CC$3,0,0,'Données projet'!$E$12+1,1))-AVERAGE(OFFSET($H$3,0,0,'Données projet'!$E$12+1,1))</f>
        <v>0</v>
      </c>
      <c r="CE37" s="59">
        <f t="shared" si="40"/>
        <v>0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>
        <f>CT37*VLOOKUP('Données projet'!$B$13,Paramètres!$A$1:$I$89,3,0)*VLOOKUP('Données projet'!$B$13,Paramètres!$A$1:$I$89,5,0)</f>
        <v>0</v>
      </c>
      <c r="CV37" s="13" t="e">
        <f t="shared" si="41"/>
        <v>#NUM!</v>
      </c>
      <c r="CW37" s="20" t="e">
        <f t="shared" si="13"/>
        <v>#NUM!</v>
      </c>
      <c r="CX37" s="59" t="e">
        <f t="shared" si="14"/>
        <v>#NUM!</v>
      </c>
      <c r="CY37" s="59">
        <f ca="1">AVERAGE(OFFSET($CX$3,0,0,'Données projet'!$E$13+1,1))-AVERAGE(OFFSET($H$3,0,0,'Données projet'!$E$13+1,1))</f>
        <v>0</v>
      </c>
      <c r="CZ37" s="59">
        <f t="shared" si="42"/>
        <v>0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>
        <f>DO37*VLOOKUP('Données projet'!$B$14,Paramètres!$A$1:$I$89,3,0)*VLOOKUP('Données projet'!$B$14,Paramètres!$A$1:$I$89,5,0)</f>
        <v>0</v>
      </c>
      <c r="DQ37" s="13" t="e">
        <f t="shared" si="43"/>
        <v>#NUM!</v>
      </c>
      <c r="DR37" s="20" t="e">
        <f t="shared" si="16"/>
        <v>#NUM!</v>
      </c>
      <c r="DS37" s="59" t="e">
        <f t="shared" si="17"/>
        <v>#NUM!</v>
      </c>
      <c r="DT37" s="59">
        <f ca="1">AVERAGE(OFFSET($DS$3,0,0,'Données projet'!$E$14+1,1))-AVERAGE(OFFSET($H$3,0,0,'Données projet'!$E$14+1,1))</f>
        <v>0</v>
      </c>
      <c r="DU37" s="59">
        <f t="shared" si="44"/>
        <v>0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0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0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>
        <f>EJ37*VLOOKUP('Données projet'!$B$15,Paramètres!$A$1:$I$89,3,0)*VLOOKUP('Données projet'!$B$15,Paramètres!$A$1:$I$89,5,0)</f>
        <v>0</v>
      </c>
      <c r="EL37" s="13" t="e">
        <f t="shared" si="45"/>
        <v>#NUM!</v>
      </c>
      <c r="EM37" s="20" t="e">
        <f t="shared" si="19"/>
        <v>#NUM!</v>
      </c>
      <c r="EN37" s="59" t="e">
        <f t="shared" si="20"/>
        <v>#NUM!</v>
      </c>
      <c r="EO37" s="59">
        <f ca="1">AVERAGE(OFFSET($EN$3,0,0,'Données projet'!$E$15+1,1))-AVERAGE(OFFSET($H$3,0,0,'Données projet'!$E$15+1,1))</f>
        <v>0</v>
      </c>
      <c r="EP37" s="59">
        <f t="shared" si="46"/>
        <v>0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>
        <f>EXP(-LN(2)/35)*EV36+(1-EXP(-LN(2)/35))/(LN(2)/35)*ER37*ES37*VLOOKUP('Données projet'!$B$15,Paramètres!$A$1:$I$89,3,0)*0.475*44/12</f>
        <v>0</v>
      </c>
      <c r="EW37" s="21">
        <f>EXP(-LN(2)/25)*EW36+(1-EXP(-LN(2)/25))/(LN(2)/25)*Calculateur!ER37*Calculateur!ET37*VLOOKUP('Données projet'!$B$15,Paramètres!$A$1:$I$89,3,0)*0.475*44/12</f>
        <v>0</v>
      </c>
      <c r="EX37" s="21">
        <f>EXP(-LN(2)/2)*EX36+(1-EXP(-LN(2)/2))/(LN(2)/2)*ER37*EU37*VLOOKUP('Données projet'!$B$15,Paramètres!$A$1:$I$89,3,0)*0.475*44/12</f>
        <v>0</v>
      </c>
      <c r="EY37" s="22">
        <f t="shared" si="21"/>
        <v>0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>
        <f>FE37*VLOOKUP('Données projet'!$B$16,Paramètres!$A$1:$I$89,3,0)*VLOOKUP('Données projet'!$B$16,Paramètres!$A$1:$I$89,5,0)</f>
        <v>0</v>
      </c>
      <c r="FG37" s="13" t="e">
        <f t="shared" si="47"/>
        <v>#NUM!</v>
      </c>
      <c r="FH37" s="20" t="e">
        <f t="shared" si="22"/>
        <v>#NUM!</v>
      </c>
      <c r="FI37" s="59" t="e">
        <f t="shared" si="23"/>
        <v>#NUM!</v>
      </c>
      <c r="FJ37" s="59">
        <f ca="1">AVERAGE(OFFSET($FI$3,0,0,'Données projet'!$E$16+1,1))-AVERAGE(OFFSET($H$3,0,0,'Données projet'!$E$16+1,1))</f>
        <v>0</v>
      </c>
      <c r="FK37" s="59">
        <f t="shared" si="48"/>
        <v>0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>
        <f>EXP(-LN(2)/35)*FQ36+(1-EXP(-LN(2)/35))/(LN(2)/35)*FM37*FN37*VLOOKUP('Données projet'!$B$16,Paramètres!$A$1:$I$89,3,0)*0.475*44/12</f>
        <v>0</v>
      </c>
      <c r="FR37" s="21">
        <f>EXP(-LN(2)/25)*FR36+(1-EXP(-LN(2)/25))/(LN(2)/25)*Calculateur!FM37*Calculateur!FO37*VLOOKUP('Données projet'!$B$16,Paramètres!$A$1:$I$89,3,0)*0.475*44/12</f>
        <v>0</v>
      </c>
      <c r="FS37" s="21">
        <f>EXP(-LN(2)/2)*FS36+(1-EXP(-LN(2)/2))/(LN(2)/2)*FM37*FP37*VLOOKUP('Données projet'!$B$16,Paramètres!$A$1:$I$89,3,0)*0.475*44/12</f>
        <v>0</v>
      </c>
      <c r="FT37" s="22">
        <f t="shared" si="24"/>
        <v>0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1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12.833333333333334</v>
      </c>
      <c r="N38" s="13">
        <f>IF('Données projet'!$A$36&gt;35,N37+M38-V37,IF(A38&lt;'Données projet'!$A$36,$K$205^A38,IF(A38='Données projet'!$A$36,'Données projet'!$B$36,N37+M38-V37)))</f>
        <v>210.83333333333337</v>
      </c>
      <c r="O38" s="13">
        <f>N38*VLOOKUP('Données projet'!$B$9,Paramètres!$A$1:$I$89,3,0)*VLOOKUP('Données projet'!$B$9,Paramètres!$A$1:$I$89,5,0)</f>
        <v>126.07833333333336</v>
      </c>
      <c r="P38" s="13">
        <f t="shared" si="33"/>
        <v>33.08856817390501</v>
      </c>
      <c r="Q38" s="20">
        <f t="shared" si="53"/>
        <v>277.21568679177352</v>
      </c>
      <c r="R38" s="59">
        <f t="shared" si="0"/>
        <v>570.54902012510684</v>
      </c>
      <c r="S38" s="59">
        <f ca="1">AVERAGE(OFFSET($R$3,0,0,'Données projet'!$E$9+1,1))-AVERAGE(OFFSET($H$3,0,0,'Données projet'!$E$9+1,1))</f>
        <v>186.90544184210381</v>
      </c>
      <c r="T38" s="59">
        <f t="shared" si="34"/>
        <v>202.05988514450519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16.237308133558741</v>
      </c>
      <c r="AA38" s="21">
        <f>EXP(-LN(2)/25)*AA37+(1-EXP(-LN(2)/25))/(LN(2)/25)*Calculateur!V38*Calculateur!X38*VLOOKUP('Données projet'!$B$9,Paramètres!$A$1:$I$89,3,0)*0.475*44/12</f>
        <v>13.53513456553744</v>
      </c>
      <c r="AB38" s="21">
        <f>EXP(-LN(2)/2)*AB37+(1-EXP(-LN(2)/2))/(LN(2)/2)*V38*Y38*VLOOKUP('Données projet'!$B$9,Paramètres!$A$1:$I$89,3,0)*0.475*44/12</f>
        <v>6.336426319138373</v>
      </c>
      <c r="AC38" s="22">
        <f t="shared" si="3"/>
        <v>36.108869018234557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12.833333333333334</v>
      </c>
      <c r="AI38" s="13">
        <f>IF('Données projet'!$A$62&gt;35,AI37+AH38-AQ37,IF(A38&lt;'Données projet'!$A$62,$AF$205^A38,IF(A38='Données projet'!$A$62,'Données projet'!$B$62,AI37+AH38-AQ37)))</f>
        <v>210.83333333333337</v>
      </c>
      <c r="AJ38" s="13">
        <f>AI38*VLOOKUP('Données projet'!$B$10,Paramètres!$A$1:$I$89,3,0)*VLOOKUP('Données projet'!$B$10,Paramètres!$A$1:$I$89,5,0)</f>
        <v>126.07833333333336</v>
      </c>
      <c r="AK38" s="13">
        <f t="shared" si="35"/>
        <v>33.08856817390501</v>
      </c>
      <c r="AL38" s="20">
        <f t="shared" si="4"/>
        <v>277.21568679177352</v>
      </c>
      <c r="AM38" s="59">
        <f t="shared" si="5"/>
        <v>570.54902012510684</v>
      </c>
      <c r="AN38" s="59">
        <f ca="1">AVERAGE(OFFSET($AM$3,0,0,'Données projet'!$E$10+1,1))-AVERAGE(OFFSET($H$3,0,0,'Données projet'!$E$10+1,1))</f>
        <v>186.90544184210381</v>
      </c>
      <c r="AO38" s="59">
        <f t="shared" si="36"/>
        <v>202.05988514450519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16.237308133558741</v>
      </c>
      <c r="AV38" s="21">
        <f>EXP(-LN(2)/25)*AV37+(1-EXP(-LN(2)/25))/(LN(2)/25)*Calculateur!AQ38*Calculateur!AS38*VLOOKUP('Données projet'!$B$10,Paramètres!$A$1:$I$89,3,0)*0.475*44/12</f>
        <v>13.53513456553744</v>
      </c>
      <c r="AW38" s="21">
        <f>EXP(-LN(2)/2)*AW37+(1-EXP(-LN(2)/2))/(LN(2)/2)*AQ38*AT38*VLOOKUP('Données projet'!$B$10,Paramètres!$A$1:$I$89,3,0)*0.475*44/12</f>
        <v>6.336426319138373</v>
      </c>
      <c r="AX38" s="21">
        <f t="shared" si="6"/>
        <v>36.108869018234557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75</v>
      </c>
      <c r="BB38" s="12">
        <f>VLOOKUP(A38,'Données projet'!$A$87:$I$107,9,0)</f>
        <v>3.6</v>
      </c>
      <c r="BC38" s="12">
        <f t="array" ref="BC38">INDEX(BB:BB,MIN(IF(ISNUMBER(BB38:BB234),ROW(BB38:BB234),"")))</f>
        <v>3.6</v>
      </c>
      <c r="BD38" s="12">
        <f>IF('Données projet'!$A$88&gt;35,BD37+BC38-BL37,IF(A38&lt;'Données projet'!$A$88,$BA$205^A38,IF(A38='Données projet'!$A$88,'Données projet'!$B$88,BD37+BC38-BL37)))</f>
        <v>74.999999999999972</v>
      </c>
      <c r="BE38" s="13">
        <f>BD38*VLOOKUP('Données projet'!$B$11,Paramètres!$A$1:$I$89,3,0)*VLOOKUP('Données projet'!$B$11,Paramètres!$A$1:$I$89,5,0)</f>
        <v>60.839999999999982</v>
      </c>
      <c r="BF38" s="13">
        <f t="shared" si="37"/>
        <v>17.38047521653144</v>
      </c>
      <c r="BG38" s="20">
        <f t="shared" si="7"/>
        <v>136.23399433545887</v>
      </c>
      <c r="BH38" s="59">
        <f t="shared" si="8"/>
        <v>429.56732766879219</v>
      </c>
      <c r="BI38" s="59">
        <f ca="1">AVERAGE(OFFSET($BH$3,0,0,'Données projet'!$E$11+1,1))-AVERAGE(OFFSET($H$3,0,0,'Données projet'!$E$11+1,1))</f>
        <v>5.8584049049231908</v>
      </c>
      <c r="BJ38" s="59">
        <f t="shared" si="38"/>
        <v>42.266833200216638</v>
      </c>
      <c r="BK38" s="15">
        <f>IF(ISNA(VLOOKUP(A38,'Données projet'!$A$87:$I$107,3,0)),0,VLOOKUP(A38,'Données projet'!$A$87:$I$107,3,0))</f>
        <v>3</v>
      </c>
      <c r="BL38" s="15">
        <f>IF(ISNA(VLOOKUP(A38,'Données projet'!$A$87:$I$107,4,0)),0,VLOOKUP(A38,'Données projet'!$A$87:$I$107,4,0))</f>
        <v>75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1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58.614400571977988</v>
      </c>
      <c r="BS38" s="22">
        <f t="shared" si="9"/>
        <v>58.614400571977988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>
        <f>BY38*VLOOKUP('Données projet'!$B$12,Paramètres!$A$1:$I$89,3,0)*VLOOKUP('Données projet'!$B$12,Paramètres!$A$1:$I$89,5,0)</f>
        <v>0</v>
      </c>
      <c r="CA38" s="13" t="e">
        <f t="shared" si="39"/>
        <v>#NUM!</v>
      </c>
      <c r="CB38" s="20" t="e">
        <f t="shared" si="10"/>
        <v>#NUM!</v>
      </c>
      <c r="CC38" s="59" t="e">
        <f t="shared" si="11"/>
        <v>#NUM!</v>
      </c>
      <c r="CD38" s="59">
        <f ca="1">AVERAGE(OFFSET($CC$3,0,0,'Données projet'!$E$12+1,1))-AVERAGE(OFFSET($H$3,0,0,'Données projet'!$E$12+1,1))</f>
        <v>0</v>
      </c>
      <c r="CE38" s="59">
        <f t="shared" si="40"/>
        <v>0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0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>
        <f>CT38*VLOOKUP('Données projet'!$B$13,Paramètres!$A$1:$I$89,3,0)*VLOOKUP('Données projet'!$B$13,Paramètres!$A$1:$I$89,5,0)</f>
        <v>0</v>
      </c>
      <c r="CV38" s="13" t="e">
        <f t="shared" si="41"/>
        <v>#NUM!</v>
      </c>
      <c r="CW38" s="20" t="e">
        <f t="shared" si="13"/>
        <v>#NUM!</v>
      </c>
      <c r="CX38" s="59" t="e">
        <f t="shared" si="14"/>
        <v>#NUM!</v>
      </c>
      <c r="CY38" s="59">
        <f ca="1">AVERAGE(OFFSET($CX$3,0,0,'Données projet'!$E$13+1,1))-AVERAGE(OFFSET($H$3,0,0,'Données projet'!$E$13+1,1))</f>
        <v>0</v>
      </c>
      <c r="CZ38" s="59">
        <f t="shared" si="42"/>
        <v>0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0</v>
      </c>
      <c r="DG38" s="21">
        <f>EXP(-LN(2)/25)*DG37+(1-EXP(-LN(2)/25))/(LN(2)/25)*Calculateur!DB38*Calculateur!DD38*VLOOKUP('Données projet'!$B$13,Paramètres!$A$1:$I$89,3,0)*0.475*44/12</f>
        <v>0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0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>
        <f>DO38*VLOOKUP('Données projet'!$B$14,Paramètres!$A$1:$I$89,3,0)*VLOOKUP('Données projet'!$B$14,Paramètres!$A$1:$I$89,5,0)</f>
        <v>0</v>
      </c>
      <c r="DQ38" s="13" t="e">
        <f t="shared" si="43"/>
        <v>#NUM!</v>
      </c>
      <c r="DR38" s="20" t="e">
        <f t="shared" si="16"/>
        <v>#NUM!</v>
      </c>
      <c r="DS38" s="59" t="e">
        <f t="shared" si="17"/>
        <v>#NUM!</v>
      </c>
      <c r="DT38" s="59">
        <f ca="1">AVERAGE(OFFSET($DS$3,0,0,'Données projet'!$E$14+1,1))-AVERAGE(OFFSET($H$3,0,0,'Données projet'!$E$14+1,1))</f>
        <v>0</v>
      </c>
      <c r="DU38" s="59">
        <f t="shared" si="44"/>
        <v>0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0</v>
      </c>
      <c r="EB38" s="21">
        <f>EXP(-LN(2)/25)*EB37+(1-EXP(-LN(2)/25))/(LN(2)/25)*Calculateur!DW38*Calculateur!DY38*VLOOKUP('Données projet'!$B$14,Paramètres!$A$1:$I$89,3,0)*0.475*44/12</f>
        <v>0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0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>
        <f>EJ38*VLOOKUP('Données projet'!$B$15,Paramètres!$A$1:$I$89,3,0)*VLOOKUP('Données projet'!$B$15,Paramètres!$A$1:$I$89,5,0)</f>
        <v>0</v>
      </c>
      <c r="EL38" s="13" t="e">
        <f t="shared" si="45"/>
        <v>#NUM!</v>
      </c>
      <c r="EM38" s="20" t="e">
        <f t="shared" si="19"/>
        <v>#NUM!</v>
      </c>
      <c r="EN38" s="59" t="e">
        <f t="shared" si="20"/>
        <v>#NUM!</v>
      </c>
      <c r="EO38" s="59">
        <f ca="1">AVERAGE(OFFSET($EN$3,0,0,'Données projet'!$E$15+1,1))-AVERAGE(OFFSET($H$3,0,0,'Données projet'!$E$15+1,1))</f>
        <v>0</v>
      </c>
      <c r="EP38" s="59">
        <f t="shared" si="46"/>
        <v>0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>
        <f>EXP(-LN(2)/35)*EV37+(1-EXP(-LN(2)/35))/(LN(2)/35)*ER38*ES38*VLOOKUP('Données projet'!$B$15,Paramètres!$A$1:$I$89,3,0)*0.475*44/12</f>
        <v>0</v>
      </c>
      <c r="EW38" s="21">
        <f>EXP(-LN(2)/25)*EW37+(1-EXP(-LN(2)/25))/(LN(2)/25)*Calculateur!ER38*Calculateur!ET38*VLOOKUP('Données projet'!$B$15,Paramètres!$A$1:$I$89,3,0)*0.475*44/12</f>
        <v>0</v>
      </c>
      <c r="EX38" s="21">
        <f>EXP(-LN(2)/2)*EX37+(1-EXP(-LN(2)/2))/(LN(2)/2)*ER38*EU38*VLOOKUP('Données projet'!$B$15,Paramètres!$A$1:$I$89,3,0)*0.475*44/12</f>
        <v>0</v>
      </c>
      <c r="EY38" s="22">
        <f t="shared" si="21"/>
        <v>0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>
        <f>FE38*VLOOKUP('Données projet'!$B$16,Paramètres!$A$1:$I$89,3,0)*VLOOKUP('Données projet'!$B$16,Paramètres!$A$1:$I$89,5,0)</f>
        <v>0</v>
      </c>
      <c r="FG38" s="13" t="e">
        <f t="shared" si="47"/>
        <v>#NUM!</v>
      </c>
      <c r="FH38" s="20" t="e">
        <f t="shared" si="22"/>
        <v>#NUM!</v>
      </c>
      <c r="FI38" s="59" t="e">
        <f t="shared" si="23"/>
        <v>#NUM!</v>
      </c>
      <c r="FJ38" s="59">
        <f ca="1">AVERAGE(OFFSET($FI$3,0,0,'Données projet'!$E$16+1,1))-AVERAGE(OFFSET($H$3,0,0,'Données projet'!$E$16+1,1))</f>
        <v>0</v>
      </c>
      <c r="FK38" s="59">
        <f t="shared" si="48"/>
        <v>0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>
        <f>EXP(-LN(2)/35)*FQ37+(1-EXP(-LN(2)/35))/(LN(2)/35)*FM38*FN38*VLOOKUP('Données projet'!$B$16,Paramètres!$A$1:$I$89,3,0)*0.475*44/12</f>
        <v>0</v>
      </c>
      <c r="FR38" s="21">
        <f>EXP(-LN(2)/25)*FR37+(1-EXP(-LN(2)/25))/(LN(2)/25)*Calculateur!FM38*Calculateur!FO38*VLOOKUP('Données projet'!$B$16,Paramètres!$A$1:$I$89,3,0)*0.475*44/12</f>
        <v>0</v>
      </c>
      <c r="FS38" s="21">
        <f>EXP(-LN(2)/2)*FS37+(1-EXP(-LN(2)/2))/(LN(2)/2)*FM38*FP38*VLOOKUP('Données projet'!$B$16,Paramètres!$A$1:$I$89,3,0)*0.475*44/12</f>
        <v>0</v>
      </c>
      <c r="FT38" s="22">
        <f t="shared" si="24"/>
        <v>0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1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12.833333333333334</v>
      </c>
      <c r="N39" s="13">
        <f>IF('Données projet'!$A$36&gt;35,N38+M39-V38,IF(A39&lt;'Données projet'!$A$36,$K$205^A39,IF(A39='Données projet'!$A$36,'Données projet'!$B$36,N38+M39-V38)))</f>
        <v>223.66666666666671</v>
      </c>
      <c r="O39" s="13">
        <f>N39*VLOOKUP('Données projet'!$B$9,Paramètres!$A$1:$I$89,3,0)*VLOOKUP('Données projet'!$B$9,Paramètres!$A$1:$I$89,5,0)</f>
        <v>133.75266666666673</v>
      </c>
      <c r="P39" s="13">
        <f t="shared" si="33"/>
        <v>34.86204901776788</v>
      </c>
      <c r="Q39" s="20">
        <f t="shared" si="53"/>
        <v>293.67062981705698</v>
      </c>
      <c r="R39" s="59">
        <f t="shared" si="0"/>
        <v>587.00396315039029</v>
      </c>
      <c r="S39" s="59">
        <f ca="1">AVERAGE(OFFSET($R$3,0,0,'Données projet'!$E$9+1,1))-AVERAGE(OFFSET($H$3,0,0,'Données projet'!$E$9+1,1))</f>
        <v>186.90544184210381</v>
      </c>
      <c r="T39" s="59">
        <f t="shared" si="34"/>
        <v>202.05988514450519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15.918904424839699</v>
      </c>
      <c r="AA39" s="21">
        <f>EXP(-LN(2)/25)*AA38+(1-EXP(-LN(2)/25))/(LN(2)/25)*Calculateur!V39*Calculateur!X39*VLOOKUP('Données projet'!$B$9,Paramètres!$A$1:$I$89,3,0)*0.475*44/12</f>
        <v>13.165015599061027</v>
      </c>
      <c r="AB39" s="21">
        <f>EXP(-LN(2)/2)*AB38+(1-EXP(-LN(2)/2))/(LN(2)/2)*V39*Y39*VLOOKUP('Données projet'!$B$9,Paramètres!$A$1:$I$89,3,0)*0.475*44/12</f>
        <v>4.4805300187516588</v>
      </c>
      <c r="AC39" s="22">
        <f t="shared" si="3"/>
        <v>33.564450042652382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12.833333333333334</v>
      </c>
      <c r="AI39" s="13">
        <f>IF('Données projet'!$A$62&gt;35,AI38+AH39-AQ38,IF(A39&lt;'Données projet'!$A$62,$AF$205^A39,IF(A39='Données projet'!$A$62,'Données projet'!$B$62,AI38+AH39-AQ38)))</f>
        <v>223.66666666666671</v>
      </c>
      <c r="AJ39" s="13">
        <f>AI39*VLOOKUP('Données projet'!$B$10,Paramètres!$A$1:$I$89,3,0)*VLOOKUP('Données projet'!$B$10,Paramètres!$A$1:$I$89,5,0)</f>
        <v>133.75266666666673</v>
      </c>
      <c r="AK39" s="13">
        <f t="shared" si="35"/>
        <v>34.86204901776788</v>
      </c>
      <c r="AL39" s="20">
        <f t="shared" si="4"/>
        <v>293.67062981705698</v>
      </c>
      <c r="AM39" s="59">
        <f t="shared" si="5"/>
        <v>587.00396315039029</v>
      </c>
      <c r="AN39" s="59">
        <f ca="1">AVERAGE(OFFSET($AM$3,0,0,'Données projet'!$E$10+1,1))-AVERAGE(OFFSET($H$3,0,0,'Données projet'!$E$10+1,1))</f>
        <v>186.90544184210381</v>
      </c>
      <c r="AO39" s="59">
        <f t="shared" si="36"/>
        <v>202.05988514450519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15.918904424839699</v>
      </c>
      <c r="AV39" s="21">
        <f>EXP(-LN(2)/25)*AV38+(1-EXP(-LN(2)/25))/(LN(2)/25)*Calculateur!AQ39*Calculateur!AS39*VLOOKUP('Données projet'!$B$10,Paramètres!$A$1:$I$89,3,0)*0.475*44/12</f>
        <v>13.165015599061027</v>
      </c>
      <c r="AW39" s="21">
        <f>EXP(-LN(2)/2)*AW38+(1-EXP(-LN(2)/2))/(LN(2)/2)*AQ39*AT39*VLOOKUP('Données projet'!$B$10,Paramètres!$A$1:$I$89,3,0)*0.475*44/12</f>
        <v>4.4805300187516588</v>
      </c>
      <c r="AX39" s="21">
        <f t="shared" si="6"/>
        <v>33.564450042652382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-2.8421709430404007E-14</v>
      </c>
      <c r="BE39" s="13">
        <f>BD39*VLOOKUP('Données projet'!$B$11,Paramètres!$A$1:$I$89,3,0)*VLOOKUP('Données projet'!$B$11,Paramètres!$A$1:$I$89,5,0)</f>
        <v>-2.3055690689943732E-14</v>
      </c>
      <c r="BF39" s="13" t="e">
        <f t="shared" si="37"/>
        <v>#NUM!</v>
      </c>
      <c r="BG39" s="20" t="e">
        <f t="shared" si="7"/>
        <v>#NUM!</v>
      </c>
      <c r="BH39" s="59" t="e">
        <f t="shared" si="8"/>
        <v>#NUM!</v>
      </c>
      <c r="BI39" s="59">
        <f ca="1">AVERAGE(OFFSET($BH$3,0,0,'Données projet'!$E$11+1,1))-AVERAGE(OFFSET($H$3,0,0,'Données projet'!$E$11+1,1))</f>
        <v>5.8584049049231908</v>
      </c>
      <c r="BJ39" s="59">
        <f t="shared" si="38"/>
        <v>42.266833200216638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41.446640119630288</v>
      </c>
      <c r="BS39" s="22">
        <f t="shared" si="9"/>
        <v>41.446640119630288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>
        <f>BY39*VLOOKUP('Données projet'!$B$12,Paramètres!$A$1:$I$89,3,0)*VLOOKUP('Données projet'!$B$12,Paramètres!$A$1:$I$89,5,0)</f>
        <v>0</v>
      </c>
      <c r="CA39" s="13" t="e">
        <f t="shared" si="39"/>
        <v>#NUM!</v>
      </c>
      <c r="CB39" s="20" t="e">
        <f t="shared" si="10"/>
        <v>#NUM!</v>
      </c>
      <c r="CC39" s="59" t="e">
        <f t="shared" si="11"/>
        <v>#NUM!</v>
      </c>
      <c r="CD39" s="59">
        <f ca="1">AVERAGE(OFFSET($CC$3,0,0,'Données projet'!$E$12+1,1))-AVERAGE(OFFSET($H$3,0,0,'Données projet'!$E$12+1,1))</f>
        <v>0</v>
      </c>
      <c r="CE39" s="59">
        <f t="shared" si="40"/>
        <v>0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0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>
        <f>CT39*VLOOKUP('Données projet'!$B$13,Paramètres!$A$1:$I$89,3,0)*VLOOKUP('Données projet'!$B$13,Paramètres!$A$1:$I$89,5,0)</f>
        <v>0</v>
      </c>
      <c r="CV39" s="13" t="e">
        <f t="shared" si="41"/>
        <v>#NUM!</v>
      </c>
      <c r="CW39" s="20" t="e">
        <f t="shared" si="13"/>
        <v>#NUM!</v>
      </c>
      <c r="CX39" s="59" t="e">
        <f t="shared" si="14"/>
        <v>#NUM!</v>
      </c>
      <c r="CY39" s="59">
        <f ca="1">AVERAGE(OFFSET($CX$3,0,0,'Données projet'!$E$13+1,1))-AVERAGE(OFFSET($H$3,0,0,'Données projet'!$E$13+1,1))</f>
        <v>0</v>
      </c>
      <c r="CZ39" s="59">
        <f t="shared" si="42"/>
        <v>0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0</v>
      </c>
      <c r="DG39" s="21">
        <f>EXP(-LN(2)/25)*DG38+(1-EXP(-LN(2)/25))/(LN(2)/25)*Calculateur!DB39*Calculateur!DD39*VLOOKUP('Données projet'!$B$13,Paramètres!$A$1:$I$89,3,0)*0.475*44/12</f>
        <v>0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0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>
        <f>DO39*VLOOKUP('Données projet'!$B$14,Paramètres!$A$1:$I$89,3,0)*VLOOKUP('Données projet'!$B$14,Paramètres!$A$1:$I$89,5,0)</f>
        <v>0</v>
      </c>
      <c r="DQ39" s="13" t="e">
        <f t="shared" si="43"/>
        <v>#NUM!</v>
      </c>
      <c r="DR39" s="20" t="e">
        <f t="shared" si="16"/>
        <v>#NUM!</v>
      </c>
      <c r="DS39" s="59" t="e">
        <f t="shared" si="17"/>
        <v>#NUM!</v>
      </c>
      <c r="DT39" s="59">
        <f ca="1">AVERAGE(OFFSET($DS$3,0,0,'Données projet'!$E$14+1,1))-AVERAGE(OFFSET($H$3,0,0,'Données projet'!$E$14+1,1))</f>
        <v>0</v>
      </c>
      <c r="DU39" s="59">
        <f t="shared" si="44"/>
        <v>0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0</v>
      </c>
      <c r="EB39" s="21">
        <f>EXP(-LN(2)/25)*EB38+(1-EXP(-LN(2)/25))/(LN(2)/25)*Calculateur!DW39*Calculateur!DY39*VLOOKUP('Données projet'!$B$14,Paramètres!$A$1:$I$89,3,0)*0.475*44/12</f>
        <v>0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0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>
        <f>EJ39*VLOOKUP('Données projet'!$B$15,Paramètres!$A$1:$I$89,3,0)*VLOOKUP('Données projet'!$B$15,Paramètres!$A$1:$I$89,5,0)</f>
        <v>0</v>
      </c>
      <c r="EL39" s="13" t="e">
        <f t="shared" si="45"/>
        <v>#NUM!</v>
      </c>
      <c r="EM39" s="20" t="e">
        <f t="shared" si="19"/>
        <v>#NUM!</v>
      </c>
      <c r="EN39" s="59" t="e">
        <f t="shared" si="20"/>
        <v>#NUM!</v>
      </c>
      <c r="EO39" s="59">
        <f ca="1">AVERAGE(OFFSET($EN$3,0,0,'Données projet'!$E$15+1,1))-AVERAGE(OFFSET($H$3,0,0,'Données projet'!$E$15+1,1))</f>
        <v>0</v>
      </c>
      <c r="EP39" s="59">
        <f t="shared" si="46"/>
        <v>0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>
        <f>EXP(-LN(2)/35)*EV38+(1-EXP(-LN(2)/35))/(LN(2)/35)*ER39*ES39*VLOOKUP('Données projet'!$B$15,Paramètres!$A$1:$I$89,3,0)*0.475*44/12</f>
        <v>0</v>
      </c>
      <c r="EW39" s="21">
        <f>EXP(-LN(2)/25)*EW38+(1-EXP(-LN(2)/25))/(LN(2)/25)*Calculateur!ER39*Calculateur!ET39*VLOOKUP('Données projet'!$B$15,Paramètres!$A$1:$I$89,3,0)*0.475*44/12</f>
        <v>0</v>
      </c>
      <c r="EX39" s="21">
        <f>EXP(-LN(2)/2)*EX38+(1-EXP(-LN(2)/2))/(LN(2)/2)*ER39*EU39*VLOOKUP('Données projet'!$B$15,Paramètres!$A$1:$I$89,3,0)*0.475*44/12</f>
        <v>0</v>
      </c>
      <c r="EY39" s="22">
        <f t="shared" si="21"/>
        <v>0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>
        <f>FE39*VLOOKUP('Données projet'!$B$16,Paramètres!$A$1:$I$89,3,0)*VLOOKUP('Données projet'!$B$16,Paramètres!$A$1:$I$89,5,0)</f>
        <v>0</v>
      </c>
      <c r="FG39" s="13" t="e">
        <f t="shared" si="47"/>
        <v>#NUM!</v>
      </c>
      <c r="FH39" s="20" t="e">
        <f t="shared" si="22"/>
        <v>#NUM!</v>
      </c>
      <c r="FI39" s="59" t="e">
        <f t="shared" si="23"/>
        <v>#NUM!</v>
      </c>
      <c r="FJ39" s="59">
        <f ca="1">AVERAGE(OFFSET($FI$3,0,0,'Données projet'!$E$16+1,1))-AVERAGE(OFFSET($H$3,0,0,'Données projet'!$E$16+1,1))</f>
        <v>0</v>
      </c>
      <c r="FK39" s="59">
        <f t="shared" si="48"/>
        <v>0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>
        <f>EXP(-LN(2)/35)*FQ38+(1-EXP(-LN(2)/35))/(LN(2)/35)*FM39*FN39*VLOOKUP('Données projet'!$B$16,Paramètres!$A$1:$I$89,3,0)*0.475*44/12</f>
        <v>0</v>
      </c>
      <c r="FR39" s="21">
        <f>EXP(-LN(2)/25)*FR38+(1-EXP(-LN(2)/25))/(LN(2)/25)*Calculateur!FM39*Calculateur!FO39*VLOOKUP('Données projet'!$B$16,Paramètres!$A$1:$I$89,3,0)*0.475*44/12</f>
        <v>0</v>
      </c>
      <c r="FS39" s="21">
        <f>EXP(-LN(2)/2)*FS38+(1-EXP(-LN(2)/2))/(LN(2)/2)*FM39*FP39*VLOOKUP('Données projet'!$B$16,Paramètres!$A$1:$I$89,3,0)*0.475*44/12</f>
        <v>0</v>
      </c>
      <c r="FT39" s="22">
        <f t="shared" si="24"/>
        <v>0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1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12.833333333333334</v>
      </c>
      <c r="N40" s="13">
        <f>IF('Données projet'!$A$36&gt;35,N39+M40-V39,IF(A40&lt;'Données projet'!$A$36,$K$205^A40,IF(A40='Données projet'!$A$36,'Données projet'!$B$36,N39+M40-V39)))</f>
        <v>236.50000000000006</v>
      </c>
      <c r="O40" s="13">
        <f>N40*VLOOKUP('Données projet'!$B$9,Paramètres!$A$1:$I$89,3,0)*VLOOKUP('Données projet'!$B$9,Paramètres!$A$1:$I$89,5,0)</f>
        <v>141.42700000000005</v>
      </c>
      <c r="P40" s="13">
        <f t="shared" si="33"/>
        <v>36.623717959686019</v>
      </c>
      <c r="Q40" s="20">
        <f t="shared" si="53"/>
        <v>310.10500044645323</v>
      </c>
      <c r="R40" s="59">
        <f t="shared" si="0"/>
        <v>603.43833377978649</v>
      </c>
      <c r="S40" s="59">
        <f ca="1">AVERAGE(OFFSET($R$3,0,0,'Données projet'!$E$9+1,1))-AVERAGE(OFFSET($H$3,0,0,'Données projet'!$E$9+1,1))</f>
        <v>186.90544184210381</v>
      </c>
      <c r="T40" s="59">
        <f t="shared" si="34"/>
        <v>202.05988514450519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15.606744418641551</v>
      </c>
      <c r="AA40" s="21">
        <f>EXP(-LN(2)/25)*AA39+(1-EXP(-LN(2)/25))/(LN(2)/25)*Calculateur!V40*Calculateur!X40*VLOOKUP('Données projet'!$B$9,Paramètres!$A$1:$I$89,3,0)*0.475*44/12</f>
        <v>12.805017555186621</v>
      </c>
      <c r="AB40" s="21">
        <f>EXP(-LN(2)/2)*AB39+(1-EXP(-LN(2)/2))/(LN(2)/2)*V40*Y40*VLOOKUP('Données projet'!$B$9,Paramètres!$A$1:$I$89,3,0)*0.475*44/12</f>
        <v>3.1682131595691869</v>
      </c>
      <c r="AC40" s="22">
        <f t="shared" si="3"/>
        <v>31.579975133397358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12.833333333333334</v>
      </c>
      <c r="AI40" s="13">
        <f>IF('Données projet'!$A$62&gt;35,AI39+AH40-AQ39,IF(A40&lt;'Données projet'!$A$62,$AF$205^A40,IF(A40='Données projet'!$A$62,'Données projet'!$B$62,AI39+AH40-AQ39)))</f>
        <v>236.50000000000006</v>
      </c>
      <c r="AJ40" s="13">
        <f>AI40*VLOOKUP('Données projet'!$B$10,Paramètres!$A$1:$I$89,3,0)*VLOOKUP('Données projet'!$B$10,Paramètres!$A$1:$I$89,5,0)</f>
        <v>141.42700000000005</v>
      </c>
      <c r="AK40" s="13">
        <f t="shared" si="35"/>
        <v>36.623717959686019</v>
      </c>
      <c r="AL40" s="20">
        <f t="shared" si="4"/>
        <v>310.10500044645323</v>
      </c>
      <c r="AM40" s="59">
        <f t="shared" si="5"/>
        <v>603.43833377978649</v>
      </c>
      <c r="AN40" s="59">
        <f ca="1">AVERAGE(OFFSET($AM$3,0,0,'Données projet'!$E$10+1,1))-AVERAGE(OFFSET($H$3,0,0,'Données projet'!$E$10+1,1))</f>
        <v>186.90544184210381</v>
      </c>
      <c r="AO40" s="59">
        <f t="shared" si="36"/>
        <v>202.05988514450519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15.606744418641551</v>
      </c>
      <c r="AV40" s="21">
        <f>EXP(-LN(2)/25)*AV39+(1-EXP(-LN(2)/25))/(LN(2)/25)*Calculateur!AQ40*Calculateur!AS40*VLOOKUP('Données projet'!$B$10,Paramètres!$A$1:$I$89,3,0)*0.475*44/12</f>
        <v>12.805017555186621</v>
      </c>
      <c r="AW40" s="21">
        <f>EXP(-LN(2)/2)*AW39+(1-EXP(-LN(2)/2))/(LN(2)/2)*AQ40*AT40*VLOOKUP('Données projet'!$B$10,Paramètres!$A$1:$I$89,3,0)*0.475*44/12</f>
        <v>3.1682131595691869</v>
      </c>
      <c r="AX40" s="21">
        <f t="shared" si="6"/>
        <v>31.579975133397358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-2.8421709430404007E-14</v>
      </c>
      <c r="BE40" s="13">
        <f>BD40*VLOOKUP('Données projet'!$B$11,Paramètres!$A$1:$I$89,3,0)*VLOOKUP('Données projet'!$B$11,Paramètres!$A$1:$I$89,5,0)</f>
        <v>-2.3055690689943732E-14</v>
      </c>
      <c r="BF40" s="13" t="e">
        <f t="shared" si="37"/>
        <v>#NUM!</v>
      </c>
      <c r="BG40" s="20" t="e">
        <f t="shared" si="7"/>
        <v>#NUM!</v>
      </c>
      <c r="BH40" s="59" t="e">
        <f t="shared" si="8"/>
        <v>#NUM!</v>
      </c>
      <c r="BI40" s="59">
        <f ca="1">AVERAGE(OFFSET($BH$3,0,0,'Données projet'!$E$11+1,1))-AVERAGE(OFFSET($H$3,0,0,'Données projet'!$E$11+1,1))</f>
        <v>5.8584049049231908</v>
      </c>
      <c r="BJ40" s="59">
        <f t="shared" si="38"/>
        <v>42.266833200216638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29.307200285988998</v>
      </c>
      <c r="BS40" s="22">
        <f t="shared" si="9"/>
        <v>29.307200285988998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>
        <f>BY40*VLOOKUP('Données projet'!$B$12,Paramètres!$A$1:$I$89,3,0)*VLOOKUP('Données projet'!$B$12,Paramètres!$A$1:$I$89,5,0)</f>
        <v>0</v>
      </c>
      <c r="CA40" s="13" t="e">
        <f t="shared" si="39"/>
        <v>#NUM!</v>
      </c>
      <c r="CB40" s="20" t="e">
        <f t="shared" si="10"/>
        <v>#NUM!</v>
      </c>
      <c r="CC40" s="59" t="e">
        <f t="shared" si="11"/>
        <v>#NUM!</v>
      </c>
      <c r="CD40" s="59">
        <f ca="1">AVERAGE(OFFSET($CC$3,0,0,'Données projet'!$E$12+1,1))-AVERAGE(OFFSET($H$3,0,0,'Données projet'!$E$12+1,1))</f>
        <v>0</v>
      </c>
      <c r="CE40" s="59">
        <f t="shared" si="40"/>
        <v>0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0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>
        <f>CT40*VLOOKUP('Données projet'!$B$13,Paramètres!$A$1:$I$89,3,0)*VLOOKUP('Données projet'!$B$13,Paramètres!$A$1:$I$89,5,0)</f>
        <v>0</v>
      </c>
      <c r="CV40" s="13" t="e">
        <f t="shared" si="41"/>
        <v>#NUM!</v>
      </c>
      <c r="CW40" s="20" t="e">
        <f t="shared" si="13"/>
        <v>#NUM!</v>
      </c>
      <c r="CX40" s="59" t="e">
        <f t="shared" si="14"/>
        <v>#NUM!</v>
      </c>
      <c r="CY40" s="59">
        <f ca="1">AVERAGE(OFFSET($CX$3,0,0,'Données projet'!$E$13+1,1))-AVERAGE(OFFSET($H$3,0,0,'Données projet'!$E$13+1,1))</f>
        <v>0</v>
      </c>
      <c r="CZ40" s="59">
        <f t="shared" si="42"/>
        <v>0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0</v>
      </c>
      <c r="DG40" s="21">
        <f>EXP(-LN(2)/25)*DG39+(1-EXP(-LN(2)/25))/(LN(2)/25)*Calculateur!DB40*Calculateur!DD40*VLOOKUP('Données projet'!$B$13,Paramètres!$A$1:$I$89,3,0)*0.475*44/12</f>
        <v>0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0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>
        <f>DO40*VLOOKUP('Données projet'!$B$14,Paramètres!$A$1:$I$89,3,0)*VLOOKUP('Données projet'!$B$14,Paramètres!$A$1:$I$89,5,0)</f>
        <v>0</v>
      </c>
      <c r="DQ40" s="13" t="e">
        <f t="shared" si="43"/>
        <v>#NUM!</v>
      </c>
      <c r="DR40" s="20" t="e">
        <f t="shared" si="16"/>
        <v>#NUM!</v>
      </c>
      <c r="DS40" s="59" t="e">
        <f t="shared" si="17"/>
        <v>#NUM!</v>
      </c>
      <c r="DT40" s="59">
        <f ca="1">AVERAGE(OFFSET($DS$3,0,0,'Données projet'!$E$14+1,1))-AVERAGE(OFFSET($H$3,0,0,'Données projet'!$E$14+1,1))</f>
        <v>0</v>
      </c>
      <c r="DU40" s="59">
        <f t="shared" si="44"/>
        <v>0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0</v>
      </c>
      <c r="EB40" s="21">
        <f>EXP(-LN(2)/25)*EB39+(1-EXP(-LN(2)/25))/(LN(2)/25)*Calculateur!DW40*Calculateur!DY40*VLOOKUP('Données projet'!$B$14,Paramètres!$A$1:$I$89,3,0)*0.475*44/12</f>
        <v>0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0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>
        <f>EJ40*VLOOKUP('Données projet'!$B$15,Paramètres!$A$1:$I$89,3,0)*VLOOKUP('Données projet'!$B$15,Paramètres!$A$1:$I$89,5,0)</f>
        <v>0</v>
      </c>
      <c r="EL40" s="13" t="e">
        <f t="shared" si="45"/>
        <v>#NUM!</v>
      </c>
      <c r="EM40" s="20" t="e">
        <f t="shared" si="19"/>
        <v>#NUM!</v>
      </c>
      <c r="EN40" s="59" t="e">
        <f t="shared" si="20"/>
        <v>#NUM!</v>
      </c>
      <c r="EO40" s="59">
        <f ca="1">AVERAGE(OFFSET($EN$3,0,0,'Données projet'!$E$15+1,1))-AVERAGE(OFFSET($H$3,0,0,'Données projet'!$E$15+1,1))</f>
        <v>0</v>
      </c>
      <c r="EP40" s="59">
        <f t="shared" si="46"/>
        <v>0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>
        <f>EXP(-LN(2)/35)*EV39+(1-EXP(-LN(2)/35))/(LN(2)/35)*ER40*ES40*VLOOKUP('Données projet'!$B$15,Paramètres!$A$1:$I$89,3,0)*0.475*44/12</f>
        <v>0</v>
      </c>
      <c r="EW40" s="21">
        <f>EXP(-LN(2)/25)*EW39+(1-EXP(-LN(2)/25))/(LN(2)/25)*Calculateur!ER40*Calculateur!ET40*VLOOKUP('Données projet'!$B$15,Paramètres!$A$1:$I$89,3,0)*0.475*44/12</f>
        <v>0</v>
      </c>
      <c r="EX40" s="21">
        <f>EXP(-LN(2)/2)*EX39+(1-EXP(-LN(2)/2))/(LN(2)/2)*ER40*EU40*VLOOKUP('Données projet'!$B$15,Paramètres!$A$1:$I$89,3,0)*0.475*44/12</f>
        <v>0</v>
      </c>
      <c r="EY40" s="22">
        <f t="shared" si="21"/>
        <v>0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>
        <f>FE40*VLOOKUP('Données projet'!$B$16,Paramètres!$A$1:$I$89,3,0)*VLOOKUP('Données projet'!$B$16,Paramètres!$A$1:$I$89,5,0)</f>
        <v>0</v>
      </c>
      <c r="FG40" s="13" t="e">
        <f t="shared" si="47"/>
        <v>#NUM!</v>
      </c>
      <c r="FH40" s="20" t="e">
        <f t="shared" si="22"/>
        <v>#NUM!</v>
      </c>
      <c r="FI40" s="59" t="e">
        <f t="shared" si="23"/>
        <v>#NUM!</v>
      </c>
      <c r="FJ40" s="59">
        <f ca="1">AVERAGE(OFFSET($FI$3,0,0,'Données projet'!$E$16+1,1))-AVERAGE(OFFSET($H$3,0,0,'Données projet'!$E$16+1,1))</f>
        <v>0</v>
      </c>
      <c r="FK40" s="59">
        <f t="shared" si="48"/>
        <v>0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>
        <f>EXP(-LN(2)/35)*FQ39+(1-EXP(-LN(2)/35))/(LN(2)/35)*FM40*FN40*VLOOKUP('Données projet'!$B$16,Paramètres!$A$1:$I$89,3,0)*0.475*44/12</f>
        <v>0</v>
      </c>
      <c r="FR40" s="21">
        <f>EXP(-LN(2)/25)*FR39+(1-EXP(-LN(2)/25))/(LN(2)/25)*Calculateur!FM40*Calculateur!FO40*VLOOKUP('Données projet'!$B$16,Paramètres!$A$1:$I$89,3,0)*0.475*44/12</f>
        <v>0</v>
      </c>
      <c r="FS40" s="21">
        <f>EXP(-LN(2)/2)*FS39+(1-EXP(-LN(2)/2))/(LN(2)/2)*FM40*FP40*VLOOKUP('Données projet'!$B$16,Paramètres!$A$1:$I$89,3,0)*0.475*44/12</f>
        <v>0</v>
      </c>
      <c r="FT40" s="22">
        <f t="shared" si="24"/>
        <v>0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1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12.833333333333334</v>
      </c>
      <c r="N41" s="13">
        <f>IF('Données projet'!$A$36&gt;35,N40+M41-V40,IF(A41&lt;'Données projet'!$A$36,$K$205^A41,IF(A41='Données projet'!$A$36,'Données projet'!$B$36,N40+M41-V40)))</f>
        <v>249.3333333333334</v>
      </c>
      <c r="O41" s="13">
        <f>N41*VLOOKUP('Données projet'!$B$9,Paramètres!$A$1:$I$89,3,0)*VLOOKUP('Données projet'!$B$9,Paramètres!$A$1:$I$89,5,0)</f>
        <v>149.1013333333334</v>
      </c>
      <c r="P41" s="13">
        <f t="shared" si="33"/>
        <v>38.37428902704788</v>
      </c>
      <c r="Q41" s="20">
        <f t="shared" si="53"/>
        <v>326.52004227766406</v>
      </c>
      <c r="R41" s="59">
        <f t="shared" si="0"/>
        <v>619.85337561099732</v>
      </c>
      <c r="S41" s="59">
        <f ca="1">AVERAGE(OFFSET($R$3,0,0,'Données projet'!$E$9+1,1))-AVERAGE(OFFSET($H$3,0,0,'Données projet'!$E$9+1,1))</f>
        <v>186.90544184210381</v>
      </c>
      <c r="T41" s="59">
        <f t="shared" si="34"/>
        <v>202.05988514450519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15.300705679766144</v>
      </c>
      <c r="AA41" s="21">
        <f>EXP(-LN(2)/25)*AA40+(1-EXP(-LN(2)/25))/(LN(2)/25)*Calculateur!V41*Calculateur!X41*VLOOKUP('Données projet'!$B$9,Paramètres!$A$1:$I$89,3,0)*0.475*44/12</f>
        <v>12.454863676753437</v>
      </c>
      <c r="AB41" s="21">
        <f>EXP(-LN(2)/2)*AB40+(1-EXP(-LN(2)/2))/(LN(2)/2)*V41*Y41*VLOOKUP('Données projet'!$B$9,Paramètres!$A$1:$I$89,3,0)*0.475*44/12</f>
        <v>2.2402650093758294</v>
      </c>
      <c r="AC41" s="22">
        <f t="shared" si="3"/>
        <v>29.995834365895409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12.833333333333334</v>
      </c>
      <c r="AI41" s="13">
        <f>IF('Données projet'!$A$62&gt;35,AI40+AH41-AQ40,IF(A41&lt;'Données projet'!$A$62,$AF$205^A41,IF(A41='Données projet'!$A$62,'Données projet'!$B$62,AI40+AH41-AQ40)))</f>
        <v>249.3333333333334</v>
      </c>
      <c r="AJ41" s="13">
        <f>AI41*VLOOKUP('Données projet'!$B$10,Paramètres!$A$1:$I$89,3,0)*VLOOKUP('Données projet'!$B$10,Paramètres!$A$1:$I$89,5,0)</f>
        <v>149.1013333333334</v>
      </c>
      <c r="AK41" s="13">
        <f t="shared" si="35"/>
        <v>38.37428902704788</v>
      </c>
      <c r="AL41" s="20">
        <f t="shared" si="4"/>
        <v>326.52004227766406</v>
      </c>
      <c r="AM41" s="59">
        <f t="shared" si="5"/>
        <v>619.85337561099732</v>
      </c>
      <c r="AN41" s="59">
        <f ca="1">AVERAGE(OFFSET($AM$3,0,0,'Données projet'!$E$10+1,1))-AVERAGE(OFFSET($H$3,0,0,'Données projet'!$E$10+1,1))</f>
        <v>186.90544184210381</v>
      </c>
      <c r="AO41" s="59">
        <f t="shared" si="36"/>
        <v>202.05988514450519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15.300705679766144</v>
      </c>
      <c r="AV41" s="21">
        <f>EXP(-LN(2)/25)*AV40+(1-EXP(-LN(2)/25))/(LN(2)/25)*Calculateur!AQ41*Calculateur!AS41*VLOOKUP('Données projet'!$B$10,Paramètres!$A$1:$I$89,3,0)*0.475*44/12</f>
        <v>12.454863676753437</v>
      </c>
      <c r="AW41" s="21">
        <f>EXP(-LN(2)/2)*AW40+(1-EXP(-LN(2)/2))/(LN(2)/2)*AQ41*AT41*VLOOKUP('Données projet'!$B$10,Paramètres!$A$1:$I$89,3,0)*0.475*44/12</f>
        <v>2.2402650093758294</v>
      </c>
      <c r="AX41" s="21">
        <f t="shared" si="6"/>
        <v>29.995834365895409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-2.8421709430404007E-14</v>
      </c>
      <c r="BE41" s="13">
        <f>BD41*VLOOKUP('Données projet'!$B$11,Paramètres!$A$1:$I$89,3,0)*VLOOKUP('Données projet'!$B$11,Paramètres!$A$1:$I$89,5,0)</f>
        <v>-2.3055690689943732E-14</v>
      </c>
      <c r="BF41" s="13" t="e">
        <f t="shared" si="37"/>
        <v>#NUM!</v>
      </c>
      <c r="BG41" s="20" t="e">
        <f t="shared" si="7"/>
        <v>#NUM!</v>
      </c>
      <c r="BH41" s="59" t="e">
        <f t="shared" si="8"/>
        <v>#NUM!</v>
      </c>
      <c r="BI41" s="59">
        <f ca="1">AVERAGE(OFFSET($BH$3,0,0,'Données projet'!$E$11+1,1))-AVERAGE(OFFSET($H$3,0,0,'Données projet'!$E$11+1,1))</f>
        <v>5.8584049049231908</v>
      </c>
      <c r="BJ41" s="59">
        <f t="shared" si="38"/>
        <v>42.266833200216638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20.723320059815148</v>
      </c>
      <c r="BS41" s="22">
        <f t="shared" si="9"/>
        <v>20.723320059815148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>
        <f>BY41*VLOOKUP('Données projet'!$B$12,Paramètres!$A$1:$I$89,3,0)*VLOOKUP('Données projet'!$B$12,Paramètres!$A$1:$I$89,5,0)</f>
        <v>0</v>
      </c>
      <c r="CA41" s="13" t="e">
        <f t="shared" si="39"/>
        <v>#NUM!</v>
      </c>
      <c r="CB41" s="20" t="e">
        <f t="shared" si="10"/>
        <v>#NUM!</v>
      </c>
      <c r="CC41" s="59" t="e">
        <f t="shared" si="11"/>
        <v>#NUM!</v>
      </c>
      <c r="CD41" s="59">
        <f ca="1">AVERAGE(OFFSET($CC$3,0,0,'Données projet'!$E$12+1,1))-AVERAGE(OFFSET($H$3,0,0,'Données projet'!$E$12+1,1))</f>
        <v>0</v>
      </c>
      <c r="CE41" s="59">
        <f t="shared" si="40"/>
        <v>0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0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>
        <f>CT41*VLOOKUP('Données projet'!$B$13,Paramètres!$A$1:$I$89,3,0)*VLOOKUP('Données projet'!$B$13,Paramètres!$A$1:$I$89,5,0)</f>
        <v>0</v>
      </c>
      <c r="CV41" s="13" t="e">
        <f t="shared" si="41"/>
        <v>#NUM!</v>
      </c>
      <c r="CW41" s="20" t="e">
        <f t="shared" si="13"/>
        <v>#NUM!</v>
      </c>
      <c r="CX41" s="59" t="e">
        <f t="shared" si="14"/>
        <v>#NUM!</v>
      </c>
      <c r="CY41" s="59">
        <f ca="1">AVERAGE(OFFSET($CX$3,0,0,'Données projet'!$E$13+1,1))-AVERAGE(OFFSET($H$3,0,0,'Données projet'!$E$13+1,1))</f>
        <v>0</v>
      </c>
      <c r="CZ41" s="59">
        <f t="shared" si="42"/>
        <v>0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0</v>
      </c>
      <c r="DG41" s="21">
        <f>EXP(-LN(2)/25)*DG40+(1-EXP(-LN(2)/25))/(LN(2)/25)*Calculateur!DB41*Calculateur!DD41*VLOOKUP('Données projet'!$B$13,Paramètres!$A$1:$I$89,3,0)*0.475*44/12</f>
        <v>0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0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>
        <f>DO41*VLOOKUP('Données projet'!$B$14,Paramètres!$A$1:$I$89,3,0)*VLOOKUP('Données projet'!$B$14,Paramètres!$A$1:$I$89,5,0)</f>
        <v>0</v>
      </c>
      <c r="DQ41" s="13" t="e">
        <f t="shared" si="43"/>
        <v>#NUM!</v>
      </c>
      <c r="DR41" s="20" t="e">
        <f t="shared" si="16"/>
        <v>#NUM!</v>
      </c>
      <c r="DS41" s="59" t="e">
        <f t="shared" si="17"/>
        <v>#NUM!</v>
      </c>
      <c r="DT41" s="59">
        <f ca="1">AVERAGE(OFFSET($DS$3,0,0,'Données projet'!$E$14+1,1))-AVERAGE(OFFSET($H$3,0,0,'Données projet'!$E$14+1,1))</f>
        <v>0</v>
      </c>
      <c r="DU41" s="59">
        <f t="shared" si="44"/>
        <v>0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0</v>
      </c>
      <c r="EB41" s="21">
        <f>EXP(-LN(2)/25)*EB40+(1-EXP(-LN(2)/25))/(LN(2)/25)*Calculateur!DW41*Calculateur!DY41*VLOOKUP('Données projet'!$B$14,Paramètres!$A$1:$I$89,3,0)*0.475*44/12</f>
        <v>0</v>
      </c>
      <c r="EC41" s="21">
        <f>EXP(-LN(2)/2)*EC40+(1-EXP(-LN(2)/2))/(LN(2)/2)*DW41*DZ41*VLOOKUP('Données projet'!$B$14,Paramètres!$A$1:$I$89,3,0)*0.475*44/12</f>
        <v>0</v>
      </c>
      <c r="ED41" s="22">
        <f t="shared" si="18"/>
        <v>0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>
        <f>EJ41*VLOOKUP('Données projet'!$B$15,Paramètres!$A$1:$I$89,3,0)*VLOOKUP('Données projet'!$B$15,Paramètres!$A$1:$I$89,5,0)</f>
        <v>0</v>
      </c>
      <c r="EL41" s="13" t="e">
        <f t="shared" si="45"/>
        <v>#NUM!</v>
      </c>
      <c r="EM41" s="20" t="e">
        <f t="shared" si="19"/>
        <v>#NUM!</v>
      </c>
      <c r="EN41" s="59" t="e">
        <f t="shared" si="20"/>
        <v>#NUM!</v>
      </c>
      <c r="EO41" s="59">
        <f ca="1">AVERAGE(OFFSET($EN$3,0,0,'Données projet'!$E$15+1,1))-AVERAGE(OFFSET($H$3,0,0,'Données projet'!$E$15+1,1))</f>
        <v>0</v>
      </c>
      <c r="EP41" s="59">
        <f t="shared" si="46"/>
        <v>0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>
        <f>EXP(-LN(2)/35)*EV40+(1-EXP(-LN(2)/35))/(LN(2)/35)*ER41*ES41*VLOOKUP('Données projet'!$B$15,Paramètres!$A$1:$I$89,3,0)*0.475*44/12</f>
        <v>0</v>
      </c>
      <c r="EW41" s="21">
        <f>EXP(-LN(2)/25)*EW40+(1-EXP(-LN(2)/25))/(LN(2)/25)*Calculateur!ER41*Calculateur!ET41*VLOOKUP('Données projet'!$B$15,Paramètres!$A$1:$I$89,3,0)*0.475*44/12</f>
        <v>0</v>
      </c>
      <c r="EX41" s="21">
        <f>EXP(-LN(2)/2)*EX40+(1-EXP(-LN(2)/2))/(LN(2)/2)*ER41*EU41*VLOOKUP('Données projet'!$B$15,Paramètres!$A$1:$I$89,3,0)*0.475*44/12</f>
        <v>0</v>
      </c>
      <c r="EY41" s="22">
        <f t="shared" si="21"/>
        <v>0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>
        <f>FE41*VLOOKUP('Données projet'!$B$16,Paramètres!$A$1:$I$89,3,0)*VLOOKUP('Données projet'!$B$16,Paramètres!$A$1:$I$89,5,0)</f>
        <v>0</v>
      </c>
      <c r="FG41" s="13" t="e">
        <f t="shared" si="47"/>
        <v>#NUM!</v>
      </c>
      <c r="FH41" s="20" t="e">
        <f t="shared" si="22"/>
        <v>#NUM!</v>
      </c>
      <c r="FI41" s="59" t="e">
        <f t="shared" si="23"/>
        <v>#NUM!</v>
      </c>
      <c r="FJ41" s="59">
        <f ca="1">AVERAGE(OFFSET($FI$3,0,0,'Données projet'!$E$16+1,1))-AVERAGE(OFFSET($H$3,0,0,'Données projet'!$E$16+1,1))</f>
        <v>0</v>
      </c>
      <c r="FK41" s="59">
        <f t="shared" si="48"/>
        <v>0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>
        <f>EXP(-LN(2)/35)*FQ40+(1-EXP(-LN(2)/35))/(LN(2)/35)*FM41*FN41*VLOOKUP('Données projet'!$B$16,Paramètres!$A$1:$I$89,3,0)*0.475*44/12</f>
        <v>0</v>
      </c>
      <c r="FR41" s="21">
        <f>EXP(-LN(2)/25)*FR40+(1-EXP(-LN(2)/25))/(LN(2)/25)*Calculateur!FM41*Calculateur!FO41*VLOOKUP('Données projet'!$B$16,Paramètres!$A$1:$I$89,3,0)*0.475*44/12</f>
        <v>0</v>
      </c>
      <c r="FS41" s="21">
        <f>EXP(-LN(2)/2)*FS40+(1-EXP(-LN(2)/2))/(LN(2)/2)*FM41*FP41*VLOOKUP('Données projet'!$B$16,Paramètres!$A$1:$I$89,3,0)*0.475*44/12</f>
        <v>0</v>
      </c>
      <c r="FT41" s="22">
        <f t="shared" si="24"/>
        <v>0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1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12.833333333333334</v>
      </c>
      <c r="N42" s="13">
        <f>IF('Données projet'!$A$36&gt;35,N41+M42-V41,IF(A42&lt;'Données projet'!$A$36,$K$205^A42,IF(A42='Données projet'!$A$36,'Données projet'!$B$36,N41+M42-V41)))</f>
        <v>262.16666666666674</v>
      </c>
      <c r="O42" s="13">
        <f>N42*VLOOKUP('Données projet'!$B$9,Paramètres!$A$1:$I$89,3,0)*VLOOKUP('Données projet'!$B$9,Paramètres!$A$1:$I$89,5,0)</f>
        <v>156.77566666666672</v>
      </c>
      <c r="P42" s="13">
        <f t="shared" si="33"/>
        <v>40.114398592763365</v>
      </c>
      <c r="Q42" s="20">
        <f t="shared" si="53"/>
        <v>342.9168636601741</v>
      </c>
      <c r="R42" s="59">
        <f t="shared" si="0"/>
        <v>636.25019699350742</v>
      </c>
      <c r="S42" s="59">
        <f ca="1">AVERAGE(OFFSET($R$3,0,0,'Données projet'!$E$9+1,1))-AVERAGE(OFFSET($H$3,0,0,'Données projet'!$E$9+1,1))</f>
        <v>186.90544184210381</v>
      </c>
      <c r="T42" s="59">
        <f t="shared" si="34"/>
        <v>202.05988514450519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15.000668173894887</v>
      </c>
      <c r="AA42" s="21">
        <f>EXP(-LN(2)/25)*AA41+(1-EXP(-LN(2)/25))/(LN(2)/25)*Calculateur!V42*Calculateur!X42*VLOOKUP('Données projet'!$B$9,Paramètres!$A$1:$I$89,3,0)*0.475*44/12</f>
        <v>12.114284774539799</v>
      </c>
      <c r="AB42" s="21">
        <f>EXP(-LN(2)/2)*AB41+(1-EXP(-LN(2)/2))/(LN(2)/2)*V42*Y42*VLOOKUP('Données projet'!$B$9,Paramètres!$A$1:$I$89,3,0)*0.475*44/12</f>
        <v>1.5841065797845935</v>
      </c>
      <c r="AC42" s="22">
        <f t="shared" si="3"/>
        <v>28.699059528219276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12.833333333333334</v>
      </c>
      <c r="AI42" s="13">
        <f>IF('Données projet'!$A$62&gt;35,AI41+AH42-AQ41,IF(A42&lt;'Données projet'!$A$62,$AF$205^A42,IF(A42='Données projet'!$A$62,'Données projet'!$B$62,AI41+AH42-AQ41)))</f>
        <v>262.16666666666674</v>
      </c>
      <c r="AJ42" s="13">
        <f>AI42*VLOOKUP('Données projet'!$B$10,Paramètres!$A$1:$I$89,3,0)*VLOOKUP('Données projet'!$B$10,Paramètres!$A$1:$I$89,5,0)</f>
        <v>156.77566666666672</v>
      </c>
      <c r="AK42" s="13">
        <f t="shared" si="35"/>
        <v>40.114398592763365</v>
      </c>
      <c r="AL42" s="20">
        <f t="shared" si="4"/>
        <v>342.9168636601741</v>
      </c>
      <c r="AM42" s="59">
        <f t="shared" si="5"/>
        <v>636.25019699350742</v>
      </c>
      <c r="AN42" s="59">
        <f ca="1">AVERAGE(OFFSET($AM$3,0,0,'Données projet'!$E$10+1,1))-AVERAGE(OFFSET($H$3,0,0,'Données projet'!$E$10+1,1))</f>
        <v>186.90544184210381</v>
      </c>
      <c r="AO42" s="59">
        <f t="shared" si="36"/>
        <v>202.05988514450519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15.000668173894887</v>
      </c>
      <c r="AV42" s="21">
        <f>EXP(-LN(2)/25)*AV41+(1-EXP(-LN(2)/25))/(LN(2)/25)*Calculateur!AQ42*Calculateur!AS42*VLOOKUP('Données projet'!$B$10,Paramètres!$A$1:$I$89,3,0)*0.475*44/12</f>
        <v>12.114284774539799</v>
      </c>
      <c r="AW42" s="21">
        <f>EXP(-LN(2)/2)*AW41+(1-EXP(-LN(2)/2))/(LN(2)/2)*AQ42*AT42*VLOOKUP('Données projet'!$B$10,Paramètres!$A$1:$I$89,3,0)*0.475*44/12</f>
        <v>1.5841065797845935</v>
      </c>
      <c r="AX42" s="21">
        <f t="shared" si="6"/>
        <v>28.699059528219276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-2.8421709430404007E-14</v>
      </c>
      <c r="BE42" s="13">
        <f>BD42*VLOOKUP('Données projet'!$B$11,Paramètres!$A$1:$I$89,3,0)*VLOOKUP('Données projet'!$B$11,Paramètres!$A$1:$I$89,5,0)</f>
        <v>-2.3055690689943732E-14</v>
      </c>
      <c r="BF42" s="13" t="e">
        <f t="shared" si="37"/>
        <v>#NUM!</v>
      </c>
      <c r="BG42" s="20" t="e">
        <f t="shared" si="7"/>
        <v>#NUM!</v>
      </c>
      <c r="BH42" s="59" t="e">
        <f t="shared" si="8"/>
        <v>#NUM!</v>
      </c>
      <c r="BI42" s="59">
        <f ca="1">AVERAGE(OFFSET($BH$3,0,0,'Données projet'!$E$11+1,1))-AVERAGE(OFFSET($H$3,0,0,'Données projet'!$E$11+1,1))</f>
        <v>5.8584049049231908</v>
      </c>
      <c r="BJ42" s="59">
        <f t="shared" si="38"/>
        <v>42.266833200216638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14.653600142994502</v>
      </c>
      <c r="BS42" s="22">
        <f t="shared" si="9"/>
        <v>14.653600142994502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>
        <f>BY42*VLOOKUP('Données projet'!$B$12,Paramètres!$A$1:$I$89,3,0)*VLOOKUP('Données projet'!$B$12,Paramètres!$A$1:$I$89,5,0)</f>
        <v>0</v>
      </c>
      <c r="CA42" s="13" t="e">
        <f t="shared" si="39"/>
        <v>#NUM!</v>
      </c>
      <c r="CB42" s="20" t="e">
        <f t="shared" si="10"/>
        <v>#NUM!</v>
      </c>
      <c r="CC42" s="59" t="e">
        <f t="shared" si="11"/>
        <v>#NUM!</v>
      </c>
      <c r="CD42" s="59">
        <f ca="1">AVERAGE(OFFSET($CC$3,0,0,'Données projet'!$E$12+1,1))-AVERAGE(OFFSET($H$3,0,0,'Données projet'!$E$12+1,1))</f>
        <v>0</v>
      </c>
      <c r="CE42" s="59">
        <f t="shared" si="40"/>
        <v>0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0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>
        <f>CT42*VLOOKUP('Données projet'!$B$13,Paramètres!$A$1:$I$89,3,0)*VLOOKUP('Données projet'!$B$13,Paramètres!$A$1:$I$89,5,0)</f>
        <v>0</v>
      </c>
      <c r="CV42" s="13" t="e">
        <f t="shared" si="41"/>
        <v>#NUM!</v>
      </c>
      <c r="CW42" s="20" t="e">
        <f t="shared" si="13"/>
        <v>#NUM!</v>
      </c>
      <c r="CX42" s="59" t="e">
        <f t="shared" si="14"/>
        <v>#NUM!</v>
      </c>
      <c r="CY42" s="59">
        <f ca="1">AVERAGE(OFFSET($CX$3,0,0,'Données projet'!$E$13+1,1))-AVERAGE(OFFSET($H$3,0,0,'Données projet'!$E$13+1,1))</f>
        <v>0</v>
      </c>
      <c r="CZ42" s="59">
        <f t="shared" si="42"/>
        <v>0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0</v>
      </c>
      <c r="DG42" s="21">
        <f>EXP(-LN(2)/25)*DG41+(1-EXP(-LN(2)/25))/(LN(2)/25)*Calculateur!DB42*Calculateur!DD42*VLOOKUP('Données projet'!$B$13,Paramètres!$A$1:$I$89,3,0)*0.475*44/12</f>
        <v>0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0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>
        <f>DO42*VLOOKUP('Données projet'!$B$14,Paramètres!$A$1:$I$89,3,0)*VLOOKUP('Données projet'!$B$14,Paramètres!$A$1:$I$89,5,0)</f>
        <v>0</v>
      </c>
      <c r="DQ42" s="13" t="e">
        <f t="shared" si="43"/>
        <v>#NUM!</v>
      </c>
      <c r="DR42" s="20" t="e">
        <f t="shared" si="16"/>
        <v>#NUM!</v>
      </c>
      <c r="DS42" s="59" t="e">
        <f t="shared" si="17"/>
        <v>#NUM!</v>
      </c>
      <c r="DT42" s="59">
        <f ca="1">AVERAGE(OFFSET($DS$3,0,0,'Données projet'!$E$14+1,1))-AVERAGE(OFFSET($H$3,0,0,'Données projet'!$E$14+1,1))</f>
        <v>0</v>
      </c>
      <c r="DU42" s="59">
        <f t="shared" si="44"/>
        <v>0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0</v>
      </c>
      <c r="EB42" s="21">
        <f>EXP(-LN(2)/25)*EB41+(1-EXP(-LN(2)/25))/(LN(2)/25)*Calculateur!DW42*Calculateur!DY42*VLOOKUP('Données projet'!$B$14,Paramètres!$A$1:$I$89,3,0)*0.475*44/12</f>
        <v>0</v>
      </c>
      <c r="EC42" s="21">
        <f>EXP(-LN(2)/2)*EC41+(1-EXP(-LN(2)/2))/(LN(2)/2)*DW42*DZ42*VLOOKUP('Données projet'!$B$14,Paramètres!$A$1:$I$89,3,0)*0.475*44/12</f>
        <v>0</v>
      </c>
      <c r="ED42" s="22">
        <f t="shared" si="18"/>
        <v>0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>
        <f>EJ42*VLOOKUP('Données projet'!$B$15,Paramètres!$A$1:$I$89,3,0)*VLOOKUP('Données projet'!$B$15,Paramètres!$A$1:$I$89,5,0)</f>
        <v>0</v>
      </c>
      <c r="EL42" s="13" t="e">
        <f t="shared" si="45"/>
        <v>#NUM!</v>
      </c>
      <c r="EM42" s="20" t="e">
        <f t="shared" si="19"/>
        <v>#NUM!</v>
      </c>
      <c r="EN42" s="59" t="e">
        <f t="shared" si="20"/>
        <v>#NUM!</v>
      </c>
      <c r="EO42" s="59">
        <f ca="1">AVERAGE(OFFSET($EN$3,0,0,'Données projet'!$E$15+1,1))-AVERAGE(OFFSET($H$3,0,0,'Données projet'!$E$15+1,1))</f>
        <v>0</v>
      </c>
      <c r="EP42" s="59">
        <f t="shared" si="46"/>
        <v>0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>
        <f>EXP(-LN(2)/35)*EV41+(1-EXP(-LN(2)/35))/(LN(2)/35)*ER42*ES42*VLOOKUP('Données projet'!$B$15,Paramètres!$A$1:$I$89,3,0)*0.475*44/12</f>
        <v>0</v>
      </c>
      <c r="EW42" s="21">
        <f>EXP(-LN(2)/25)*EW41+(1-EXP(-LN(2)/25))/(LN(2)/25)*Calculateur!ER42*Calculateur!ET42*VLOOKUP('Données projet'!$B$15,Paramètres!$A$1:$I$89,3,0)*0.475*44/12</f>
        <v>0</v>
      </c>
      <c r="EX42" s="21">
        <f>EXP(-LN(2)/2)*EX41+(1-EXP(-LN(2)/2))/(LN(2)/2)*ER42*EU42*VLOOKUP('Données projet'!$B$15,Paramètres!$A$1:$I$89,3,0)*0.475*44/12</f>
        <v>0</v>
      </c>
      <c r="EY42" s="22">
        <f t="shared" si="21"/>
        <v>0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>
        <f>FE42*VLOOKUP('Données projet'!$B$16,Paramètres!$A$1:$I$89,3,0)*VLOOKUP('Données projet'!$B$16,Paramètres!$A$1:$I$89,5,0)</f>
        <v>0</v>
      </c>
      <c r="FG42" s="13" t="e">
        <f t="shared" si="47"/>
        <v>#NUM!</v>
      </c>
      <c r="FH42" s="20" t="e">
        <f t="shared" si="22"/>
        <v>#NUM!</v>
      </c>
      <c r="FI42" s="59" t="e">
        <f t="shared" si="23"/>
        <v>#NUM!</v>
      </c>
      <c r="FJ42" s="59">
        <f ca="1">AVERAGE(OFFSET($FI$3,0,0,'Données projet'!$E$16+1,1))-AVERAGE(OFFSET($H$3,0,0,'Données projet'!$E$16+1,1))</f>
        <v>0</v>
      </c>
      <c r="FK42" s="59">
        <f t="shared" si="48"/>
        <v>0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>
        <f>EXP(-LN(2)/35)*FQ41+(1-EXP(-LN(2)/35))/(LN(2)/35)*FM42*FN42*VLOOKUP('Données projet'!$B$16,Paramètres!$A$1:$I$89,3,0)*0.475*44/12</f>
        <v>0</v>
      </c>
      <c r="FR42" s="21">
        <f>EXP(-LN(2)/25)*FR41+(1-EXP(-LN(2)/25))/(LN(2)/25)*Calculateur!FM42*Calculateur!FO42*VLOOKUP('Données projet'!$B$16,Paramètres!$A$1:$I$89,3,0)*0.475*44/12</f>
        <v>0</v>
      </c>
      <c r="FS42" s="21">
        <f>EXP(-LN(2)/2)*FS41+(1-EXP(-LN(2)/2))/(LN(2)/2)*FM42*FP42*VLOOKUP('Données projet'!$B$16,Paramètres!$A$1:$I$89,3,0)*0.475*44/12</f>
        <v>0</v>
      </c>
      <c r="FT42" s="22">
        <f t="shared" si="24"/>
        <v>0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1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275</v>
      </c>
      <c r="L43" s="12">
        <f>VLOOKUP(A43,'Données projet'!$A$35:$I$55,9,0)</f>
        <v>12.833333333333334</v>
      </c>
      <c r="M43" s="12">
        <f t="array" ref="M43">INDEX(L:L,MIN(IF(ISNUMBER(L43:L239),ROW(L43:L239),"")))</f>
        <v>12.833333333333334</v>
      </c>
      <c r="N43" s="13">
        <f>IF('Données projet'!$A$36&gt;35,N42+M43-V42,IF(A43&lt;'Données projet'!$A$36,$K$205^A43,IF(A43='Données projet'!$A$36,'Données projet'!$B$36,N42+M43-V42)))</f>
        <v>275.00000000000006</v>
      </c>
      <c r="O43" s="13">
        <f>N43*VLOOKUP('Données projet'!$B$9,Paramètres!$A$1:$I$89,3,0)*VLOOKUP('Données projet'!$B$9,Paramètres!$A$1:$I$89,5,0)</f>
        <v>164.45000000000005</v>
      </c>
      <c r="P43" s="13">
        <f t="shared" si="33"/>
        <v>41.844617207687371</v>
      </c>
      <c r="Q43" s="20">
        <f t="shared" si="53"/>
        <v>359.29645830338887</v>
      </c>
      <c r="R43" s="59">
        <f t="shared" si="0"/>
        <v>652.62979163672219</v>
      </c>
      <c r="S43" s="59">
        <f ca="1">AVERAGE(OFFSET($R$3,0,0,'Données projet'!$E$9+1,1))-AVERAGE(OFFSET($H$3,0,0,'Données projet'!$E$9+1,1))</f>
        <v>186.90544184210381</v>
      </c>
      <c r="T43" s="59">
        <f t="shared" si="34"/>
        <v>202.05988514450519</v>
      </c>
      <c r="U43" s="15">
        <f>IF(ISNA(VLOOKUP(A43,'Données projet'!$A$35:$I$55,3,0)),0,VLOOKUP(A43,'Données projet'!$A$35:$I$55,3,0))</f>
        <v>6</v>
      </c>
      <c r="V43" s="15">
        <f>IF(ISNA(VLOOKUP(A43,'Données projet'!$A$35:$I$55,4,0)),0,VLOOKUP(A43,'Données projet'!$A$35:$I$55,4,0))</f>
        <v>41</v>
      </c>
      <c r="W43" s="16">
        <f>IF(ISNA(VLOOKUP(A43,'Données projet'!$A$35:$I$55,5,0)),0%,VLOOKUP(A43,'Données projet'!$A$35:$I$55,5,0)*VLOOKUP('Données projet'!$B$9,Paramètres!$A$1:$I$89,7,0))</f>
        <v>0.27</v>
      </c>
      <c r="X43" s="16">
        <f>IF(ISNA(VLOOKUP(A43,'Données projet'!$A$35:$I$55,6,0)),0%,VLOOKUP(A43,'Données projet'!$A$35:$I$55,6,0)*VLOOKUP('Données projet'!$B$9,Paramètres!$A$1:$I$89,7,0))</f>
        <v>9.0000000000000011E-2</v>
      </c>
      <c r="Y43" s="16">
        <f>IF(ISNA(VLOOKUP(A43,'Données projet'!$A$35:$I$55,7,0)),0%,VLOOKUP(A43,'Données projet'!$A$35:$I$55,7,0))</f>
        <v>0.2</v>
      </c>
      <c r="Z43" s="21">
        <f>EXP(-LN(2)/35)*Z42+(1-EXP(-LN(2)/35))/(LN(2)/35)*V43*W43*VLOOKUP('Données projet'!$B$9,Paramètres!$A$1:$I$89,3,0)*0.475*44/12</f>
        <v>23.488185196494953</v>
      </c>
      <c r="AA43" s="21">
        <f>EXP(-LN(2)/25)*AA42+(1-EXP(-LN(2)/25))/(LN(2)/25)*Calculateur!V43*Calculateur!X43*VLOOKUP('Données projet'!$B$9,Paramètres!$A$1:$I$89,3,0)*0.475*44/12</f>
        <v>14.698717084075648</v>
      </c>
      <c r="AB43" s="21">
        <f>EXP(-LN(2)/2)*AB42+(1-EXP(-LN(2)/2))/(LN(2)/2)*V43*Y43*VLOOKUP('Données projet'!$B$9,Paramètres!$A$1:$I$89,3,0)*0.475*44/12</f>
        <v>6.6721467988386935</v>
      </c>
      <c r="AC43" s="22">
        <f t="shared" si="3"/>
        <v>44.859049079409296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275</v>
      </c>
      <c r="AG43" s="12">
        <f>VLOOKUP(A43,'Données projet'!$A$61:$I$81,9,0)</f>
        <v>12.833333333333334</v>
      </c>
      <c r="AH43" s="12">
        <f t="array" ref="AH43">INDEX(AG:AG,MIN(IF(ISNUMBER(AG43:AG239),ROW(AG43:AG239),"")))</f>
        <v>12.833333333333334</v>
      </c>
      <c r="AI43" s="13">
        <f>IF('Données projet'!$A$62&gt;35,AI42+AH43-AQ42,IF(A43&lt;'Données projet'!$A$62,$AF$205^A43,IF(A43='Données projet'!$A$62,'Données projet'!$B$62,AI42+AH43-AQ42)))</f>
        <v>275.00000000000006</v>
      </c>
      <c r="AJ43" s="13">
        <f>AI43*VLOOKUP('Données projet'!$B$10,Paramètres!$A$1:$I$89,3,0)*VLOOKUP('Données projet'!$B$10,Paramètres!$A$1:$I$89,5,0)</f>
        <v>164.45000000000005</v>
      </c>
      <c r="AK43" s="13">
        <f t="shared" si="35"/>
        <v>41.844617207687371</v>
      </c>
      <c r="AL43" s="20">
        <f t="shared" si="4"/>
        <v>359.29645830338887</v>
      </c>
      <c r="AM43" s="59">
        <f t="shared" si="5"/>
        <v>652.62979163672219</v>
      </c>
      <c r="AN43" s="59">
        <f ca="1">AVERAGE(OFFSET($AM$3,0,0,'Données projet'!$E$10+1,1))-AVERAGE(OFFSET($H$3,0,0,'Données projet'!$E$10+1,1))</f>
        <v>186.90544184210381</v>
      </c>
      <c r="AO43" s="59">
        <f t="shared" si="36"/>
        <v>202.05988514450519</v>
      </c>
      <c r="AP43" s="15">
        <f>IF(ISNA(VLOOKUP(A43,'Données projet'!$A$61:$I$81,3,0)),0,VLOOKUP(A43,'Données projet'!$A$61:$I$81,3,0))</f>
        <v>6</v>
      </c>
      <c r="AQ43" s="15">
        <f>IF(ISNA(VLOOKUP(A43,'Données projet'!$A$61:$I$81,4,0)),0,VLOOKUP(A43,'Données projet'!$A$61:$I$81,4,0))</f>
        <v>41</v>
      </c>
      <c r="AR43" s="16">
        <f>IF(ISNA(VLOOKUP(A43,'Données projet'!$A$61:$I$81,5,0)),0%,VLOOKUP(A43,'Données projet'!$A$61:$I$81,5,0)*VLOOKUP('Données projet'!$B$10,Paramètres!$A$1:$I$89,7,0))</f>
        <v>0.27</v>
      </c>
      <c r="AS43" s="16">
        <f>IF(ISNA(VLOOKUP(A43,'Données projet'!$A$61:$I$81,6,0)),0%,VLOOKUP(A43,'Données projet'!$A$61:$I$81,6,0)*VLOOKUP('Données projet'!$B$10,Paramètres!$A$1:$I$89,7,0))</f>
        <v>9.0000000000000011E-2</v>
      </c>
      <c r="AT43" s="16">
        <f>IF(ISNA(VLOOKUP(A43,'Données projet'!$A$61:$I$81,7,0)),0%,VLOOKUP(A43,'Données projet'!$A$61:$I$81,7,0))</f>
        <v>0.2</v>
      </c>
      <c r="AU43" s="21">
        <f>EXP(-LN(2)/35)*AU42+(1-EXP(-LN(2)/35))/(LN(2)/35)*AQ43*AR43*VLOOKUP('Données projet'!$B$10,Paramètres!$A$1:$I$89,3,0)*0.475*44/12</f>
        <v>23.488185196494953</v>
      </c>
      <c r="AV43" s="21">
        <f>EXP(-LN(2)/25)*AV42+(1-EXP(-LN(2)/25))/(LN(2)/25)*Calculateur!AQ43*Calculateur!AS43*VLOOKUP('Données projet'!$B$10,Paramètres!$A$1:$I$89,3,0)*0.475*44/12</f>
        <v>14.698717084075648</v>
      </c>
      <c r="AW43" s="21">
        <f>EXP(-LN(2)/2)*AW42+(1-EXP(-LN(2)/2))/(LN(2)/2)*AQ43*AT43*VLOOKUP('Données projet'!$B$10,Paramètres!$A$1:$I$89,3,0)*0.475*44/12</f>
        <v>6.6721467988386935</v>
      </c>
      <c r="AX43" s="21">
        <f t="shared" si="6"/>
        <v>44.859049079409296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-2.8421709430404007E-14</v>
      </c>
      <c r="BE43" s="13">
        <f>BD43*VLOOKUP('Données projet'!$B$11,Paramètres!$A$1:$I$89,3,0)*VLOOKUP('Données projet'!$B$11,Paramètres!$A$1:$I$89,5,0)</f>
        <v>-2.3055690689943732E-14</v>
      </c>
      <c r="BF43" s="13" t="e">
        <f t="shared" si="37"/>
        <v>#NUM!</v>
      </c>
      <c r="BG43" s="20" t="e">
        <f t="shared" si="7"/>
        <v>#NUM!</v>
      </c>
      <c r="BH43" s="59" t="e">
        <f t="shared" si="8"/>
        <v>#NUM!</v>
      </c>
      <c r="BI43" s="59">
        <f ca="1">AVERAGE(OFFSET($BH$3,0,0,'Données projet'!$E$11+1,1))-AVERAGE(OFFSET($H$3,0,0,'Données projet'!$E$11+1,1))</f>
        <v>5.8584049049231908</v>
      </c>
      <c r="BJ43" s="59">
        <f t="shared" si="38"/>
        <v>42.266833200216638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10.361660029907576</v>
      </c>
      <c r="BS43" s="22">
        <f t="shared" si="9"/>
        <v>10.361660029907576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>
        <f>BY43*VLOOKUP('Données projet'!$B$12,Paramètres!$A$1:$I$89,3,0)*VLOOKUP('Données projet'!$B$12,Paramètres!$A$1:$I$89,5,0)</f>
        <v>0</v>
      </c>
      <c r="CA43" s="13" t="e">
        <f t="shared" si="39"/>
        <v>#NUM!</v>
      </c>
      <c r="CB43" s="20" t="e">
        <f t="shared" si="10"/>
        <v>#NUM!</v>
      </c>
      <c r="CC43" s="59" t="e">
        <f t="shared" si="11"/>
        <v>#NUM!</v>
      </c>
      <c r="CD43" s="59">
        <f ca="1">AVERAGE(OFFSET($CC$3,0,0,'Données projet'!$E$12+1,1))-AVERAGE(OFFSET($H$3,0,0,'Données projet'!$E$12+1,1))</f>
        <v>0</v>
      </c>
      <c r="CE43" s="59">
        <f t="shared" si="40"/>
        <v>0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0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>
        <f>CT43*VLOOKUP('Données projet'!$B$13,Paramètres!$A$1:$I$89,3,0)*VLOOKUP('Données projet'!$B$13,Paramètres!$A$1:$I$89,5,0)</f>
        <v>0</v>
      </c>
      <c r="CV43" s="13" t="e">
        <f t="shared" si="41"/>
        <v>#NUM!</v>
      </c>
      <c r="CW43" s="20" t="e">
        <f t="shared" si="13"/>
        <v>#NUM!</v>
      </c>
      <c r="CX43" s="59" t="e">
        <f t="shared" si="14"/>
        <v>#NUM!</v>
      </c>
      <c r="CY43" s="59">
        <f ca="1">AVERAGE(OFFSET($CX$3,0,0,'Données projet'!$E$13+1,1))-AVERAGE(OFFSET($H$3,0,0,'Données projet'!$E$13+1,1))</f>
        <v>0</v>
      </c>
      <c r="CZ43" s="59">
        <f t="shared" si="42"/>
        <v>0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0</v>
      </c>
      <c r="DG43" s="21">
        <f>EXP(-LN(2)/25)*DG42+(1-EXP(-LN(2)/25))/(LN(2)/25)*Calculateur!DB43*Calculateur!DD43*VLOOKUP('Données projet'!$B$13,Paramètres!$A$1:$I$89,3,0)*0.475*44/12</f>
        <v>0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0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>
        <f>DO43*VLOOKUP('Données projet'!$B$14,Paramètres!$A$1:$I$89,3,0)*VLOOKUP('Données projet'!$B$14,Paramètres!$A$1:$I$89,5,0)</f>
        <v>0</v>
      </c>
      <c r="DQ43" s="13" t="e">
        <f t="shared" si="43"/>
        <v>#NUM!</v>
      </c>
      <c r="DR43" s="20" t="e">
        <f t="shared" si="16"/>
        <v>#NUM!</v>
      </c>
      <c r="DS43" s="59" t="e">
        <f t="shared" si="17"/>
        <v>#NUM!</v>
      </c>
      <c r="DT43" s="59">
        <f ca="1">AVERAGE(OFFSET($DS$3,0,0,'Données projet'!$E$14+1,1))-AVERAGE(OFFSET($H$3,0,0,'Données projet'!$E$14+1,1))</f>
        <v>0</v>
      </c>
      <c r="DU43" s="59">
        <f t="shared" si="44"/>
        <v>0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0</v>
      </c>
      <c r="EB43" s="21">
        <f>EXP(-LN(2)/25)*EB42+(1-EXP(-LN(2)/25))/(LN(2)/25)*Calculateur!DW43*Calculateur!DY43*VLOOKUP('Données projet'!$B$14,Paramètres!$A$1:$I$89,3,0)*0.475*44/12</f>
        <v>0</v>
      </c>
      <c r="EC43" s="21">
        <f>EXP(-LN(2)/2)*EC42+(1-EXP(-LN(2)/2))/(LN(2)/2)*DW43*DZ43*VLOOKUP('Données projet'!$B$14,Paramètres!$A$1:$I$89,3,0)*0.475*44/12</f>
        <v>0</v>
      </c>
      <c r="ED43" s="22">
        <f t="shared" si="18"/>
        <v>0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>
        <f>EJ43*VLOOKUP('Données projet'!$B$15,Paramètres!$A$1:$I$89,3,0)*VLOOKUP('Données projet'!$B$15,Paramètres!$A$1:$I$89,5,0)</f>
        <v>0</v>
      </c>
      <c r="EL43" s="13" t="e">
        <f t="shared" si="45"/>
        <v>#NUM!</v>
      </c>
      <c r="EM43" s="20" t="e">
        <f t="shared" si="19"/>
        <v>#NUM!</v>
      </c>
      <c r="EN43" s="59" t="e">
        <f t="shared" si="20"/>
        <v>#NUM!</v>
      </c>
      <c r="EO43" s="59">
        <f ca="1">AVERAGE(OFFSET($EN$3,0,0,'Données projet'!$E$15+1,1))-AVERAGE(OFFSET($H$3,0,0,'Données projet'!$E$15+1,1))</f>
        <v>0</v>
      </c>
      <c r="EP43" s="59">
        <f t="shared" si="46"/>
        <v>0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>
        <f>EXP(-LN(2)/35)*EV42+(1-EXP(-LN(2)/35))/(LN(2)/35)*ER43*ES43*VLOOKUP('Données projet'!$B$15,Paramètres!$A$1:$I$89,3,0)*0.475*44/12</f>
        <v>0</v>
      </c>
      <c r="EW43" s="21">
        <f>EXP(-LN(2)/25)*EW42+(1-EXP(-LN(2)/25))/(LN(2)/25)*Calculateur!ER43*Calculateur!ET43*VLOOKUP('Données projet'!$B$15,Paramètres!$A$1:$I$89,3,0)*0.475*44/12</f>
        <v>0</v>
      </c>
      <c r="EX43" s="21">
        <f>EXP(-LN(2)/2)*EX42+(1-EXP(-LN(2)/2))/(LN(2)/2)*ER43*EU43*VLOOKUP('Données projet'!$B$15,Paramètres!$A$1:$I$89,3,0)*0.475*44/12</f>
        <v>0</v>
      </c>
      <c r="EY43" s="22">
        <f t="shared" si="21"/>
        <v>0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>
        <f>FE43*VLOOKUP('Données projet'!$B$16,Paramètres!$A$1:$I$89,3,0)*VLOOKUP('Données projet'!$B$16,Paramètres!$A$1:$I$89,5,0)</f>
        <v>0</v>
      </c>
      <c r="FG43" s="13" t="e">
        <f t="shared" si="47"/>
        <v>#NUM!</v>
      </c>
      <c r="FH43" s="20" t="e">
        <f t="shared" si="22"/>
        <v>#NUM!</v>
      </c>
      <c r="FI43" s="59" t="e">
        <f t="shared" si="23"/>
        <v>#NUM!</v>
      </c>
      <c r="FJ43" s="59">
        <f ca="1">AVERAGE(OFFSET($FI$3,0,0,'Données projet'!$E$16+1,1))-AVERAGE(OFFSET($H$3,0,0,'Données projet'!$E$16+1,1))</f>
        <v>0</v>
      </c>
      <c r="FK43" s="59">
        <f t="shared" si="48"/>
        <v>0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>
        <f>EXP(-LN(2)/35)*FQ42+(1-EXP(-LN(2)/35))/(LN(2)/35)*FM43*FN43*VLOOKUP('Données projet'!$B$16,Paramètres!$A$1:$I$89,3,0)*0.475*44/12</f>
        <v>0</v>
      </c>
      <c r="FR43" s="21">
        <f>EXP(-LN(2)/25)*FR42+(1-EXP(-LN(2)/25))/(LN(2)/25)*Calculateur!FM43*Calculateur!FO43*VLOOKUP('Données projet'!$B$16,Paramètres!$A$1:$I$89,3,0)*0.475*44/12</f>
        <v>0</v>
      </c>
      <c r="FS43" s="21">
        <f>EXP(-LN(2)/2)*FS42+(1-EXP(-LN(2)/2))/(LN(2)/2)*FM43*FP43*VLOOKUP('Données projet'!$B$16,Paramètres!$A$1:$I$89,3,0)*0.475*44/12</f>
        <v>0</v>
      </c>
      <c r="FT43" s="22">
        <f t="shared" si="24"/>
        <v>0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1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9.8333333333333339</v>
      </c>
      <c r="N44" s="13">
        <f>IF('Données projet'!$A$36&gt;35,N43+M44-V43,IF(A44&lt;'Données projet'!$A$36,$K$205^A44,IF(A44='Données projet'!$A$36,'Données projet'!$B$36,N43+M44-V43)))</f>
        <v>243.83333333333337</v>
      </c>
      <c r="O44" s="13">
        <f>N44*VLOOKUP('Données projet'!$B$9,Paramètres!$A$1:$I$89,3,0)*VLOOKUP('Données projet'!$B$9,Paramètres!$A$1:$I$89,5,0)</f>
        <v>145.81233333333336</v>
      </c>
      <c r="P44" s="13">
        <f t="shared" si="33"/>
        <v>37.625360763194948</v>
      </c>
      <c r="Q44" s="20">
        <f t="shared" si="53"/>
        <v>319.4873172181201</v>
      </c>
      <c r="R44" s="59">
        <f t="shared" si="0"/>
        <v>612.82065055145335</v>
      </c>
      <c r="S44" s="59">
        <f ca="1">AVERAGE(OFFSET($R$3,0,0,'Données projet'!$E$9+1,1))-AVERAGE(OFFSET($H$3,0,0,'Données projet'!$E$9+1,1))</f>
        <v>186.90544184210381</v>
      </c>
      <c r="T44" s="59">
        <f t="shared" si="34"/>
        <v>202.05988514450519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23.027596211170046</v>
      </c>
      <c r="AA44" s="21">
        <f>EXP(-LN(2)/25)*AA43+(1-EXP(-LN(2)/25))/(LN(2)/25)*Calculateur!V44*Calculateur!X44*VLOOKUP('Données projet'!$B$9,Paramètres!$A$1:$I$89,3,0)*0.475*44/12</f>
        <v>14.296779892439663</v>
      </c>
      <c r="AB44" s="21">
        <f>EXP(-LN(2)/2)*AB43+(1-EXP(-LN(2)/2))/(LN(2)/2)*V44*Y44*VLOOKUP('Données projet'!$B$9,Paramètres!$A$1:$I$89,3,0)*0.475*44/12</f>
        <v>4.717920246530956</v>
      </c>
      <c r="AC44" s="22">
        <f t="shared" si="3"/>
        <v>42.042296350140667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9.8333333333333339</v>
      </c>
      <c r="AI44" s="13">
        <f>IF('Données projet'!$A$62&gt;35,AI43+AH44-AQ43,IF(A44&lt;'Données projet'!$A$62,$AF$205^A44,IF(A44='Données projet'!$A$62,'Données projet'!$B$62,AI43+AH44-AQ43)))</f>
        <v>243.83333333333337</v>
      </c>
      <c r="AJ44" s="13">
        <f>AI44*VLOOKUP('Données projet'!$B$10,Paramètres!$A$1:$I$89,3,0)*VLOOKUP('Données projet'!$B$10,Paramètres!$A$1:$I$89,5,0)</f>
        <v>145.81233333333336</v>
      </c>
      <c r="AK44" s="13">
        <f t="shared" si="35"/>
        <v>37.625360763194948</v>
      </c>
      <c r="AL44" s="20">
        <f t="shared" si="4"/>
        <v>319.4873172181201</v>
      </c>
      <c r="AM44" s="59">
        <f t="shared" si="5"/>
        <v>612.82065055145335</v>
      </c>
      <c r="AN44" s="59">
        <f ca="1">AVERAGE(OFFSET($AM$3,0,0,'Données projet'!$E$10+1,1))-AVERAGE(OFFSET($H$3,0,0,'Données projet'!$E$10+1,1))</f>
        <v>186.90544184210381</v>
      </c>
      <c r="AO44" s="59">
        <f t="shared" si="36"/>
        <v>202.05988514450519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23.027596211170046</v>
      </c>
      <c r="AV44" s="21">
        <f>EXP(-LN(2)/25)*AV43+(1-EXP(-LN(2)/25))/(LN(2)/25)*Calculateur!AQ44*Calculateur!AS44*VLOOKUP('Données projet'!$B$10,Paramètres!$A$1:$I$89,3,0)*0.475*44/12</f>
        <v>14.296779892439663</v>
      </c>
      <c r="AW44" s="21">
        <f>EXP(-LN(2)/2)*AW43+(1-EXP(-LN(2)/2))/(LN(2)/2)*AQ44*AT44*VLOOKUP('Données projet'!$B$10,Paramètres!$A$1:$I$89,3,0)*0.475*44/12</f>
        <v>4.717920246530956</v>
      </c>
      <c r="AX44" s="21">
        <f t="shared" si="6"/>
        <v>42.042296350140667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-2.8421709430404007E-14</v>
      </c>
      <c r="BE44" s="13">
        <f>BD44*VLOOKUP('Données projet'!$B$11,Paramètres!$A$1:$I$89,3,0)*VLOOKUP('Données projet'!$B$11,Paramètres!$A$1:$I$89,5,0)</f>
        <v>-2.3055690689943732E-14</v>
      </c>
      <c r="BF44" s="13" t="e">
        <f t="shared" si="37"/>
        <v>#NUM!</v>
      </c>
      <c r="BG44" s="20" t="e">
        <f t="shared" si="7"/>
        <v>#NUM!</v>
      </c>
      <c r="BH44" s="59" t="e">
        <f t="shared" si="8"/>
        <v>#NUM!</v>
      </c>
      <c r="BI44" s="59">
        <f ca="1">AVERAGE(OFFSET($BH$3,0,0,'Données projet'!$E$11+1,1))-AVERAGE(OFFSET($H$3,0,0,'Données projet'!$E$11+1,1))</f>
        <v>5.8584049049231908</v>
      </c>
      <c r="BJ44" s="59">
        <f t="shared" si="38"/>
        <v>42.266833200216638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7.3268000714972521</v>
      </c>
      <c r="BS44" s="22">
        <f t="shared" si="9"/>
        <v>7.3268000714972521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>
        <f>BY44*VLOOKUP('Données projet'!$B$12,Paramètres!$A$1:$I$89,3,0)*VLOOKUP('Données projet'!$B$12,Paramètres!$A$1:$I$89,5,0)</f>
        <v>0</v>
      </c>
      <c r="CA44" s="13" t="e">
        <f t="shared" si="39"/>
        <v>#NUM!</v>
      </c>
      <c r="CB44" s="20" t="e">
        <f t="shared" si="10"/>
        <v>#NUM!</v>
      </c>
      <c r="CC44" s="59" t="e">
        <f t="shared" si="11"/>
        <v>#NUM!</v>
      </c>
      <c r="CD44" s="59">
        <f ca="1">AVERAGE(OFFSET($CC$3,0,0,'Données projet'!$E$12+1,1))-AVERAGE(OFFSET($H$3,0,0,'Données projet'!$E$12+1,1))</f>
        <v>0</v>
      </c>
      <c r="CE44" s="59">
        <f t="shared" si="40"/>
        <v>0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0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>
        <f>CT44*VLOOKUP('Données projet'!$B$13,Paramètres!$A$1:$I$89,3,0)*VLOOKUP('Données projet'!$B$13,Paramètres!$A$1:$I$89,5,0)</f>
        <v>0</v>
      </c>
      <c r="CV44" s="13" t="e">
        <f t="shared" si="41"/>
        <v>#NUM!</v>
      </c>
      <c r="CW44" s="20" t="e">
        <f t="shared" si="13"/>
        <v>#NUM!</v>
      </c>
      <c r="CX44" s="59" t="e">
        <f t="shared" si="14"/>
        <v>#NUM!</v>
      </c>
      <c r="CY44" s="59">
        <f ca="1">AVERAGE(OFFSET($CX$3,0,0,'Données projet'!$E$13+1,1))-AVERAGE(OFFSET($H$3,0,0,'Données projet'!$E$13+1,1))</f>
        <v>0</v>
      </c>
      <c r="CZ44" s="59">
        <f t="shared" si="42"/>
        <v>0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0</v>
      </c>
      <c r="DG44" s="21">
        <f>EXP(-LN(2)/25)*DG43+(1-EXP(-LN(2)/25))/(LN(2)/25)*Calculateur!DB44*Calculateur!DD44*VLOOKUP('Données projet'!$B$13,Paramètres!$A$1:$I$89,3,0)*0.475*44/12</f>
        <v>0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0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>
        <f>DO44*VLOOKUP('Données projet'!$B$14,Paramètres!$A$1:$I$89,3,0)*VLOOKUP('Données projet'!$B$14,Paramètres!$A$1:$I$89,5,0)</f>
        <v>0</v>
      </c>
      <c r="DQ44" s="13" t="e">
        <f t="shared" si="43"/>
        <v>#NUM!</v>
      </c>
      <c r="DR44" s="20" t="e">
        <f t="shared" si="16"/>
        <v>#NUM!</v>
      </c>
      <c r="DS44" s="59" t="e">
        <f t="shared" si="17"/>
        <v>#NUM!</v>
      </c>
      <c r="DT44" s="59">
        <f ca="1">AVERAGE(OFFSET($DS$3,0,0,'Données projet'!$E$14+1,1))-AVERAGE(OFFSET($H$3,0,0,'Données projet'!$E$14+1,1))</f>
        <v>0</v>
      </c>
      <c r="DU44" s="59">
        <f t="shared" si="44"/>
        <v>0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0</v>
      </c>
      <c r="EB44" s="21">
        <f>EXP(-LN(2)/25)*EB43+(1-EXP(-LN(2)/25))/(LN(2)/25)*Calculateur!DW44*Calculateur!DY44*VLOOKUP('Données projet'!$B$14,Paramètres!$A$1:$I$89,3,0)*0.475*44/12</f>
        <v>0</v>
      </c>
      <c r="EC44" s="21">
        <f>EXP(-LN(2)/2)*EC43+(1-EXP(-LN(2)/2))/(LN(2)/2)*DW44*DZ44*VLOOKUP('Données projet'!$B$14,Paramètres!$A$1:$I$89,3,0)*0.475*44/12</f>
        <v>0</v>
      </c>
      <c r="ED44" s="22">
        <f t="shared" si="18"/>
        <v>0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>
        <f>EJ44*VLOOKUP('Données projet'!$B$15,Paramètres!$A$1:$I$89,3,0)*VLOOKUP('Données projet'!$B$15,Paramètres!$A$1:$I$89,5,0)</f>
        <v>0</v>
      </c>
      <c r="EL44" s="13" t="e">
        <f t="shared" si="45"/>
        <v>#NUM!</v>
      </c>
      <c r="EM44" s="20" t="e">
        <f t="shared" si="19"/>
        <v>#NUM!</v>
      </c>
      <c r="EN44" s="59" t="e">
        <f t="shared" si="20"/>
        <v>#NUM!</v>
      </c>
      <c r="EO44" s="59">
        <f ca="1">AVERAGE(OFFSET($EN$3,0,0,'Données projet'!$E$15+1,1))-AVERAGE(OFFSET($H$3,0,0,'Données projet'!$E$15+1,1))</f>
        <v>0</v>
      </c>
      <c r="EP44" s="59">
        <f t="shared" si="46"/>
        <v>0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>
        <f>EXP(-LN(2)/35)*EV43+(1-EXP(-LN(2)/35))/(LN(2)/35)*ER44*ES44*VLOOKUP('Données projet'!$B$15,Paramètres!$A$1:$I$89,3,0)*0.475*44/12</f>
        <v>0</v>
      </c>
      <c r="EW44" s="21">
        <f>EXP(-LN(2)/25)*EW43+(1-EXP(-LN(2)/25))/(LN(2)/25)*Calculateur!ER44*Calculateur!ET44*VLOOKUP('Données projet'!$B$15,Paramètres!$A$1:$I$89,3,0)*0.475*44/12</f>
        <v>0</v>
      </c>
      <c r="EX44" s="21">
        <f>EXP(-LN(2)/2)*EX43+(1-EXP(-LN(2)/2))/(LN(2)/2)*ER44*EU44*VLOOKUP('Données projet'!$B$15,Paramètres!$A$1:$I$89,3,0)*0.475*44/12</f>
        <v>0</v>
      </c>
      <c r="EY44" s="22">
        <f t="shared" si="21"/>
        <v>0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>
        <f>FE44*VLOOKUP('Données projet'!$B$16,Paramètres!$A$1:$I$89,3,0)*VLOOKUP('Données projet'!$B$16,Paramètres!$A$1:$I$89,5,0)</f>
        <v>0</v>
      </c>
      <c r="FG44" s="13" t="e">
        <f t="shared" si="47"/>
        <v>#NUM!</v>
      </c>
      <c r="FH44" s="20" t="e">
        <f t="shared" si="22"/>
        <v>#NUM!</v>
      </c>
      <c r="FI44" s="59" t="e">
        <f t="shared" si="23"/>
        <v>#NUM!</v>
      </c>
      <c r="FJ44" s="59">
        <f ca="1">AVERAGE(OFFSET($FI$3,0,0,'Données projet'!$E$16+1,1))-AVERAGE(OFFSET($H$3,0,0,'Données projet'!$E$16+1,1))</f>
        <v>0</v>
      </c>
      <c r="FK44" s="59">
        <f t="shared" si="48"/>
        <v>0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>
        <f>EXP(-LN(2)/35)*FQ43+(1-EXP(-LN(2)/35))/(LN(2)/35)*FM44*FN44*VLOOKUP('Données projet'!$B$16,Paramètres!$A$1:$I$89,3,0)*0.475*44/12</f>
        <v>0</v>
      </c>
      <c r="FR44" s="21">
        <f>EXP(-LN(2)/25)*FR43+(1-EXP(-LN(2)/25))/(LN(2)/25)*Calculateur!FM44*Calculateur!FO44*VLOOKUP('Données projet'!$B$16,Paramètres!$A$1:$I$89,3,0)*0.475*44/12</f>
        <v>0</v>
      </c>
      <c r="FS44" s="21">
        <f>EXP(-LN(2)/2)*FS43+(1-EXP(-LN(2)/2))/(LN(2)/2)*FM44*FP44*VLOOKUP('Données projet'!$B$16,Paramètres!$A$1:$I$89,3,0)*0.475*44/12</f>
        <v>0</v>
      </c>
      <c r="FT44" s="22">
        <f t="shared" si="24"/>
        <v>0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1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9.8333333333333339</v>
      </c>
      <c r="N45" s="13">
        <f>IF('Données projet'!$A$36&gt;35,N44+M45-V44,IF(A45&lt;'Données projet'!$A$36,$K$205^A45,IF(A45='Données projet'!$A$36,'Données projet'!$B$36,N44+M45-V44)))</f>
        <v>253.66666666666671</v>
      </c>
      <c r="O45" s="13">
        <f>N45*VLOOKUP('Données projet'!$B$9,Paramètres!$A$1:$I$89,3,0)*VLOOKUP('Données projet'!$B$9,Paramètres!$A$1:$I$89,5,0)</f>
        <v>151.6926666666667</v>
      </c>
      <c r="P45" s="13">
        <f t="shared" si="33"/>
        <v>38.96299861908853</v>
      </c>
      <c r="Q45" s="20">
        <f t="shared" si="53"/>
        <v>332.05861703935699</v>
      </c>
      <c r="R45" s="59">
        <f t="shared" si="0"/>
        <v>625.3919503726903</v>
      </c>
      <c r="S45" s="59">
        <f ca="1">AVERAGE(OFFSET($R$3,0,0,'Données projet'!$E$9+1,1))-AVERAGE(OFFSET($H$3,0,0,'Données projet'!$E$9+1,1))</f>
        <v>186.90544184210381</v>
      </c>
      <c r="T45" s="59">
        <f t="shared" si="34"/>
        <v>202.05988514450519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22.576039094915817</v>
      </c>
      <c r="AA45" s="21">
        <f>EXP(-LN(2)/25)*AA44+(1-EXP(-LN(2)/25))/(LN(2)/25)*Calculateur!V45*Calculateur!X45*VLOOKUP('Données projet'!$B$9,Paramètres!$A$1:$I$89,3,0)*0.475*44/12</f>
        <v>13.905833694445921</v>
      </c>
      <c r="AB45" s="21">
        <f>EXP(-LN(2)/2)*AB44+(1-EXP(-LN(2)/2))/(LN(2)/2)*V45*Y45*VLOOKUP('Données projet'!$B$9,Paramètres!$A$1:$I$89,3,0)*0.475*44/12</f>
        <v>3.3360733994193472</v>
      </c>
      <c r="AC45" s="22">
        <f t="shared" si="3"/>
        <v>39.817946188781086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9.8333333333333339</v>
      </c>
      <c r="AI45" s="13">
        <f>IF('Données projet'!$A$62&gt;35,AI44+AH45-AQ44,IF(A45&lt;'Données projet'!$A$62,$AF$205^A45,IF(A45='Données projet'!$A$62,'Données projet'!$B$62,AI44+AH45-AQ44)))</f>
        <v>253.66666666666671</v>
      </c>
      <c r="AJ45" s="13">
        <f>AI45*VLOOKUP('Données projet'!$B$10,Paramètres!$A$1:$I$89,3,0)*VLOOKUP('Données projet'!$B$10,Paramètres!$A$1:$I$89,5,0)</f>
        <v>151.6926666666667</v>
      </c>
      <c r="AK45" s="13">
        <f t="shared" si="35"/>
        <v>38.96299861908853</v>
      </c>
      <c r="AL45" s="20">
        <f t="shared" si="4"/>
        <v>332.05861703935699</v>
      </c>
      <c r="AM45" s="59">
        <f t="shared" si="5"/>
        <v>625.3919503726903</v>
      </c>
      <c r="AN45" s="59">
        <f ca="1">AVERAGE(OFFSET($AM$3,0,0,'Données projet'!$E$10+1,1))-AVERAGE(OFFSET($H$3,0,0,'Données projet'!$E$10+1,1))</f>
        <v>186.90544184210381</v>
      </c>
      <c r="AO45" s="59">
        <f t="shared" si="36"/>
        <v>202.05988514450519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22.576039094915817</v>
      </c>
      <c r="AV45" s="21">
        <f>EXP(-LN(2)/25)*AV44+(1-EXP(-LN(2)/25))/(LN(2)/25)*Calculateur!AQ45*Calculateur!AS45*VLOOKUP('Données projet'!$B$10,Paramètres!$A$1:$I$89,3,0)*0.475*44/12</f>
        <v>13.905833694445921</v>
      </c>
      <c r="AW45" s="21">
        <f>EXP(-LN(2)/2)*AW44+(1-EXP(-LN(2)/2))/(LN(2)/2)*AQ45*AT45*VLOOKUP('Données projet'!$B$10,Paramètres!$A$1:$I$89,3,0)*0.475*44/12</f>
        <v>3.3360733994193472</v>
      </c>
      <c r="AX45" s="21">
        <f t="shared" si="6"/>
        <v>39.817946188781086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-2.8421709430404007E-14</v>
      </c>
      <c r="BE45" s="13">
        <f>BD45*VLOOKUP('Données projet'!$B$11,Paramètres!$A$1:$I$89,3,0)*VLOOKUP('Données projet'!$B$11,Paramètres!$A$1:$I$89,5,0)</f>
        <v>-2.3055690689943732E-14</v>
      </c>
      <c r="BF45" s="13" t="e">
        <f t="shared" si="37"/>
        <v>#NUM!</v>
      </c>
      <c r="BG45" s="20" t="e">
        <f t="shared" si="7"/>
        <v>#NUM!</v>
      </c>
      <c r="BH45" s="59" t="e">
        <f t="shared" si="8"/>
        <v>#NUM!</v>
      </c>
      <c r="BI45" s="59">
        <f ca="1">AVERAGE(OFFSET($BH$3,0,0,'Données projet'!$E$11+1,1))-AVERAGE(OFFSET($H$3,0,0,'Données projet'!$E$11+1,1))</f>
        <v>5.8584049049231908</v>
      </c>
      <c r="BJ45" s="59">
        <f t="shared" si="38"/>
        <v>42.266833200216638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5.1808300149537887</v>
      </c>
      <c r="BS45" s="22">
        <f t="shared" si="9"/>
        <v>5.1808300149537887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>
        <f>BY45*VLOOKUP('Données projet'!$B$12,Paramètres!$A$1:$I$89,3,0)*VLOOKUP('Données projet'!$B$12,Paramètres!$A$1:$I$89,5,0)</f>
        <v>0</v>
      </c>
      <c r="CA45" s="13" t="e">
        <f t="shared" si="39"/>
        <v>#NUM!</v>
      </c>
      <c r="CB45" s="20" t="e">
        <f t="shared" si="10"/>
        <v>#NUM!</v>
      </c>
      <c r="CC45" s="59" t="e">
        <f t="shared" si="11"/>
        <v>#NUM!</v>
      </c>
      <c r="CD45" s="59">
        <f ca="1">AVERAGE(OFFSET($CC$3,0,0,'Données projet'!$E$12+1,1))-AVERAGE(OFFSET($H$3,0,0,'Données projet'!$E$12+1,1))</f>
        <v>0</v>
      </c>
      <c r="CE45" s="59">
        <f t="shared" si="40"/>
        <v>0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0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>
        <f>CT45*VLOOKUP('Données projet'!$B$13,Paramètres!$A$1:$I$89,3,0)*VLOOKUP('Données projet'!$B$13,Paramètres!$A$1:$I$89,5,0)</f>
        <v>0</v>
      </c>
      <c r="CV45" s="13" t="e">
        <f t="shared" si="41"/>
        <v>#NUM!</v>
      </c>
      <c r="CW45" s="20" t="e">
        <f t="shared" si="13"/>
        <v>#NUM!</v>
      </c>
      <c r="CX45" s="59" t="e">
        <f t="shared" si="14"/>
        <v>#NUM!</v>
      </c>
      <c r="CY45" s="59">
        <f ca="1">AVERAGE(OFFSET($CX$3,0,0,'Données projet'!$E$13+1,1))-AVERAGE(OFFSET($H$3,0,0,'Données projet'!$E$13+1,1))</f>
        <v>0</v>
      </c>
      <c r="CZ45" s="59">
        <f t="shared" si="42"/>
        <v>0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0</v>
      </c>
      <c r="DG45" s="21">
        <f>EXP(-LN(2)/25)*DG44+(1-EXP(-LN(2)/25))/(LN(2)/25)*Calculateur!DB45*Calculateur!DD45*VLOOKUP('Données projet'!$B$13,Paramètres!$A$1:$I$89,3,0)*0.475*44/12</f>
        <v>0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0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>
        <f>DO45*VLOOKUP('Données projet'!$B$14,Paramètres!$A$1:$I$89,3,0)*VLOOKUP('Données projet'!$B$14,Paramètres!$A$1:$I$89,5,0)</f>
        <v>0</v>
      </c>
      <c r="DQ45" s="13" t="e">
        <f t="shared" si="43"/>
        <v>#NUM!</v>
      </c>
      <c r="DR45" s="20" t="e">
        <f t="shared" si="16"/>
        <v>#NUM!</v>
      </c>
      <c r="DS45" s="59" t="e">
        <f t="shared" si="17"/>
        <v>#NUM!</v>
      </c>
      <c r="DT45" s="59">
        <f ca="1">AVERAGE(OFFSET($DS$3,0,0,'Données projet'!$E$14+1,1))-AVERAGE(OFFSET($H$3,0,0,'Données projet'!$E$14+1,1))</f>
        <v>0</v>
      </c>
      <c r="DU45" s="59">
        <f t="shared" si="44"/>
        <v>0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0</v>
      </c>
      <c r="EB45" s="21">
        <f>EXP(-LN(2)/25)*EB44+(1-EXP(-LN(2)/25))/(LN(2)/25)*Calculateur!DW45*Calculateur!DY45*VLOOKUP('Données projet'!$B$14,Paramètres!$A$1:$I$89,3,0)*0.475*44/12</f>
        <v>0</v>
      </c>
      <c r="EC45" s="21">
        <f>EXP(-LN(2)/2)*EC44+(1-EXP(-LN(2)/2))/(LN(2)/2)*DW45*DZ45*VLOOKUP('Données projet'!$B$14,Paramètres!$A$1:$I$89,3,0)*0.475*44/12</f>
        <v>0</v>
      </c>
      <c r="ED45" s="22">
        <f t="shared" si="18"/>
        <v>0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>
        <f>EJ45*VLOOKUP('Données projet'!$B$15,Paramètres!$A$1:$I$89,3,0)*VLOOKUP('Données projet'!$B$15,Paramètres!$A$1:$I$89,5,0)</f>
        <v>0</v>
      </c>
      <c r="EL45" s="13" t="e">
        <f t="shared" si="45"/>
        <v>#NUM!</v>
      </c>
      <c r="EM45" s="20" t="e">
        <f t="shared" si="19"/>
        <v>#NUM!</v>
      </c>
      <c r="EN45" s="59" t="e">
        <f t="shared" si="20"/>
        <v>#NUM!</v>
      </c>
      <c r="EO45" s="59">
        <f ca="1">AVERAGE(OFFSET($EN$3,0,0,'Données projet'!$E$15+1,1))-AVERAGE(OFFSET($H$3,0,0,'Données projet'!$E$15+1,1))</f>
        <v>0</v>
      </c>
      <c r="EP45" s="59">
        <f t="shared" si="46"/>
        <v>0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>
        <f>EXP(-LN(2)/35)*EV44+(1-EXP(-LN(2)/35))/(LN(2)/35)*ER45*ES45*VLOOKUP('Données projet'!$B$15,Paramètres!$A$1:$I$89,3,0)*0.475*44/12</f>
        <v>0</v>
      </c>
      <c r="EW45" s="21">
        <f>EXP(-LN(2)/25)*EW44+(1-EXP(-LN(2)/25))/(LN(2)/25)*Calculateur!ER45*Calculateur!ET45*VLOOKUP('Données projet'!$B$15,Paramètres!$A$1:$I$89,3,0)*0.475*44/12</f>
        <v>0</v>
      </c>
      <c r="EX45" s="21">
        <f>EXP(-LN(2)/2)*EX44+(1-EXP(-LN(2)/2))/(LN(2)/2)*ER45*EU45*VLOOKUP('Données projet'!$B$15,Paramètres!$A$1:$I$89,3,0)*0.475*44/12</f>
        <v>0</v>
      </c>
      <c r="EY45" s="22">
        <f t="shared" si="21"/>
        <v>0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>
        <f>FE45*VLOOKUP('Données projet'!$B$16,Paramètres!$A$1:$I$89,3,0)*VLOOKUP('Données projet'!$B$16,Paramètres!$A$1:$I$89,5,0)</f>
        <v>0</v>
      </c>
      <c r="FG45" s="13" t="e">
        <f t="shared" si="47"/>
        <v>#NUM!</v>
      </c>
      <c r="FH45" s="20" t="e">
        <f t="shared" si="22"/>
        <v>#NUM!</v>
      </c>
      <c r="FI45" s="59" t="e">
        <f t="shared" si="23"/>
        <v>#NUM!</v>
      </c>
      <c r="FJ45" s="59">
        <f ca="1">AVERAGE(OFFSET($FI$3,0,0,'Données projet'!$E$16+1,1))-AVERAGE(OFFSET($H$3,0,0,'Données projet'!$E$16+1,1))</f>
        <v>0</v>
      </c>
      <c r="FK45" s="59">
        <f t="shared" si="48"/>
        <v>0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>
        <f>EXP(-LN(2)/35)*FQ44+(1-EXP(-LN(2)/35))/(LN(2)/35)*FM45*FN45*VLOOKUP('Données projet'!$B$16,Paramètres!$A$1:$I$89,3,0)*0.475*44/12</f>
        <v>0</v>
      </c>
      <c r="FR45" s="21">
        <f>EXP(-LN(2)/25)*FR44+(1-EXP(-LN(2)/25))/(LN(2)/25)*Calculateur!FM45*Calculateur!FO45*VLOOKUP('Données projet'!$B$16,Paramètres!$A$1:$I$89,3,0)*0.475*44/12</f>
        <v>0</v>
      </c>
      <c r="FS45" s="21">
        <f>EXP(-LN(2)/2)*FS44+(1-EXP(-LN(2)/2))/(LN(2)/2)*FM45*FP45*VLOOKUP('Données projet'!$B$16,Paramètres!$A$1:$I$89,3,0)*0.475*44/12</f>
        <v>0</v>
      </c>
      <c r="FT45" s="22">
        <f t="shared" si="24"/>
        <v>0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1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9.8333333333333339</v>
      </c>
      <c r="N46" s="13">
        <f>IF('Données projet'!$A$36&gt;35,N45+M46-V45,IF(A46&lt;'Données projet'!$A$36,$K$205^A46,IF(A46='Données projet'!$A$36,'Données projet'!$B$36,N45+M46-V45)))</f>
        <v>263.50000000000006</v>
      </c>
      <c r="O46" s="13">
        <f>N46*VLOOKUP('Données projet'!$B$9,Paramètres!$A$1:$I$89,3,0)*VLOOKUP('Données projet'!$B$9,Paramètres!$A$1:$I$89,5,0)</f>
        <v>157.57300000000006</v>
      </c>
      <c r="P46" s="13">
        <f t="shared" si="33"/>
        <v>40.294612761030372</v>
      </c>
      <c r="Q46" s="20">
        <f t="shared" si="53"/>
        <v>344.61942555879472</v>
      </c>
      <c r="R46" s="59">
        <f t="shared" si="0"/>
        <v>637.95275889212803</v>
      </c>
      <c r="S46" s="59">
        <f ca="1">AVERAGE(OFFSET($R$3,0,0,'Données projet'!$E$9+1,1))-AVERAGE(OFFSET($H$3,0,0,'Données projet'!$E$9+1,1))</f>
        <v>186.90544184210381</v>
      </c>
      <c r="T46" s="59">
        <f t="shared" si="34"/>
        <v>202.05988514450519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22.133336738288691</v>
      </c>
      <c r="AA46" s="21">
        <f>EXP(-LN(2)/25)*AA45+(1-EXP(-LN(2)/25))/(LN(2)/25)*Calculateur!V46*Calculateur!X46*VLOOKUP('Données projet'!$B$9,Paramètres!$A$1:$I$89,3,0)*0.475*44/12</f>
        <v>13.525577940795285</v>
      </c>
      <c r="AB46" s="21">
        <f>EXP(-LN(2)/2)*AB45+(1-EXP(-LN(2)/2))/(LN(2)/2)*V46*Y46*VLOOKUP('Données projet'!$B$9,Paramètres!$A$1:$I$89,3,0)*0.475*44/12</f>
        <v>2.3589601232654784</v>
      </c>
      <c r="AC46" s="22">
        <f t="shared" si="3"/>
        <v>38.017874802349453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9.8333333333333339</v>
      </c>
      <c r="AI46" s="13">
        <f>IF('Données projet'!$A$62&gt;35,AI45+AH46-AQ45,IF(A46&lt;'Données projet'!$A$62,$AF$205^A46,IF(A46='Données projet'!$A$62,'Données projet'!$B$62,AI45+AH46-AQ45)))</f>
        <v>263.50000000000006</v>
      </c>
      <c r="AJ46" s="13">
        <f>AI46*VLOOKUP('Données projet'!$B$10,Paramètres!$A$1:$I$89,3,0)*VLOOKUP('Données projet'!$B$10,Paramètres!$A$1:$I$89,5,0)</f>
        <v>157.57300000000006</v>
      </c>
      <c r="AK46" s="13">
        <f t="shared" si="35"/>
        <v>40.294612761030372</v>
      </c>
      <c r="AL46" s="20">
        <f t="shared" si="4"/>
        <v>344.61942555879472</v>
      </c>
      <c r="AM46" s="59">
        <f t="shared" si="5"/>
        <v>637.95275889212803</v>
      </c>
      <c r="AN46" s="59">
        <f ca="1">AVERAGE(OFFSET($AM$3,0,0,'Données projet'!$E$10+1,1))-AVERAGE(OFFSET($H$3,0,0,'Données projet'!$E$10+1,1))</f>
        <v>186.90544184210381</v>
      </c>
      <c r="AO46" s="59">
        <f t="shared" si="36"/>
        <v>202.05988514450519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22.133336738288691</v>
      </c>
      <c r="AV46" s="21">
        <f>EXP(-LN(2)/25)*AV45+(1-EXP(-LN(2)/25))/(LN(2)/25)*Calculateur!AQ46*Calculateur!AS46*VLOOKUP('Données projet'!$B$10,Paramètres!$A$1:$I$89,3,0)*0.475*44/12</f>
        <v>13.525577940795285</v>
      </c>
      <c r="AW46" s="21">
        <f>EXP(-LN(2)/2)*AW45+(1-EXP(-LN(2)/2))/(LN(2)/2)*AQ46*AT46*VLOOKUP('Données projet'!$B$10,Paramètres!$A$1:$I$89,3,0)*0.475*44/12</f>
        <v>2.3589601232654784</v>
      </c>
      <c r="AX46" s="21">
        <f t="shared" si="6"/>
        <v>38.017874802349453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-2.8421709430404007E-14</v>
      </c>
      <c r="BE46" s="13">
        <f>BD46*VLOOKUP('Données projet'!$B$11,Paramètres!$A$1:$I$89,3,0)*VLOOKUP('Données projet'!$B$11,Paramètres!$A$1:$I$89,5,0)</f>
        <v>-2.3055690689943732E-14</v>
      </c>
      <c r="BF46" s="13" t="e">
        <f t="shared" si="37"/>
        <v>#NUM!</v>
      </c>
      <c r="BG46" s="20" t="e">
        <f t="shared" si="7"/>
        <v>#NUM!</v>
      </c>
      <c r="BH46" s="59" t="e">
        <f t="shared" si="8"/>
        <v>#NUM!</v>
      </c>
      <c r="BI46" s="59">
        <f ca="1">AVERAGE(OFFSET($BH$3,0,0,'Données projet'!$E$11+1,1))-AVERAGE(OFFSET($H$3,0,0,'Données projet'!$E$11+1,1))</f>
        <v>5.8584049049231908</v>
      </c>
      <c r="BJ46" s="59">
        <f t="shared" si="38"/>
        <v>42.266833200216638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3.6634000357486265</v>
      </c>
      <c r="BS46" s="22">
        <f t="shared" si="9"/>
        <v>3.6634000357486265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>
        <f>BY46*VLOOKUP('Données projet'!$B$12,Paramètres!$A$1:$I$89,3,0)*VLOOKUP('Données projet'!$B$12,Paramètres!$A$1:$I$89,5,0)</f>
        <v>0</v>
      </c>
      <c r="CA46" s="13" t="e">
        <f t="shared" si="39"/>
        <v>#NUM!</v>
      </c>
      <c r="CB46" s="20" t="e">
        <f t="shared" si="10"/>
        <v>#NUM!</v>
      </c>
      <c r="CC46" s="59" t="e">
        <f t="shared" si="11"/>
        <v>#NUM!</v>
      </c>
      <c r="CD46" s="59">
        <f ca="1">AVERAGE(OFFSET($CC$3,0,0,'Données projet'!$E$12+1,1))-AVERAGE(OFFSET($H$3,0,0,'Données projet'!$E$12+1,1))</f>
        <v>0</v>
      </c>
      <c r="CE46" s="59">
        <f t="shared" si="40"/>
        <v>0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0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>
        <f>CT46*VLOOKUP('Données projet'!$B$13,Paramètres!$A$1:$I$89,3,0)*VLOOKUP('Données projet'!$B$13,Paramètres!$A$1:$I$89,5,0)</f>
        <v>0</v>
      </c>
      <c r="CV46" s="13" t="e">
        <f t="shared" si="41"/>
        <v>#NUM!</v>
      </c>
      <c r="CW46" s="20" t="e">
        <f t="shared" si="13"/>
        <v>#NUM!</v>
      </c>
      <c r="CX46" s="59" t="e">
        <f t="shared" si="14"/>
        <v>#NUM!</v>
      </c>
      <c r="CY46" s="59">
        <f ca="1">AVERAGE(OFFSET($CX$3,0,0,'Données projet'!$E$13+1,1))-AVERAGE(OFFSET($H$3,0,0,'Données projet'!$E$13+1,1))</f>
        <v>0</v>
      </c>
      <c r="CZ46" s="59">
        <f t="shared" si="42"/>
        <v>0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0</v>
      </c>
      <c r="DG46" s="21">
        <f>EXP(-LN(2)/25)*DG45+(1-EXP(-LN(2)/25))/(LN(2)/25)*Calculateur!DB46*Calculateur!DD46*VLOOKUP('Données projet'!$B$13,Paramètres!$A$1:$I$89,3,0)*0.475*44/12</f>
        <v>0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0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>
        <f>DO46*VLOOKUP('Données projet'!$B$14,Paramètres!$A$1:$I$89,3,0)*VLOOKUP('Données projet'!$B$14,Paramètres!$A$1:$I$89,5,0)</f>
        <v>0</v>
      </c>
      <c r="DQ46" s="13" t="e">
        <f t="shared" si="43"/>
        <v>#NUM!</v>
      </c>
      <c r="DR46" s="20" t="e">
        <f t="shared" si="16"/>
        <v>#NUM!</v>
      </c>
      <c r="DS46" s="59" t="e">
        <f t="shared" si="17"/>
        <v>#NUM!</v>
      </c>
      <c r="DT46" s="59">
        <f ca="1">AVERAGE(OFFSET($DS$3,0,0,'Données projet'!$E$14+1,1))-AVERAGE(OFFSET($H$3,0,0,'Données projet'!$E$14+1,1))</f>
        <v>0</v>
      </c>
      <c r="DU46" s="59">
        <f t="shared" si="44"/>
        <v>0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0</v>
      </c>
      <c r="EB46" s="21">
        <f>EXP(-LN(2)/25)*EB45+(1-EXP(-LN(2)/25))/(LN(2)/25)*Calculateur!DW46*Calculateur!DY46*VLOOKUP('Données projet'!$B$14,Paramètres!$A$1:$I$89,3,0)*0.475*44/12</f>
        <v>0</v>
      </c>
      <c r="EC46" s="21">
        <f>EXP(-LN(2)/2)*EC45+(1-EXP(-LN(2)/2))/(LN(2)/2)*DW46*DZ46*VLOOKUP('Données projet'!$B$14,Paramètres!$A$1:$I$89,3,0)*0.475*44/12</f>
        <v>0</v>
      </c>
      <c r="ED46" s="22">
        <f t="shared" si="18"/>
        <v>0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>
        <f>EJ46*VLOOKUP('Données projet'!$B$15,Paramètres!$A$1:$I$89,3,0)*VLOOKUP('Données projet'!$B$15,Paramètres!$A$1:$I$89,5,0)</f>
        <v>0</v>
      </c>
      <c r="EL46" s="13" t="e">
        <f t="shared" si="45"/>
        <v>#NUM!</v>
      </c>
      <c r="EM46" s="20" t="e">
        <f t="shared" si="19"/>
        <v>#NUM!</v>
      </c>
      <c r="EN46" s="59" t="e">
        <f t="shared" si="20"/>
        <v>#NUM!</v>
      </c>
      <c r="EO46" s="59">
        <f ca="1">AVERAGE(OFFSET($EN$3,0,0,'Données projet'!$E$15+1,1))-AVERAGE(OFFSET($H$3,0,0,'Données projet'!$E$15+1,1))</f>
        <v>0</v>
      </c>
      <c r="EP46" s="59">
        <f t="shared" si="46"/>
        <v>0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>
        <f>EXP(-LN(2)/35)*EV45+(1-EXP(-LN(2)/35))/(LN(2)/35)*ER46*ES46*VLOOKUP('Données projet'!$B$15,Paramètres!$A$1:$I$89,3,0)*0.475*44/12</f>
        <v>0</v>
      </c>
      <c r="EW46" s="21">
        <f>EXP(-LN(2)/25)*EW45+(1-EXP(-LN(2)/25))/(LN(2)/25)*Calculateur!ER46*Calculateur!ET46*VLOOKUP('Données projet'!$B$15,Paramètres!$A$1:$I$89,3,0)*0.475*44/12</f>
        <v>0</v>
      </c>
      <c r="EX46" s="21">
        <f>EXP(-LN(2)/2)*EX45+(1-EXP(-LN(2)/2))/(LN(2)/2)*ER46*EU46*VLOOKUP('Données projet'!$B$15,Paramètres!$A$1:$I$89,3,0)*0.475*44/12</f>
        <v>0</v>
      </c>
      <c r="EY46" s="22">
        <f t="shared" si="21"/>
        <v>0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>
        <f>FE46*VLOOKUP('Données projet'!$B$16,Paramètres!$A$1:$I$89,3,0)*VLOOKUP('Données projet'!$B$16,Paramètres!$A$1:$I$89,5,0)</f>
        <v>0</v>
      </c>
      <c r="FG46" s="13" t="e">
        <f t="shared" si="47"/>
        <v>#NUM!</v>
      </c>
      <c r="FH46" s="20" t="e">
        <f t="shared" si="22"/>
        <v>#NUM!</v>
      </c>
      <c r="FI46" s="59" t="e">
        <f t="shared" si="23"/>
        <v>#NUM!</v>
      </c>
      <c r="FJ46" s="59">
        <f ca="1">AVERAGE(OFFSET($FI$3,0,0,'Données projet'!$E$16+1,1))-AVERAGE(OFFSET($H$3,0,0,'Données projet'!$E$16+1,1))</f>
        <v>0</v>
      </c>
      <c r="FK46" s="59">
        <f t="shared" si="48"/>
        <v>0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>
        <f>EXP(-LN(2)/35)*FQ45+(1-EXP(-LN(2)/35))/(LN(2)/35)*FM46*FN46*VLOOKUP('Données projet'!$B$16,Paramètres!$A$1:$I$89,3,0)*0.475*44/12</f>
        <v>0</v>
      </c>
      <c r="FR46" s="21">
        <f>EXP(-LN(2)/25)*FR45+(1-EXP(-LN(2)/25))/(LN(2)/25)*Calculateur!FM46*Calculateur!FO46*VLOOKUP('Données projet'!$B$16,Paramètres!$A$1:$I$89,3,0)*0.475*44/12</f>
        <v>0</v>
      </c>
      <c r="FS46" s="21">
        <f>EXP(-LN(2)/2)*FS45+(1-EXP(-LN(2)/2))/(LN(2)/2)*FM46*FP46*VLOOKUP('Données projet'!$B$16,Paramètres!$A$1:$I$89,3,0)*0.475*44/12</f>
        <v>0</v>
      </c>
      <c r="FT46" s="22">
        <f t="shared" si="24"/>
        <v>0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1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9.8333333333333339</v>
      </c>
      <c r="N47" s="13">
        <f>IF('Données projet'!$A$36&gt;35,N46+M47-V46,IF(A47&lt;'Données projet'!$A$36,$K$205^A47,IF(A47='Données projet'!$A$36,'Données projet'!$B$36,N46+M47-V46)))</f>
        <v>273.33333333333337</v>
      </c>
      <c r="O47" s="13">
        <f>N47*VLOOKUP('Données projet'!$B$9,Paramètres!$A$1:$I$89,3,0)*VLOOKUP('Données projet'!$B$9,Paramètres!$A$1:$I$89,5,0)</f>
        <v>163.45333333333338</v>
      </c>
      <c r="P47" s="13">
        <f t="shared" si="33"/>
        <v>41.620453722976563</v>
      </c>
      <c r="Q47" s="20">
        <f t="shared" si="53"/>
        <v>357.17017912307307</v>
      </c>
      <c r="R47" s="59">
        <f t="shared" si="0"/>
        <v>650.50351245640638</v>
      </c>
      <c r="S47" s="59">
        <f ca="1">AVERAGE(OFFSET($R$3,0,0,'Données projet'!$E$9+1,1))-AVERAGE(OFFSET($H$3,0,0,'Données projet'!$E$9+1,1))</f>
        <v>186.90544184210381</v>
      </c>
      <c r="T47" s="59">
        <f t="shared" si="34"/>
        <v>202.05988514450519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21.699315504853246</v>
      </c>
      <c r="AA47" s="21">
        <f>EXP(-LN(2)/25)*AA46+(1-EXP(-LN(2)/25))/(LN(2)/25)*Calculateur!V47*Calculateur!X47*VLOOKUP('Données projet'!$B$9,Paramètres!$A$1:$I$89,3,0)*0.475*44/12</f>
        <v>13.155720300725008</v>
      </c>
      <c r="AB47" s="21">
        <f>EXP(-LN(2)/2)*AB46+(1-EXP(-LN(2)/2))/(LN(2)/2)*V47*Y47*VLOOKUP('Données projet'!$B$9,Paramètres!$A$1:$I$89,3,0)*0.475*44/12</f>
        <v>1.6680366997096741</v>
      </c>
      <c r="AC47" s="22">
        <f t="shared" si="3"/>
        <v>36.523072505287928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9.8333333333333339</v>
      </c>
      <c r="AI47" s="13">
        <f>IF('Données projet'!$A$62&gt;35,AI46+AH47-AQ46,IF(A47&lt;'Données projet'!$A$62,$AF$205^A47,IF(A47='Données projet'!$A$62,'Données projet'!$B$62,AI46+AH47-AQ46)))</f>
        <v>273.33333333333337</v>
      </c>
      <c r="AJ47" s="13">
        <f>AI47*VLOOKUP('Données projet'!$B$10,Paramètres!$A$1:$I$89,3,0)*VLOOKUP('Données projet'!$B$10,Paramètres!$A$1:$I$89,5,0)</f>
        <v>163.45333333333338</v>
      </c>
      <c r="AK47" s="13">
        <f t="shared" si="35"/>
        <v>41.620453722976563</v>
      </c>
      <c r="AL47" s="20">
        <f t="shared" si="4"/>
        <v>357.17017912307307</v>
      </c>
      <c r="AM47" s="59">
        <f t="shared" si="5"/>
        <v>650.50351245640638</v>
      </c>
      <c r="AN47" s="59">
        <f ca="1">AVERAGE(OFFSET($AM$3,0,0,'Données projet'!$E$10+1,1))-AVERAGE(OFFSET($H$3,0,0,'Données projet'!$E$10+1,1))</f>
        <v>186.90544184210381</v>
      </c>
      <c r="AO47" s="59">
        <f t="shared" si="36"/>
        <v>202.05988514450519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21.699315504853246</v>
      </c>
      <c r="AV47" s="21">
        <f>EXP(-LN(2)/25)*AV46+(1-EXP(-LN(2)/25))/(LN(2)/25)*Calculateur!AQ47*Calculateur!AS47*VLOOKUP('Données projet'!$B$10,Paramètres!$A$1:$I$89,3,0)*0.475*44/12</f>
        <v>13.155720300725008</v>
      </c>
      <c r="AW47" s="21">
        <f>EXP(-LN(2)/2)*AW46+(1-EXP(-LN(2)/2))/(LN(2)/2)*AQ47*AT47*VLOOKUP('Données projet'!$B$10,Paramètres!$A$1:$I$89,3,0)*0.475*44/12</f>
        <v>1.6680366997096741</v>
      </c>
      <c r="AX47" s="21">
        <f t="shared" si="6"/>
        <v>36.523072505287928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-2.8421709430404007E-14</v>
      </c>
      <c r="BE47" s="13">
        <f>BD47*VLOOKUP('Données projet'!$B$11,Paramètres!$A$1:$I$89,3,0)*VLOOKUP('Données projet'!$B$11,Paramètres!$A$1:$I$89,5,0)</f>
        <v>-2.3055690689943732E-14</v>
      </c>
      <c r="BF47" s="13" t="e">
        <f t="shared" si="37"/>
        <v>#NUM!</v>
      </c>
      <c r="BG47" s="20" t="e">
        <f t="shared" si="7"/>
        <v>#NUM!</v>
      </c>
      <c r="BH47" s="59" t="e">
        <f t="shared" si="8"/>
        <v>#NUM!</v>
      </c>
      <c r="BI47" s="59">
        <f ca="1">AVERAGE(OFFSET($BH$3,0,0,'Données projet'!$E$11+1,1))-AVERAGE(OFFSET($H$3,0,0,'Données projet'!$E$11+1,1))</f>
        <v>5.8584049049231908</v>
      </c>
      <c r="BJ47" s="59">
        <f t="shared" si="38"/>
        <v>42.266833200216638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2.5904150074768948</v>
      </c>
      <c r="BS47" s="22">
        <f t="shared" si="9"/>
        <v>2.5904150074768948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>
        <f>BY47*VLOOKUP('Données projet'!$B$12,Paramètres!$A$1:$I$89,3,0)*VLOOKUP('Données projet'!$B$12,Paramètres!$A$1:$I$89,5,0)</f>
        <v>0</v>
      </c>
      <c r="CA47" s="13" t="e">
        <f t="shared" si="39"/>
        <v>#NUM!</v>
      </c>
      <c r="CB47" s="20" t="e">
        <f t="shared" si="10"/>
        <v>#NUM!</v>
      </c>
      <c r="CC47" s="59" t="e">
        <f t="shared" si="11"/>
        <v>#NUM!</v>
      </c>
      <c r="CD47" s="59">
        <f ca="1">AVERAGE(OFFSET($CC$3,0,0,'Données projet'!$E$12+1,1))-AVERAGE(OFFSET($H$3,0,0,'Données projet'!$E$12+1,1))</f>
        <v>0</v>
      </c>
      <c r="CE47" s="59">
        <f t="shared" si="40"/>
        <v>0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0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>
        <f>CT47*VLOOKUP('Données projet'!$B$13,Paramètres!$A$1:$I$89,3,0)*VLOOKUP('Données projet'!$B$13,Paramètres!$A$1:$I$89,5,0)</f>
        <v>0</v>
      </c>
      <c r="CV47" s="13" t="e">
        <f t="shared" si="41"/>
        <v>#NUM!</v>
      </c>
      <c r="CW47" s="20" t="e">
        <f t="shared" si="13"/>
        <v>#NUM!</v>
      </c>
      <c r="CX47" s="59" t="e">
        <f t="shared" si="14"/>
        <v>#NUM!</v>
      </c>
      <c r="CY47" s="59">
        <f ca="1">AVERAGE(OFFSET($CX$3,0,0,'Données projet'!$E$13+1,1))-AVERAGE(OFFSET($H$3,0,0,'Données projet'!$E$13+1,1))</f>
        <v>0</v>
      </c>
      <c r="CZ47" s="59">
        <f t="shared" si="42"/>
        <v>0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0</v>
      </c>
      <c r="DG47" s="21">
        <f>EXP(-LN(2)/25)*DG46+(1-EXP(-LN(2)/25))/(LN(2)/25)*Calculateur!DB47*Calculateur!DD47*VLOOKUP('Données projet'!$B$13,Paramètres!$A$1:$I$89,3,0)*0.475*44/12</f>
        <v>0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0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>
        <f>DO47*VLOOKUP('Données projet'!$B$14,Paramètres!$A$1:$I$89,3,0)*VLOOKUP('Données projet'!$B$14,Paramètres!$A$1:$I$89,5,0)</f>
        <v>0</v>
      </c>
      <c r="DQ47" s="13" t="e">
        <f t="shared" si="43"/>
        <v>#NUM!</v>
      </c>
      <c r="DR47" s="20" t="e">
        <f t="shared" si="16"/>
        <v>#NUM!</v>
      </c>
      <c r="DS47" s="59" t="e">
        <f t="shared" si="17"/>
        <v>#NUM!</v>
      </c>
      <c r="DT47" s="59">
        <f ca="1">AVERAGE(OFFSET($DS$3,0,0,'Données projet'!$E$14+1,1))-AVERAGE(OFFSET($H$3,0,0,'Données projet'!$E$14+1,1))</f>
        <v>0</v>
      </c>
      <c r="DU47" s="59">
        <f t="shared" si="44"/>
        <v>0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0</v>
      </c>
      <c r="EB47" s="21">
        <f>EXP(-LN(2)/25)*EB46+(1-EXP(-LN(2)/25))/(LN(2)/25)*Calculateur!DW47*Calculateur!DY47*VLOOKUP('Données projet'!$B$14,Paramètres!$A$1:$I$89,3,0)*0.475*44/12</f>
        <v>0</v>
      </c>
      <c r="EC47" s="21">
        <f>EXP(-LN(2)/2)*EC46+(1-EXP(-LN(2)/2))/(LN(2)/2)*DW47*DZ47*VLOOKUP('Données projet'!$B$14,Paramètres!$A$1:$I$89,3,0)*0.475*44/12</f>
        <v>0</v>
      </c>
      <c r="ED47" s="22">
        <f t="shared" si="18"/>
        <v>0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>
        <f>EJ47*VLOOKUP('Données projet'!$B$15,Paramètres!$A$1:$I$89,3,0)*VLOOKUP('Données projet'!$B$15,Paramètres!$A$1:$I$89,5,0)</f>
        <v>0</v>
      </c>
      <c r="EL47" s="13" t="e">
        <f t="shared" si="45"/>
        <v>#NUM!</v>
      </c>
      <c r="EM47" s="20" t="e">
        <f t="shared" si="19"/>
        <v>#NUM!</v>
      </c>
      <c r="EN47" s="59" t="e">
        <f t="shared" si="20"/>
        <v>#NUM!</v>
      </c>
      <c r="EO47" s="59">
        <f ca="1">AVERAGE(OFFSET($EN$3,0,0,'Données projet'!$E$15+1,1))-AVERAGE(OFFSET($H$3,0,0,'Données projet'!$E$15+1,1))</f>
        <v>0</v>
      </c>
      <c r="EP47" s="59">
        <f t="shared" si="46"/>
        <v>0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>
        <f>EXP(-LN(2)/35)*EV46+(1-EXP(-LN(2)/35))/(LN(2)/35)*ER47*ES47*VLOOKUP('Données projet'!$B$15,Paramètres!$A$1:$I$89,3,0)*0.475*44/12</f>
        <v>0</v>
      </c>
      <c r="EW47" s="21">
        <f>EXP(-LN(2)/25)*EW46+(1-EXP(-LN(2)/25))/(LN(2)/25)*Calculateur!ER47*Calculateur!ET47*VLOOKUP('Données projet'!$B$15,Paramètres!$A$1:$I$89,3,0)*0.475*44/12</f>
        <v>0</v>
      </c>
      <c r="EX47" s="21">
        <f>EXP(-LN(2)/2)*EX46+(1-EXP(-LN(2)/2))/(LN(2)/2)*ER47*EU47*VLOOKUP('Données projet'!$B$15,Paramètres!$A$1:$I$89,3,0)*0.475*44/12</f>
        <v>0</v>
      </c>
      <c r="EY47" s="22">
        <f t="shared" si="21"/>
        <v>0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>
        <f>FE47*VLOOKUP('Données projet'!$B$16,Paramètres!$A$1:$I$89,3,0)*VLOOKUP('Données projet'!$B$16,Paramètres!$A$1:$I$89,5,0)</f>
        <v>0</v>
      </c>
      <c r="FG47" s="13" t="e">
        <f t="shared" si="47"/>
        <v>#NUM!</v>
      </c>
      <c r="FH47" s="20" t="e">
        <f t="shared" si="22"/>
        <v>#NUM!</v>
      </c>
      <c r="FI47" s="59" t="e">
        <f t="shared" si="23"/>
        <v>#NUM!</v>
      </c>
      <c r="FJ47" s="59">
        <f ca="1">AVERAGE(OFFSET($FI$3,0,0,'Données projet'!$E$16+1,1))-AVERAGE(OFFSET($H$3,0,0,'Données projet'!$E$16+1,1))</f>
        <v>0</v>
      </c>
      <c r="FK47" s="59">
        <f t="shared" si="48"/>
        <v>0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>
        <f>EXP(-LN(2)/35)*FQ46+(1-EXP(-LN(2)/35))/(LN(2)/35)*FM47*FN47*VLOOKUP('Données projet'!$B$16,Paramètres!$A$1:$I$89,3,0)*0.475*44/12</f>
        <v>0</v>
      </c>
      <c r="FR47" s="21">
        <f>EXP(-LN(2)/25)*FR46+(1-EXP(-LN(2)/25))/(LN(2)/25)*Calculateur!FM47*Calculateur!FO47*VLOOKUP('Données projet'!$B$16,Paramètres!$A$1:$I$89,3,0)*0.475*44/12</f>
        <v>0</v>
      </c>
      <c r="FS47" s="21">
        <f>EXP(-LN(2)/2)*FS46+(1-EXP(-LN(2)/2))/(LN(2)/2)*FM47*FP47*VLOOKUP('Données projet'!$B$16,Paramètres!$A$1:$I$89,3,0)*0.475*44/12</f>
        <v>0</v>
      </c>
      <c r="FT47" s="22">
        <f t="shared" si="24"/>
        <v>0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1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9.8333333333333339</v>
      </c>
      <c r="N48" s="13">
        <f>IF('Données projet'!$A$36&gt;35,N47+M48-V47,IF(A48&lt;'Données projet'!$A$36,$K$205^A48,IF(A48='Données projet'!$A$36,'Données projet'!$B$36,N47+M48-V47)))</f>
        <v>283.16666666666669</v>
      </c>
      <c r="O48" s="13">
        <f>N48*VLOOKUP('Données projet'!$B$9,Paramètres!$A$1:$I$89,3,0)*VLOOKUP('Données projet'!$B$9,Paramètres!$A$1:$I$89,5,0)</f>
        <v>169.33366666666672</v>
      </c>
      <c r="P48" s="13">
        <f t="shared" si="33"/>
        <v>42.940752990888512</v>
      </c>
      <c r="Q48" s="20">
        <f t="shared" si="53"/>
        <v>369.7112809035753</v>
      </c>
      <c r="R48" s="59">
        <f t="shared" si="0"/>
        <v>663.04461423690861</v>
      </c>
      <c r="S48" s="59">
        <f ca="1">AVERAGE(OFFSET($R$3,0,0,'Données projet'!$E$9+1,1))-AVERAGE(OFFSET($H$3,0,0,'Données projet'!$E$9+1,1))</f>
        <v>186.90544184210381</v>
      </c>
      <c r="T48" s="59">
        <f t="shared" si="34"/>
        <v>202.05988514450519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21.273805163078656</v>
      </c>
      <c r="AA48" s="21">
        <f>EXP(-LN(2)/25)*AA47+(1-EXP(-LN(2)/25))/(LN(2)/25)*Calculateur!V48*Calculateur!X48*VLOOKUP('Données projet'!$B$9,Paramètres!$A$1:$I$89,3,0)*0.475*44/12</f>
        <v>12.795976437272421</v>
      </c>
      <c r="AB48" s="21">
        <f>EXP(-LN(2)/2)*AB47+(1-EXP(-LN(2)/2))/(LN(2)/2)*V48*Y48*VLOOKUP('Données projet'!$B$9,Paramètres!$A$1:$I$89,3,0)*0.475*44/12</f>
        <v>1.1794800616327394</v>
      </c>
      <c r="AC48" s="22">
        <f t="shared" si="3"/>
        <v>35.249261661983816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9.8333333333333339</v>
      </c>
      <c r="AI48" s="13">
        <f>IF('Données projet'!$A$62&gt;35,AI47+AH48-AQ47,IF(A48&lt;'Données projet'!$A$62,$AF$205^A48,IF(A48='Données projet'!$A$62,'Données projet'!$B$62,AI47+AH48-AQ47)))</f>
        <v>283.16666666666669</v>
      </c>
      <c r="AJ48" s="13">
        <f>AI48*VLOOKUP('Données projet'!$B$10,Paramètres!$A$1:$I$89,3,0)*VLOOKUP('Données projet'!$B$10,Paramètres!$A$1:$I$89,5,0)</f>
        <v>169.33366666666672</v>
      </c>
      <c r="AK48" s="13">
        <f t="shared" si="35"/>
        <v>42.940752990888512</v>
      </c>
      <c r="AL48" s="20">
        <f t="shared" si="4"/>
        <v>369.7112809035753</v>
      </c>
      <c r="AM48" s="59">
        <f t="shared" si="5"/>
        <v>663.04461423690861</v>
      </c>
      <c r="AN48" s="59">
        <f ca="1">AVERAGE(OFFSET($AM$3,0,0,'Données projet'!$E$10+1,1))-AVERAGE(OFFSET($H$3,0,0,'Données projet'!$E$10+1,1))</f>
        <v>186.90544184210381</v>
      </c>
      <c r="AO48" s="59">
        <f t="shared" si="36"/>
        <v>202.05988514450519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21.273805163078656</v>
      </c>
      <c r="AV48" s="21">
        <f>EXP(-LN(2)/25)*AV47+(1-EXP(-LN(2)/25))/(LN(2)/25)*Calculateur!AQ48*Calculateur!AS48*VLOOKUP('Données projet'!$B$10,Paramètres!$A$1:$I$89,3,0)*0.475*44/12</f>
        <v>12.795976437272421</v>
      </c>
      <c r="AW48" s="21">
        <f>EXP(-LN(2)/2)*AW47+(1-EXP(-LN(2)/2))/(LN(2)/2)*AQ48*AT48*VLOOKUP('Données projet'!$B$10,Paramètres!$A$1:$I$89,3,0)*0.475*44/12</f>
        <v>1.1794800616327394</v>
      </c>
      <c r="AX48" s="21">
        <f t="shared" si="6"/>
        <v>35.249261661983816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-2.8421709430404007E-14</v>
      </c>
      <c r="BE48" s="13">
        <f>BD48*VLOOKUP('Données projet'!$B$11,Paramètres!$A$1:$I$89,3,0)*VLOOKUP('Données projet'!$B$11,Paramètres!$A$1:$I$89,5,0)</f>
        <v>-2.3055690689943732E-14</v>
      </c>
      <c r="BF48" s="13" t="e">
        <f t="shared" si="37"/>
        <v>#NUM!</v>
      </c>
      <c r="BG48" s="20" t="e">
        <f t="shared" si="7"/>
        <v>#NUM!</v>
      </c>
      <c r="BH48" s="59" t="e">
        <f t="shared" si="8"/>
        <v>#NUM!</v>
      </c>
      <c r="BI48" s="59">
        <f ca="1">AVERAGE(OFFSET($BH$3,0,0,'Données projet'!$E$11+1,1))-AVERAGE(OFFSET($H$3,0,0,'Données projet'!$E$11+1,1))</f>
        <v>5.8584049049231908</v>
      </c>
      <c r="BJ48" s="59">
        <f t="shared" si="38"/>
        <v>42.266833200216638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1.8317000178743137</v>
      </c>
      <c r="BS48" s="22">
        <f t="shared" si="9"/>
        <v>1.8317000178743137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>
        <f>BY48*VLOOKUP('Données projet'!$B$12,Paramètres!$A$1:$I$89,3,0)*VLOOKUP('Données projet'!$B$12,Paramètres!$A$1:$I$89,5,0)</f>
        <v>0</v>
      </c>
      <c r="CA48" s="13" t="e">
        <f t="shared" si="39"/>
        <v>#NUM!</v>
      </c>
      <c r="CB48" s="20" t="e">
        <f t="shared" si="10"/>
        <v>#NUM!</v>
      </c>
      <c r="CC48" s="59" t="e">
        <f t="shared" si="11"/>
        <v>#NUM!</v>
      </c>
      <c r="CD48" s="59">
        <f ca="1">AVERAGE(OFFSET($CC$3,0,0,'Données projet'!$E$12+1,1))-AVERAGE(OFFSET($H$3,0,0,'Données projet'!$E$12+1,1))</f>
        <v>0</v>
      </c>
      <c r="CE48" s="59">
        <f t="shared" si="40"/>
        <v>0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0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>
        <f>CT48*VLOOKUP('Données projet'!$B$13,Paramètres!$A$1:$I$89,3,0)*VLOOKUP('Données projet'!$B$13,Paramètres!$A$1:$I$89,5,0)</f>
        <v>0</v>
      </c>
      <c r="CV48" s="13" t="e">
        <f t="shared" si="41"/>
        <v>#NUM!</v>
      </c>
      <c r="CW48" s="20" t="e">
        <f t="shared" si="13"/>
        <v>#NUM!</v>
      </c>
      <c r="CX48" s="59" t="e">
        <f t="shared" si="14"/>
        <v>#NUM!</v>
      </c>
      <c r="CY48" s="59">
        <f ca="1">AVERAGE(OFFSET($CX$3,0,0,'Données projet'!$E$13+1,1))-AVERAGE(OFFSET($H$3,0,0,'Données projet'!$E$13+1,1))</f>
        <v>0</v>
      </c>
      <c r="CZ48" s="59">
        <f t="shared" si="42"/>
        <v>0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0</v>
      </c>
      <c r="DG48" s="21">
        <f>EXP(-LN(2)/25)*DG47+(1-EXP(-LN(2)/25))/(LN(2)/25)*Calculateur!DB48*Calculateur!DD48*VLOOKUP('Données projet'!$B$13,Paramètres!$A$1:$I$89,3,0)*0.475*44/12</f>
        <v>0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0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>
        <f>DO48*VLOOKUP('Données projet'!$B$14,Paramètres!$A$1:$I$89,3,0)*VLOOKUP('Données projet'!$B$14,Paramètres!$A$1:$I$89,5,0)</f>
        <v>0</v>
      </c>
      <c r="DQ48" s="13" t="e">
        <f t="shared" si="43"/>
        <v>#NUM!</v>
      </c>
      <c r="DR48" s="20" t="e">
        <f t="shared" si="16"/>
        <v>#NUM!</v>
      </c>
      <c r="DS48" s="59" t="e">
        <f t="shared" si="17"/>
        <v>#NUM!</v>
      </c>
      <c r="DT48" s="59">
        <f ca="1">AVERAGE(OFFSET($DS$3,0,0,'Données projet'!$E$14+1,1))-AVERAGE(OFFSET($H$3,0,0,'Données projet'!$E$14+1,1))</f>
        <v>0</v>
      </c>
      <c r="DU48" s="59">
        <f t="shared" si="44"/>
        <v>0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0</v>
      </c>
      <c r="EB48" s="21">
        <f>EXP(-LN(2)/25)*EB47+(1-EXP(-LN(2)/25))/(LN(2)/25)*Calculateur!DW48*Calculateur!DY48*VLOOKUP('Données projet'!$B$14,Paramètres!$A$1:$I$89,3,0)*0.475*44/12</f>
        <v>0</v>
      </c>
      <c r="EC48" s="21">
        <f>EXP(-LN(2)/2)*EC47+(1-EXP(-LN(2)/2))/(LN(2)/2)*DW48*DZ48*VLOOKUP('Données projet'!$B$14,Paramètres!$A$1:$I$89,3,0)*0.475*44/12</f>
        <v>0</v>
      </c>
      <c r="ED48" s="22">
        <f t="shared" si="18"/>
        <v>0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>
        <f>EJ48*VLOOKUP('Données projet'!$B$15,Paramètres!$A$1:$I$89,3,0)*VLOOKUP('Données projet'!$B$15,Paramètres!$A$1:$I$89,5,0)</f>
        <v>0</v>
      </c>
      <c r="EL48" s="13" t="e">
        <f t="shared" si="45"/>
        <v>#NUM!</v>
      </c>
      <c r="EM48" s="20" t="e">
        <f t="shared" si="19"/>
        <v>#NUM!</v>
      </c>
      <c r="EN48" s="59" t="e">
        <f t="shared" si="20"/>
        <v>#NUM!</v>
      </c>
      <c r="EO48" s="59">
        <f ca="1">AVERAGE(OFFSET($EN$3,0,0,'Données projet'!$E$15+1,1))-AVERAGE(OFFSET($H$3,0,0,'Données projet'!$E$15+1,1))</f>
        <v>0</v>
      </c>
      <c r="EP48" s="59">
        <f t="shared" si="46"/>
        <v>0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>
        <f>EXP(-LN(2)/35)*EV47+(1-EXP(-LN(2)/35))/(LN(2)/35)*ER48*ES48*VLOOKUP('Données projet'!$B$15,Paramètres!$A$1:$I$89,3,0)*0.475*44/12</f>
        <v>0</v>
      </c>
      <c r="EW48" s="21">
        <f>EXP(-LN(2)/25)*EW47+(1-EXP(-LN(2)/25))/(LN(2)/25)*Calculateur!ER48*Calculateur!ET48*VLOOKUP('Données projet'!$B$15,Paramètres!$A$1:$I$89,3,0)*0.475*44/12</f>
        <v>0</v>
      </c>
      <c r="EX48" s="21">
        <f>EXP(-LN(2)/2)*EX47+(1-EXP(-LN(2)/2))/(LN(2)/2)*ER48*EU48*VLOOKUP('Données projet'!$B$15,Paramètres!$A$1:$I$89,3,0)*0.475*44/12</f>
        <v>0</v>
      </c>
      <c r="EY48" s="22">
        <f t="shared" si="21"/>
        <v>0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>
        <f>FE48*VLOOKUP('Données projet'!$B$16,Paramètres!$A$1:$I$89,3,0)*VLOOKUP('Données projet'!$B$16,Paramètres!$A$1:$I$89,5,0)</f>
        <v>0</v>
      </c>
      <c r="FG48" s="13" t="e">
        <f t="shared" si="47"/>
        <v>#NUM!</v>
      </c>
      <c r="FH48" s="20" t="e">
        <f t="shared" si="22"/>
        <v>#NUM!</v>
      </c>
      <c r="FI48" s="59" t="e">
        <f t="shared" si="23"/>
        <v>#NUM!</v>
      </c>
      <c r="FJ48" s="59">
        <f ca="1">AVERAGE(OFFSET($FI$3,0,0,'Données projet'!$E$16+1,1))-AVERAGE(OFFSET($H$3,0,0,'Données projet'!$E$16+1,1))</f>
        <v>0</v>
      </c>
      <c r="FK48" s="59">
        <f t="shared" si="48"/>
        <v>0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>
        <f>EXP(-LN(2)/35)*FQ47+(1-EXP(-LN(2)/35))/(LN(2)/35)*FM48*FN48*VLOOKUP('Données projet'!$B$16,Paramètres!$A$1:$I$89,3,0)*0.475*44/12</f>
        <v>0</v>
      </c>
      <c r="FR48" s="21">
        <f>EXP(-LN(2)/25)*FR47+(1-EXP(-LN(2)/25))/(LN(2)/25)*Calculateur!FM48*Calculateur!FO48*VLOOKUP('Données projet'!$B$16,Paramètres!$A$1:$I$89,3,0)*0.475*44/12</f>
        <v>0</v>
      </c>
      <c r="FS48" s="21">
        <f>EXP(-LN(2)/2)*FS47+(1-EXP(-LN(2)/2))/(LN(2)/2)*FM48*FP48*VLOOKUP('Données projet'!$B$16,Paramètres!$A$1:$I$89,3,0)*0.475*44/12</f>
        <v>0</v>
      </c>
      <c r="FT48" s="22">
        <f t="shared" si="24"/>
        <v>0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1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>
        <f>VLOOKUP(A49,'Données projet'!$A$35:$I$55,2,0)</f>
        <v>293</v>
      </c>
      <c r="L49" s="12">
        <f>VLOOKUP(A49,'Données projet'!$A$35:$I$55,9,0)</f>
        <v>9.8333333333333339</v>
      </c>
      <c r="M49" s="12">
        <f t="array" ref="M49">INDEX(L:L,MIN(IF(ISNUMBER(L49:L245),ROW(L49:L245),"")))</f>
        <v>9.8333333333333339</v>
      </c>
      <c r="N49" s="13">
        <f>IF('Données projet'!$A$36&gt;35,N48+M49-V48,IF(A49&lt;'Données projet'!$A$36,$K$205^A49,IF(A49='Données projet'!$A$36,'Données projet'!$B$36,N48+M49-V48)))</f>
        <v>293</v>
      </c>
      <c r="O49" s="13">
        <f>N49*VLOOKUP('Données projet'!$B$9,Paramètres!$A$1:$I$89,3,0)*VLOOKUP('Données projet'!$B$9,Paramètres!$A$1:$I$89,5,0)</f>
        <v>175.214</v>
      </c>
      <c r="P49" s="13">
        <f t="shared" si="33"/>
        <v>44.255725061661991</v>
      </c>
      <c r="Q49" s="20">
        <f t="shared" si="53"/>
        <v>382.24310448239459</v>
      </c>
      <c r="R49" s="59">
        <f t="shared" si="0"/>
        <v>675.5764378157279</v>
      </c>
      <c r="S49" s="59">
        <f ca="1">AVERAGE(OFFSET($R$3,0,0,'Données projet'!$E$9+1,1))-AVERAGE(OFFSET($H$3,0,0,'Données projet'!$E$9+1,1))</f>
        <v>186.90544184210381</v>
      </c>
      <c r="T49" s="59">
        <f t="shared" si="34"/>
        <v>202.05988514450519</v>
      </c>
      <c r="U49" s="15">
        <f>IF(ISNA(VLOOKUP(A49,'Données projet'!$A$35:$I$55,3,0)),0,VLOOKUP(A49,'Données projet'!$A$35:$I$55,3,0))</f>
        <v>7</v>
      </c>
      <c r="V49" s="15">
        <f>IF(ISNA(VLOOKUP(A49,'Données projet'!$A$35:$I$55,4,0)),0,VLOOKUP(A49,'Données projet'!$A$35:$I$55,4,0))</f>
        <v>29</v>
      </c>
      <c r="W49" s="16">
        <f>IF(ISNA(VLOOKUP(A49,'Données projet'!$A$35:$I$55,5,0)),0%,VLOOKUP(A49,'Données projet'!$A$35:$I$55,5,0)*VLOOKUP('Données projet'!$B$9,Paramètres!$A$1:$I$89,7,0))</f>
        <v>0.315</v>
      </c>
      <c r="X49" s="16">
        <f>IF(ISNA(VLOOKUP(A49,'Données projet'!$A$35:$I$55,6,0)),0%,VLOOKUP(A49,'Données projet'!$A$35:$I$55,6,0)*VLOOKUP('Données projet'!$B$9,Paramètres!$A$1:$I$89,7,0))</f>
        <v>6.7500000000000004E-2</v>
      </c>
      <c r="Y49" s="16">
        <f>IF(ISNA(VLOOKUP(A49,'Données projet'!$A$35:$I$55,7,0)),0%,VLOOKUP(A49,'Données projet'!$A$35:$I$55,7,0))</f>
        <v>0.15</v>
      </c>
      <c r="Z49" s="21">
        <f>EXP(-LN(2)/35)*Z48+(1-EXP(-LN(2)/35))/(LN(2)/35)*V49*W49*VLOOKUP('Données projet'!$B$9,Paramètres!$A$1:$I$89,3,0)*0.475*44/12</f>
        <v>28.103302267233822</v>
      </c>
      <c r="AA49" s="21">
        <f>EXP(-LN(2)/25)*AA48+(1-EXP(-LN(2)/25))/(LN(2)/25)*Calculateur!V49*Calculateur!X49*VLOOKUP('Données projet'!$B$9,Paramètres!$A$1:$I$89,3,0)*0.475*44/12</f>
        <v>13.99281205421431</v>
      </c>
      <c r="AB49" s="21">
        <f>EXP(-LN(2)/2)*AB48+(1-EXP(-LN(2)/2))/(LN(2)/2)*V49*Y49*VLOOKUP('Données projet'!$B$9,Paramètres!$A$1:$I$89,3,0)*0.475*44/12</f>
        <v>3.7792942254104323</v>
      </c>
      <c r="AC49" s="22">
        <f t="shared" si="3"/>
        <v>45.875408546858566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>
        <f>VLOOKUP(A49,'Données projet'!$A$61:$I$81,2,0)</f>
        <v>293</v>
      </c>
      <c r="AG49" s="12">
        <f>VLOOKUP(A49,'Données projet'!$A$61:$I$81,9,0)</f>
        <v>9.8333333333333339</v>
      </c>
      <c r="AH49" s="12">
        <f t="array" ref="AH49">INDEX(AG:AG,MIN(IF(ISNUMBER(AG49:AG245),ROW(AG49:AG245),"")))</f>
        <v>9.8333333333333339</v>
      </c>
      <c r="AI49" s="13">
        <f>IF('Données projet'!$A$62&gt;35,AI48+AH49-AQ48,IF(A49&lt;'Données projet'!$A$62,$AF$205^A49,IF(A49='Données projet'!$A$62,'Données projet'!$B$62,AI48+AH49-AQ48)))</f>
        <v>293</v>
      </c>
      <c r="AJ49" s="13">
        <f>AI49*VLOOKUP('Données projet'!$B$10,Paramètres!$A$1:$I$89,3,0)*VLOOKUP('Données projet'!$B$10,Paramètres!$A$1:$I$89,5,0)</f>
        <v>175.214</v>
      </c>
      <c r="AK49" s="13">
        <f t="shared" si="35"/>
        <v>44.255725061661991</v>
      </c>
      <c r="AL49" s="20">
        <f t="shared" si="4"/>
        <v>382.24310448239459</v>
      </c>
      <c r="AM49" s="59">
        <f t="shared" si="5"/>
        <v>675.5764378157279</v>
      </c>
      <c r="AN49" s="59">
        <f ca="1">AVERAGE(OFFSET($AM$3,0,0,'Données projet'!$E$10+1,1))-AVERAGE(OFFSET($H$3,0,0,'Données projet'!$E$10+1,1))</f>
        <v>186.90544184210381</v>
      </c>
      <c r="AO49" s="59">
        <f t="shared" si="36"/>
        <v>202.05988514450519</v>
      </c>
      <c r="AP49" s="15">
        <f>IF(ISNA(VLOOKUP(A49,'Données projet'!$A$61:$I$81,3,0)),0,VLOOKUP(A49,'Données projet'!$A$61:$I$81,3,0))</f>
        <v>7</v>
      </c>
      <c r="AQ49" s="15">
        <f>IF(ISNA(VLOOKUP(A49,'Données projet'!$A$61:$I$81,4,0)),0,VLOOKUP(A49,'Données projet'!$A$61:$I$81,4,0))</f>
        <v>29</v>
      </c>
      <c r="AR49" s="16">
        <f>IF(ISNA(VLOOKUP(A49,'Données projet'!$A$61:$I$81,5,0)),0%,VLOOKUP(A49,'Données projet'!$A$61:$I$81,5,0)*VLOOKUP('Données projet'!$B$10,Paramètres!$A$1:$I$89,7,0))</f>
        <v>0.315</v>
      </c>
      <c r="AS49" s="16">
        <f>IF(ISNA(VLOOKUP(A49,'Données projet'!$A$61:$I$81,6,0)),0%,VLOOKUP(A49,'Données projet'!$A$61:$I$81,6,0)*VLOOKUP('Données projet'!$B$10,Paramètres!$A$1:$I$89,7,0))</f>
        <v>6.7500000000000004E-2</v>
      </c>
      <c r="AT49" s="16">
        <f>IF(ISNA(VLOOKUP(A49,'Données projet'!$A$61:$I$81,7,0)),0%,VLOOKUP(A49,'Données projet'!$A$61:$I$81,7,0))</f>
        <v>0.15</v>
      </c>
      <c r="AU49" s="21">
        <f>EXP(-LN(2)/35)*AU48+(1-EXP(-LN(2)/35))/(LN(2)/35)*AQ49*AR49*VLOOKUP('Données projet'!$B$10,Paramètres!$A$1:$I$89,3,0)*0.475*44/12</f>
        <v>28.103302267233822</v>
      </c>
      <c r="AV49" s="21">
        <f>EXP(-LN(2)/25)*AV48+(1-EXP(-LN(2)/25))/(LN(2)/25)*Calculateur!AQ49*Calculateur!AS49*VLOOKUP('Données projet'!$B$10,Paramètres!$A$1:$I$89,3,0)*0.475*44/12</f>
        <v>13.99281205421431</v>
      </c>
      <c r="AW49" s="21">
        <f>EXP(-LN(2)/2)*AW48+(1-EXP(-LN(2)/2))/(LN(2)/2)*AQ49*AT49*VLOOKUP('Données projet'!$B$10,Paramètres!$A$1:$I$89,3,0)*0.475*44/12</f>
        <v>3.7792942254104323</v>
      </c>
      <c r="AX49" s="21">
        <f t="shared" si="6"/>
        <v>45.875408546858566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-2.8421709430404007E-14</v>
      </c>
      <c r="BE49" s="13">
        <f>BD49*VLOOKUP('Données projet'!$B$11,Paramètres!$A$1:$I$89,3,0)*VLOOKUP('Données projet'!$B$11,Paramètres!$A$1:$I$89,5,0)</f>
        <v>-2.3055690689943732E-14</v>
      </c>
      <c r="BF49" s="13" t="e">
        <f t="shared" si="37"/>
        <v>#NUM!</v>
      </c>
      <c r="BG49" s="20" t="e">
        <f t="shared" si="7"/>
        <v>#NUM!</v>
      </c>
      <c r="BH49" s="59" t="e">
        <f t="shared" si="8"/>
        <v>#NUM!</v>
      </c>
      <c r="BI49" s="59">
        <f ca="1">AVERAGE(OFFSET($BH$3,0,0,'Données projet'!$E$11+1,1))-AVERAGE(OFFSET($H$3,0,0,'Données projet'!$E$11+1,1))</f>
        <v>5.8584049049231908</v>
      </c>
      <c r="BJ49" s="59">
        <f t="shared" si="38"/>
        <v>42.266833200216638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1.2952075037384476</v>
      </c>
      <c r="BS49" s="22">
        <f t="shared" si="9"/>
        <v>1.2952075037384476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>
        <f>BY49*VLOOKUP('Données projet'!$B$12,Paramètres!$A$1:$I$89,3,0)*VLOOKUP('Données projet'!$B$12,Paramètres!$A$1:$I$89,5,0)</f>
        <v>0</v>
      </c>
      <c r="CA49" s="13" t="e">
        <f t="shared" si="39"/>
        <v>#NUM!</v>
      </c>
      <c r="CB49" s="20" t="e">
        <f t="shared" si="10"/>
        <v>#NUM!</v>
      </c>
      <c r="CC49" s="59" t="e">
        <f t="shared" si="11"/>
        <v>#NUM!</v>
      </c>
      <c r="CD49" s="59">
        <f ca="1">AVERAGE(OFFSET($CC$3,0,0,'Données projet'!$E$12+1,1))-AVERAGE(OFFSET($H$3,0,0,'Données projet'!$E$12+1,1))</f>
        <v>0</v>
      </c>
      <c r="CE49" s="59">
        <f t="shared" si="40"/>
        <v>0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0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>
        <f>CT49*VLOOKUP('Données projet'!$B$13,Paramètres!$A$1:$I$89,3,0)*VLOOKUP('Données projet'!$B$13,Paramètres!$A$1:$I$89,5,0)</f>
        <v>0</v>
      </c>
      <c r="CV49" s="13" t="e">
        <f t="shared" si="41"/>
        <v>#NUM!</v>
      </c>
      <c r="CW49" s="20" t="e">
        <f t="shared" si="13"/>
        <v>#NUM!</v>
      </c>
      <c r="CX49" s="59" t="e">
        <f t="shared" si="14"/>
        <v>#NUM!</v>
      </c>
      <c r="CY49" s="59">
        <f ca="1">AVERAGE(OFFSET($CX$3,0,0,'Données projet'!$E$13+1,1))-AVERAGE(OFFSET($H$3,0,0,'Données projet'!$E$13+1,1))</f>
        <v>0</v>
      </c>
      <c r="CZ49" s="59">
        <f t="shared" si="42"/>
        <v>0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0</v>
      </c>
      <c r="DG49" s="21">
        <f>EXP(-LN(2)/25)*DG48+(1-EXP(-LN(2)/25))/(LN(2)/25)*Calculateur!DB49*Calculateur!DD49*VLOOKUP('Données projet'!$B$13,Paramètres!$A$1:$I$89,3,0)*0.475*44/12</f>
        <v>0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0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>
        <f>DO49*VLOOKUP('Données projet'!$B$14,Paramètres!$A$1:$I$89,3,0)*VLOOKUP('Données projet'!$B$14,Paramètres!$A$1:$I$89,5,0)</f>
        <v>0</v>
      </c>
      <c r="DQ49" s="13" t="e">
        <f t="shared" si="43"/>
        <v>#NUM!</v>
      </c>
      <c r="DR49" s="20" t="e">
        <f t="shared" si="16"/>
        <v>#NUM!</v>
      </c>
      <c r="DS49" s="59" t="e">
        <f t="shared" si="17"/>
        <v>#NUM!</v>
      </c>
      <c r="DT49" s="59">
        <f ca="1">AVERAGE(OFFSET($DS$3,0,0,'Données projet'!$E$14+1,1))-AVERAGE(OFFSET($H$3,0,0,'Données projet'!$E$14+1,1))</f>
        <v>0</v>
      </c>
      <c r="DU49" s="59">
        <f t="shared" si="44"/>
        <v>0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0</v>
      </c>
      <c r="EB49" s="21">
        <f>EXP(-LN(2)/25)*EB48+(1-EXP(-LN(2)/25))/(LN(2)/25)*Calculateur!DW49*Calculateur!DY49*VLOOKUP('Données projet'!$B$14,Paramètres!$A$1:$I$89,3,0)*0.475*44/12</f>
        <v>0</v>
      </c>
      <c r="EC49" s="21">
        <f>EXP(-LN(2)/2)*EC48+(1-EXP(-LN(2)/2))/(LN(2)/2)*DW49*DZ49*VLOOKUP('Données projet'!$B$14,Paramètres!$A$1:$I$89,3,0)*0.475*44/12</f>
        <v>0</v>
      </c>
      <c r="ED49" s="22">
        <f t="shared" si="18"/>
        <v>0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>
        <f>EJ49*VLOOKUP('Données projet'!$B$15,Paramètres!$A$1:$I$89,3,0)*VLOOKUP('Données projet'!$B$15,Paramètres!$A$1:$I$89,5,0)</f>
        <v>0</v>
      </c>
      <c r="EL49" s="13" t="e">
        <f t="shared" si="45"/>
        <v>#NUM!</v>
      </c>
      <c r="EM49" s="20" t="e">
        <f t="shared" si="19"/>
        <v>#NUM!</v>
      </c>
      <c r="EN49" s="59" t="e">
        <f t="shared" si="20"/>
        <v>#NUM!</v>
      </c>
      <c r="EO49" s="59">
        <f ca="1">AVERAGE(OFFSET($EN$3,0,0,'Données projet'!$E$15+1,1))-AVERAGE(OFFSET($H$3,0,0,'Données projet'!$E$15+1,1))</f>
        <v>0</v>
      </c>
      <c r="EP49" s="59">
        <f t="shared" si="46"/>
        <v>0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>
        <f>EXP(-LN(2)/35)*EV48+(1-EXP(-LN(2)/35))/(LN(2)/35)*ER49*ES49*VLOOKUP('Données projet'!$B$15,Paramètres!$A$1:$I$89,3,0)*0.475*44/12</f>
        <v>0</v>
      </c>
      <c r="EW49" s="21">
        <f>EXP(-LN(2)/25)*EW48+(1-EXP(-LN(2)/25))/(LN(2)/25)*Calculateur!ER49*Calculateur!ET49*VLOOKUP('Données projet'!$B$15,Paramètres!$A$1:$I$89,3,0)*0.475*44/12</f>
        <v>0</v>
      </c>
      <c r="EX49" s="21">
        <f>EXP(-LN(2)/2)*EX48+(1-EXP(-LN(2)/2))/(LN(2)/2)*ER49*EU49*VLOOKUP('Données projet'!$B$15,Paramètres!$A$1:$I$89,3,0)*0.475*44/12</f>
        <v>0</v>
      </c>
      <c r="EY49" s="22">
        <f t="shared" si="21"/>
        <v>0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>
        <f>FE49*VLOOKUP('Données projet'!$B$16,Paramètres!$A$1:$I$89,3,0)*VLOOKUP('Données projet'!$B$16,Paramètres!$A$1:$I$89,5,0)</f>
        <v>0</v>
      </c>
      <c r="FG49" s="13" t="e">
        <f t="shared" si="47"/>
        <v>#NUM!</v>
      </c>
      <c r="FH49" s="20" t="e">
        <f t="shared" si="22"/>
        <v>#NUM!</v>
      </c>
      <c r="FI49" s="59" t="e">
        <f t="shared" si="23"/>
        <v>#NUM!</v>
      </c>
      <c r="FJ49" s="59">
        <f ca="1">AVERAGE(OFFSET($FI$3,0,0,'Données projet'!$E$16+1,1))-AVERAGE(OFFSET($H$3,0,0,'Données projet'!$E$16+1,1))</f>
        <v>0</v>
      </c>
      <c r="FK49" s="59">
        <f t="shared" si="48"/>
        <v>0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>
        <f>EXP(-LN(2)/35)*FQ48+(1-EXP(-LN(2)/35))/(LN(2)/35)*FM49*FN49*VLOOKUP('Données projet'!$B$16,Paramètres!$A$1:$I$89,3,0)*0.475*44/12</f>
        <v>0</v>
      </c>
      <c r="FR49" s="21">
        <f>EXP(-LN(2)/25)*FR48+(1-EXP(-LN(2)/25))/(LN(2)/25)*Calculateur!FM49*Calculateur!FO49*VLOOKUP('Données projet'!$B$16,Paramètres!$A$1:$I$89,3,0)*0.475*44/12</f>
        <v>0</v>
      </c>
      <c r="FS49" s="21">
        <f>EXP(-LN(2)/2)*FS48+(1-EXP(-LN(2)/2))/(LN(2)/2)*FM49*FP49*VLOOKUP('Données projet'!$B$16,Paramètres!$A$1:$I$89,3,0)*0.475*44/12</f>
        <v>0</v>
      </c>
      <c r="FT49" s="22">
        <f t="shared" si="24"/>
        <v>0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1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5.875</v>
      </c>
      <c r="N50" s="13">
        <f>IF('Données projet'!$A$36&gt;35,N49+M50-V49,IF(A50&lt;'Données projet'!$A$36,$K$205^A50,IF(A50='Données projet'!$A$36,'Données projet'!$B$36,N49+M50-V49)))</f>
        <v>269.875</v>
      </c>
      <c r="O50" s="13">
        <f>N50*VLOOKUP('Données projet'!$B$9,Paramètres!$A$1:$I$89,3,0)*VLOOKUP('Données projet'!$B$9,Paramètres!$A$1:$I$89,5,0)</f>
        <v>161.38525000000001</v>
      </c>
      <c r="P50" s="13">
        <f t="shared" si="33"/>
        <v>41.154805478559268</v>
      </c>
      <c r="Q50" s="20">
        <f t="shared" si="53"/>
        <v>352.75726329182407</v>
      </c>
      <c r="R50" s="59">
        <f t="shared" si="0"/>
        <v>646.09059662515733</v>
      </c>
      <c r="S50" s="59">
        <f ca="1">AVERAGE(OFFSET($R$3,0,0,'Données projet'!$E$9+1,1))-AVERAGE(OFFSET($H$3,0,0,'Données projet'!$E$9+1,1))</f>
        <v>186.90544184210381</v>
      </c>
      <c r="T50" s="59">
        <f t="shared" si="34"/>
        <v>202.05988514450519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27.552213651095183</v>
      </c>
      <c r="AA50" s="21">
        <f>EXP(-LN(2)/25)*AA49+(1-EXP(-LN(2)/25))/(LN(2)/25)*Calculateur!V50*Calculateur!X50*VLOOKUP('Données projet'!$B$9,Paramètres!$A$1:$I$89,3,0)*0.475*44/12</f>
        <v>13.610177872741815</v>
      </c>
      <c r="AB50" s="21">
        <f>EXP(-LN(2)/2)*AB49+(1-EXP(-LN(2)/2))/(LN(2)/2)*V50*Y50*VLOOKUP('Données projet'!$B$9,Paramètres!$A$1:$I$89,3,0)*0.475*44/12</f>
        <v>2.6723645748868772</v>
      </c>
      <c r="AC50" s="22">
        <f t="shared" si="3"/>
        <v>43.834756098723879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5.875</v>
      </c>
      <c r="AI50" s="13">
        <f>IF('Données projet'!$A$62&gt;35,AI49+AH50-AQ49,IF(A50&lt;'Données projet'!$A$62,$AF$205^A50,IF(A50='Données projet'!$A$62,'Données projet'!$B$62,AI49+AH50-AQ49)))</f>
        <v>269.875</v>
      </c>
      <c r="AJ50" s="13">
        <f>AI50*VLOOKUP('Données projet'!$B$10,Paramètres!$A$1:$I$89,3,0)*VLOOKUP('Données projet'!$B$10,Paramètres!$A$1:$I$89,5,0)</f>
        <v>161.38525000000001</v>
      </c>
      <c r="AK50" s="13">
        <f t="shared" si="35"/>
        <v>41.154805478559268</v>
      </c>
      <c r="AL50" s="20">
        <f t="shared" si="4"/>
        <v>352.75726329182407</v>
      </c>
      <c r="AM50" s="59">
        <f t="shared" si="5"/>
        <v>646.09059662515733</v>
      </c>
      <c r="AN50" s="59">
        <f ca="1">AVERAGE(OFFSET($AM$3,0,0,'Données projet'!$E$10+1,1))-AVERAGE(OFFSET($H$3,0,0,'Données projet'!$E$10+1,1))</f>
        <v>186.90544184210381</v>
      </c>
      <c r="AO50" s="59">
        <f t="shared" si="36"/>
        <v>202.05988514450519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27.552213651095183</v>
      </c>
      <c r="AV50" s="21">
        <f>EXP(-LN(2)/25)*AV49+(1-EXP(-LN(2)/25))/(LN(2)/25)*Calculateur!AQ50*Calculateur!AS50*VLOOKUP('Données projet'!$B$10,Paramètres!$A$1:$I$89,3,0)*0.475*44/12</f>
        <v>13.610177872741815</v>
      </c>
      <c r="AW50" s="21">
        <f>EXP(-LN(2)/2)*AW49+(1-EXP(-LN(2)/2))/(LN(2)/2)*AQ50*AT50*VLOOKUP('Données projet'!$B$10,Paramètres!$A$1:$I$89,3,0)*0.475*44/12</f>
        <v>2.6723645748868772</v>
      </c>
      <c r="AX50" s="21">
        <f t="shared" si="6"/>
        <v>43.834756098723879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-2.8421709430404007E-14</v>
      </c>
      <c r="BE50" s="13">
        <f>BD50*VLOOKUP('Données projet'!$B$11,Paramètres!$A$1:$I$89,3,0)*VLOOKUP('Données projet'!$B$11,Paramètres!$A$1:$I$89,5,0)</f>
        <v>-2.3055690689943732E-14</v>
      </c>
      <c r="BF50" s="13" t="e">
        <f t="shared" si="37"/>
        <v>#NUM!</v>
      </c>
      <c r="BG50" s="20" t="e">
        <f t="shared" si="7"/>
        <v>#NUM!</v>
      </c>
      <c r="BH50" s="59" t="e">
        <f t="shared" si="8"/>
        <v>#NUM!</v>
      </c>
      <c r="BI50" s="59">
        <f ca="1">AVERAGE(OFFSET($BH$3,0,0,'Données projet'!$E$11+1,1))-AVERAGE(OFFSET($H$3,0,0,'Données projet'!$E$11+1,1))</f>
        <v>5.8584049049231908</v>
      </c>
      <c r="BJ50" s="59">
        <f t="shared" si="38"/>
        <v>42.266833200216638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0.91585000893715696</v>
      </c>
      <c r="BS50" s="22">
        <f t="shared" si="9"/>
        <v>0.91585000893715696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>
        <f>BY50*VLOOKUP('Données projet'!$B$12,Paramètres!$A$1:$I$89,3,0)*VLOOKUP('Données projet'!$B$12,Paramètres!$A$1:$I$89,5,0)</f>
        <v>0</v>
      </c>
      <c r="CA50" s="13" t="e">
        <f t="shared" si="39"/>
        <v>#NUM!</v>
      </c>
      <c r="CB50" s="20" t="e">
        <f t="shared" si="10"/>
        <v>#NUM!</v>
      </c>
      <c r="CC50" s="59" t="e">
        <f t="shared" si="11"/>
        <v>#NUM!</v>
      </c>
      <c r="CD50" s="59">
        <f ca="1">AVERAGE(OFFSET($CC$3,0,0,'Données projet'!$E$12+1,1))-AVERAGE(OFFSET($H$3,0,0,'Données projet'!$E$12+1,1))</f>
        <v>0</v>
      </c>
      <c r="CE50" s="59">
        <f t="shared" si="40"/>
        <v>0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0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>
        <f>CT50*VLOOKUP('Données projet'!$B$13,Paramètres!$A$1:$I$89,3,0)*VLOOKUP('Données projet'!$B$13,Paramètres!$A$1:$I$89,5,0)</f>
        <v>0</v>
      </c>
      <c r="CV50" s="13" t="e">
        <f t="shared" si="41"/>
        <v>#NUM!</v>
      </c>
      <c r="CW50" s="20" t="e">
        <f t="shared" si="13"/>
        <v>#NUM!</v>
      </c>
      <c r="CX50" s="59" t="e">
        <f t="shared" si="14"/>
        <v>#NUM!</v>
      </c>
      <c r="CY50" s="59">
        <f ca="1">AVERAGE(OFFSET($CX$3,0,0,'Données projet'!$E$13+1,1))-AVERAGE(OFFSET($H$3,0,0,'Données projet'!$E$13+1,1))</f>
        <v>0</v>
      </c>
      <c r="CZ50" s="59">
        <f t="shared" si="42"/>
        <v>0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0</v>
      </c>
      <c r="DG50" s="21">
        <f>EXP(-LN(2)/25)*DG49+(1-EXP(-LN(2)/25))/(LN(2)/25)*Calculateur!DB50*Calculateur!DD50*VLOOKUP('Données projet'!$B$13,Paramètres!$A$1:$I$89,3,0)*0.475*44/12</f>
        <v>0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0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>
        <f>DO50*VLOOKUP('Données projet'!$B$14,Paramètres!$A$1:$I$89,3,0)*VLOOKUP('Données projet'!$B$14,Paramètres!$A$1:$I$89,5,0)</f>
        <v>0</v>
      </c>
      <c r="DQ50" s="13" t="e">
        <f t="shared" si="43"/>
        <v>#NUM!</v>
      </c>
      <c r="DR50" s="20" t="e">
        <f t="shared" si="16"/>
        <v>#NUM!</v>
      </c>
      <c r="DS50" s="59" t="e">
        <f t="shared" si="17"/>
        <v>#NUM!</v>
      </c>
      <c r="DT50" s="59">
        <f ca="1">AVERAGE(OFFSET($DS$3,0,0,'Données projet'!$E$14+1,1))-AVERAGE(OFFSET($H$3,0,0,'Données projet'!$E$14+1,1))</f>
        <v>0</v>
      </c>
      <c r="DU50" s="59">
        <f t="shared" si="44"/>
        <v>0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0</v>
      </c>
      <c r="EB50" s="21">
        <f>EXP(-LN(2)/25)*EB49+(1-EXP(-LN(2)/25))/(LN(2)/25)*Calculateur!DW50*Calculateur!DY50*VLOOKUP('Données projet'!$B$14,Paramètres!$A$1:$I$89,3,0)*0.475*44/12</f>
        <v>0</v>
      </c>
      <c r="EC50" s="21">
        <f>EXP(-LN(2)/2)*EC49+(1-EXP(-LN(2)/2))/(LN(2)/2)*DW50*DZ50*VLOOKUP('Données projet'!$B$14,Paramètres!$A$1:$I$89,3,0)*0.475*44/12</f>
        <v>0</v>
      </c>
      <c r="ED50" s="22">
        <f t="shared" si="18"/>
        <v>0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>
        <f>EJ50*VLOOKUP('Données projet'!$B$15,Paramètres!$A$1:$I$89,3,0)*VLOOKUP('Données projet'!$B$15,Paramètres!$A$1:$I$89,5,0)</f>
        <v>0</v>
      </c>
      <c r="EL50" s="13" t="e">
        <f t="shared" si="45"/>
        <v>#NUM!</v>
      </c>
      <c r="EM50" s="20" t="e">
        <f t="shared" si="19"/>
        <v>#NUM!</v>
      </c>
      <c r="EN50" s="59" t="e">
        <f t="shared" si="20"/>
        <v>#NUM!</v>
      </c>
      <c r="EO50" s="59">
        <f ca="1">AVERAGE(OFFSET($EN$3,0,0,'Données projet'!$E$15+1,1))-AVERAGE(OFFSET($H$3,0,0,'Données projet'!$E$15+1,1))</f>
        <v>0</v>
      </c>
      <c r="EP50" s="59">
        <f t="shared" si="46"/>
        <v>0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>
        <f>EXP(-LN(2)/35)*EV49+(1-EXP(-LN(2)/35))/(LN(2)/35)*ER50*ES50*VLOOKUP('Données projet'!$B$15,Paramètres!$A$1:$I$89,3,0)*0.475*44/12</f>
        <v>0</v>
      </c>
      <c r="EW50" s="21">
        <f>EXP(-LN(2)/25)*EW49+(1-EXP(-LN(2)/25))/(LN(2)/25)*Calculateur!ER50*Calculateur!ET50*VLOOKUP('Données projet'!$B$15,Paramètres!$A$1:$I$89,3,0)*0.475*44/12</f>
        <v>0</v>
      </c>
      <c r="EX50" s="21">
        <f>EXP(-LN(2)/2)*EX49+(1-EXP(-LN(2)/2))/(LN(2)/2)*ER50*EU50*VLOOKUP('Données projet'!$B$15,Paramètres!$A$1:$I$89,3,0)*0.475*44/12</f>
        <v>0</v>
      </c>
      <c r="EY50" s="22">
        <f t="shared" si="21"/>
        <v>0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>
        <f>FE50*VLOOKUP('Données projet'!$B$16,Paramètres!$A$1:$I$89,3,0)*VLOOKUP('Données projet'!$B$16,Paramètres!$A$1:$I$89,5,0)</f>
        <v>0</v>
      </c>
      <c r="FG50" s="13" t="e">
        <f t="shared" si="47"/>
        <v>#NUM!</v>
      </c>
      <c r="FH50" s="20" t="e">
        <f t="shared" si="22"/>
        <v>#NUM!</v>
      </c>
      <c r="FI50" s="59" t="e">
        <f t="shared" si="23"/>
        <v>#NUM!</v>
      </c>
      <c r="FJ50" s="59">
        <f ca="1">AVERAGE(OFFSET($FI$3,0,0,'Données projet'!$E$16+1,1))-AVERAGE(OFFSET($H$3,0,0,'Données projet'!$E$16+1,1))</f>
        <v>0</v>
      </c>
      <c r="FK50" s="59">
        <f t="shared" si="48"/>
        <v>0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>
        <f>EXP(-LN(2)/35)*FQ49+(1-EXP(-LN(2)/35))/(LN(2)/35)*FM50*FN50*VLOOKUP('Données projet'!$B$16,Paramètres!$A$1:$I$89,3,0)*0.475*44/12</f>
        <v>0</v>
      </c>
      <c r="FR50" s="21">
        <f>EXP(-LN(2)/25)*FR49+(1-EXP(-LN(2)/25))/(LN(2)/25)*Calculateur!FM50*Calculateur!FO50*VLOOKUP('Données projet'!$B$16,Paramètres!$A$1:$I$89,3,0)*0.475*44/12</f>
        <v>0</v>
      </c>
      <c r="FS50" s="21">
        <f>EXP(-LN(2)/2)*FS49+(1-EXP(-LN(2)/2))/(LN(2)/2)*FM50*FP50*VLOOKUP('Données projet'!$B$16,Paramètres!$A$1:$I$89,3,0)*0.475*44/12</f>
        <v>0</v>
      </c>
      <c r="FT50" s="22">
        <f t="shared" si="24"/>
        <v>0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1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5.875</v>
      </c>
      <c r="N51" s="13">
        <f>IF('Données projet'!$A$36&gt;35,N50+M51-V50,IF(A51&lt;'Données projet'!$A$36,$K$205^A51,IF(A51='Données projet'!$A$36,'Données projet'!$B$36,N50+M51-V50)))</f>
        <v>275.75</v>
      </c>
      <c r="O51" s="13">
        <f>N51*VLOOKUP('Données projet'!$B$9,Paramètres!$A$1:$I$89,3,0)*VLOOKUP('Données projet'!$B$9,Paramètres!$A$1:$I$89,5,0)</f>
        <v>164.89850000000001</v>
      </c>
      <c r="P51" s="13">
        <f t="shared" si="33"/>
        <v>41.94543913753872</v>
      </c>
      <c r="Q51" s="20">
        <f t="shared" si="53"/>
        <v>360.25319399788003</v>
      </c>
      <c r="R51" s="59">
        <f t="shared" si="0"/>
        <v>653.58652733121335</v>
      </c>
      <c r="S51" s="59">
        <f ca="1">AVERAGE(OFFSET($R$3,0,0,'Données projet'!$E$9+1,1))-AVERAGE(OFFSET($H$3,0,0,'Données projet'!$E$9+1,1))</f>
        <v>186.90544184210381</v>
      </c>
      <c r="T51" s="59">
        <f t="shared" si="34"/>
        <v>202.05988514450519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27.011931546588158</v>
      </c>
      <c r="AA51" s="21">
        <f>EXP(-LN(2)/25)*AA50+(1-EXP(-LN(2)/25))/(LN(2)/25)*Calculateur!V51*Calculateur!X51*VLOOKUP('Données projet'!$B$9,Paramètres!$A$1:$I$89,3,0)*0.475*44/12</f>
        <v>13.238006843083543</v>
      </c>
      <c r="AB51" s="21">
        <f>EXP(-LN(2)/2)*AB50+(1-EXP(-LN(2)/2))/(LN(2)/2)*V51*Y51*VLOOKUP('Données projet'!$B$9,Paramètres!$A$1:$I$89,3,0)*0.475*44/12</f>
        <v>1.8896471127052163</v>
      </c>
      <c r="AC51" s="22">
        <f t="shared" si="3"/>
        <v>42.139585502376917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5.875</v>
      </c>
      <c r="AI51" s="13">
        <f>IF('Données projet'!$A$62&gt;35,AI50+AH51-AQ50,IF(A51&lt;'Données projet'!$A$62,$AF$205^A51,IF(A51='Données projet'!$A$62,'Données projet'!$B$62,AI50+AH51-AQ50)))</f>
        <v>275.75</v>
      </c>
      <c r="AJ51" s="13">
        <f>AI51*VLOOKUP('Données projet'!$B$10,Paramètres!$A$1:$I$89,3,0)*VLOOKUP('Données projet'!$B$10,Paramètres!$A$1:$I$89,5,0)</f>
        <v>164.89850000000001</v>
      </c>
      <c r="AK51" s="13">
        <f t="shared" si="35"/>
        <v>41.94543913753872</v>
      </c>
      <c r="AL51" s="20">
        <f t="shared" si="4"/>
        <v>360.25319399788003</v>
      </c>
      <c r="AM51" s="59">
        <f t="shared" si="5"/>
        <v>653.58652733121335</v>
      </c>
      <c r="AN51" s="59">
        <f ca="1">AVERAGE(OFFSET($AM$3,0,0,'Données projet'!$E$10+1,1))-AVERAGE(OFFSET($H$3,0,0,'Données projet'!$E$10+1,1))</f>
        <v>186.90544184210381</v>
      </c>
      <c r="AO51" s="59">
        <f t="shared" si="36"/>
        <v>202.05988514450519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27.011931546588158</v>
      </c>
      <c r="AV51" s="21">
        <f>EXP(-LN(2)/25)*AV50+(1-EXP(-LN(2)/25))/(LN(2)/25)*Calculateur!AQ51*Calculateur!AS51*VLOOKUP('Données projet'!$B$10,Paramètres!$A$1:$I$89,3,0)*0.475*44/12</f>
        <v>13.238006843083543</v>
      </c>
      <c r="AW51" s="21">
        <f>EXP(-LN(2)/2)*AW50+(1-EXP(-LN(2)/2))/(LN(2)/2)*AQ51*AT51*VLOOKUP('Données projet'!$B$10,Paramètres!$A$1:$I$89,3,0)*0.475*44/12</f>
        <v>1.8896471127052163</v>
      </c>
      <c r="AX51" s="21">
        <f t="shared" si="6"/>
        <v>42.139585502376917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-2.8421709430404007E-14</v>
      </c>
      <c r="BE51" s="13">
        <f>BD51*VLOOKUP('Données projet'!$B$11,Paramètres!$A$1:$I$89,3,0)*VLOOKUP('Données projet'!$B$11,Paramètres!$A$1:$I$89,5,0)</f>
        <v>-2.3055690689943732E-14</v>
      </c>
      <c r="BF51" s="13" t="e">
        <f t="shared" si="37"/>
        <v>#NUM!</v>
      </c>
      <c r="BG51" s="20" t="e">
        <f t="shared" si="7"/>
        <v>#NUM!</v>
      </c>
      <c r="BH51" s="59" t="e">
        <f t="shared" si="8"/>
        <v>#NUM!</v>
      </c>
      <c r="BI51" s="59">
        <f ca="1">AVERAGE(OFFSET($BH$3,0,0,'Données projet'!$E$11+1,1))-AVERAGE(OFFSET($H$3,0,0,'Données projet'!$E$11+1,1))</f>
        <v>5.8584049049231908</v>
      </c>
      <c r="BJ51" s="59">
        <f t="shared" si="38"/>
        <v>42.266833200216638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0.64760375186922392</v>
      </c>
      <c r="BS51" s="22">
        <f t="shared" si="9"/>
        <v>0.64760375186922392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>
        <f>BY51*VLOOKUP('Données projet'!$B$12,Paramètres!$A$1:$I$89,3,0)*VLOOKUP('Données projet'!$B$12,Paramètres!$A$1:$I$89,5,0)</f>
        <v>0</v>
      </c>
      <c r="CA51" s="13" t="e">
        <f t="shared" si="39"/>
        <v>#NUM!</v>
      </c>
      <c r="CB51" s="20" t="e">
        <f t="shared" si="10"/>
        <v>#NUM!</v>
      </c>
      <c r="CC51" s="59" t="e">
        <f t="shared" si="11"/>
        <v>#NUM!</v>
      </c>
      <c r="CD51" s="59">
        <f ca="1">AVERAGE(OFFSET($CC$3,0,0,'Données projet'!$E$12+1,1))-AVERAGE(OFFSET($H$3,0,0,'Données projet'!$E$12+1,1))</f>
        <v>0</v>
      </c>
      <c r="CE51" s="59">
        <f t="shared" si="40"/>
        <v>0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0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>
        <f>CT51*VLOOKUP('Données projet'!$B$13,Paramètres!$A$1:$I$89,3,0)*VLOOKUP('Données projet'!$B$13,Paramètres!$A$1:$I$89,5,0)</f>
        <v>0</v>
      </c>
      <c r="CV51" s="13" t="e">
        <f t="shared" si="41"/>
        <v>#NUM!</v>
      </c>
      <c r="CW51" s="20" t="e">
        <f t="shared" si="13"/>
        <v>#NUM!</v>
      </c>
      <c r="CX51" s="59" t="e">
        <f t="shared" si="14"/>
        <v>#NUM!</v>
      </c>
      <c r="CY51" s="59">
        <f ca="1">AVERAGE(OFFSET($CX$3,0,0,'Données projet'!$E$13+1,1))-AVERAGE(OFFSET($H$3,0,0,'Données projet'!$E$13+1,1))</f>
        <v>0</v>
      </c>
      <c r="CZ51" s="59">
        <f t="shared" si="42"/>
        <v>0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0</v>
      </c>
      <c r="DG51" s="21">
        <f>EXP(-LN(2)/25)*DG50+(1-EXP(-LN(2)/25))/(LN(2)/25)*Calculateur!DB51*Calculateur!DD51*VLOOKUP('Données projet'!$B$13,Paramètres!$A$1:$I$89,3,0)*0.475*44/12</f>
        <v>0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0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>
        <f>DO51*VLOOKUP('Données projet'!$B$14,Paramètres!$A$1:$I$89,3,0)*VLOOKUP('Données projet'!$B$14,Paramètres!$A$1:$I$89,5,0)</f>
        <v>0</v>
      </c>
      <c r="DQ51" s="13" t="e">
        <f t="shared" si="43"/>
        <v>#NUM!</v>
      </c>
      <c r="DR51" s="20" t="e">
        <f t="shared" si="16"/>
        <v>#NUM!</v>
      </c>
      <c r="DS51" s="59" t="e">
        <f t="shared" si="17"/>
        <v>#NUM!</v>
      </c>
      <c r="DT51" s="59">
        <f ca="1">AVERAGE(OFFSET($DS$3,0,0,'Données projet'!$E$14+1,1))-AVERAGE(OFFSET($H$3,0,0,'Données projet'!$E$14+1,1))</f>
        <v>0</v>
      </c>
      <c r="DU51" s="59">
        <f t="shared" si="44"/>
        <v>0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0</v>
      </c>
      <c r="EB51" s="21">
        <f>EXP(-LN(2)/25)*EB50+(1-EXP(-LN(2)/25))/(LN(2)/25)*Calculateur!DW51*Calculateur!DY51*VLOOKUP('Données projet'!$B$14,Paramètres!$A$1:$I$89,3,0)*0.475*44/12</f>
        <v>0</v>
      </c>
      <c r="EC51" s="21">
        <f>EXP(-LN(2)/2)*EC50+(1-EXP(-LN(2)/2))/(LN(2)/2)*DW51*DZ51*VLOOKUP('Données projet'!$B$14,Paramètres!$A$1:$I$89,3,0)*0.475*44/12</f>
        <v>0</v>
      </c>
      <c r="ED51" s="22">
        <f t="shared" si="18"/>
        <v>0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>
        <f>EJ51*VLOOKUP('Données projet'!$B$15,Paramètres!$A$1:$I$89,3,0)*VLOOKUP('Données projet'!$B$15,Paramètres!$A$1:$I$89,5,0)</f>
        <v>0</v>
      </c>
      <c r="EL51" s="13" t="e">
        <f t="shared" si="45"/>
        <v>#NUM!</v>
      </c>
      <c r="EM51" s="20" t="e">
        <f t="shared" si="19"/>
        <v>#NUM!</v>
      </c>
      <c r="EN51" s="59" t="e">
        <f t="shared" si="20"/>
        <v>#NUM!</v>
      </c>
      <c r="EO51" s="59">
        <f ca="1">AVERAGE(OFFSET($EN$3,0,0,'Données projet'!$E$15+1,1))-AVERAGE(OFFSET($H$3,0,0,'Données projet'!$E$15+1,1))</f>
        <v>0</v>
      </c>
      <c r="EP51" s="59">
        <f t="shared" si="46"/>
        <v>0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>
        <f>EXP(-LN(2)/35)*EV50+(1-EXP(-LN(2)/35))/(LN(2)/35)*ER51*ES51*VLOOKUP('Données projet'!$B$15,Paramètres!$A$1:$I$89,3,0)*0.475*44/12</f>
        <v>0</v>
      </c>
      <c r="EW51" s="21">
        <f>EXP(-LN(2)/25)*EW50+(1-EXP(-LN(2)/25))/(LN(2)/25)*Calculateur!ER51*Calculateur!ET51*VLOOKUP('Données projet'!$B$15,Paramètres!$A$1:$I$89,3,0)*0.475*44/12</f>
        <v>0</v>
      </c>
      <c r="EX51" s="21">
        <f>EXP(-LN(2)/2)*EX50+(1-EXP(-LN(2)/2))/(LN(2)/2)*ER51*EU51*VLOOKUP('Données projet'!$B$15,Paramètres!$A$1:$I$89,3,0)*0.475*44/12</f>
        <v>0</v>
      </c>
      <c r="EY51" s="22">
        <f t="shared" si="21"/>
        <v>0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>
        <f>FE51*VLOOKUP('Données projet'!$B$16,Paramètres!$A$1:$I$89,3,0)*VLOOKUP('Données projet'!$B$16,Paramètres!$A$1:$I$89,5,0)</f>
        <v>0</v>
      </c>
      <c r="FG51" s="13" t="e">
        <f t="shared" si="47"/>
        <v>#NUM!</v>
      </c>
      <c r="FH51" s="20" t="e">
        <f t="shared" si="22"/>
        <v>#NUM!</v>
      </c>
      <c r="FI51" s="59" t="e">
        <f t="shared" si="23"/>
        <v>#NUM!</v>
      </c>
      <c r="FJ51" s="59">
        <f ca="1">AVERAGE(OFFSET($FI$3,0,0,'Données projet'!$E$16+1,1))-AVERAGE(OFFSET($H$3,0,0,'Données projet'!$E$16+1,1))</f>
        <v>0</v>
      </c>
      <c r="FK51" s="59">
        <f t="shared" si="48"/>
        <v>0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>
        <f>EXP(-LN(2)/35)*FQ50+(1-EXP(-LN(2)/35))/(LN(2)/35)*FM51*FN51*VLOOKUP('Données projet'!$B$16,Paramètres!$A$1:$I$89,3,0)*0.475*44/12</f>
        <v>0</v>
      </c>
      <c r="FR51" s="21">
        <f>EXP(-LN(2)/25)*FR50+(1-EXP(-LN(2)/25))/(LN(2)/25)*Calculateur!FM51*Calculateur!FO51*VLOOKUP('Données projet'!$B$16,Paramètres!$A$1:$I$89,3,0)*0.475*44/12</f>
        <v>0</v>
      </c>
      <c r="FS51" s="21">
        <f>EXP(-LN(2)/2)*FS50+(1-EXP(-LN(2)/2))/(LN(2)/2)*FM51*FP51*VLOOKUP('Données projet'!$B$16,Paramètres!$A$1:$I$89,3,0)*0.475*44/12</f>
        <v>0</v>
      </c>
      <c r="FT51" s="22">
        <f t="shared" si="24"/>
        <v>0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1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5.875</v>
      </c>
      <c r="N52" s="13">
        <f>IF('Données projet'!$A$36&gt;35,N51+M52-V51,IF(A52&lt;'Données projet'!$A$36,$K$205^A52,IF(A52='Données projet'!$A$36,'Données projet'!$B$36,N51+M52-V51)))</f>
        <v>281.625</v>
      </c>
      <c r="O52" s="13">
        <f>N52*VLOOKUP('Données projet'!$B$9,Paramètres!$A$1:$I$89,3,0)*VLOOKUP('Données projet'!$B$9,Paramètres!$A$1:$I$89,5,0)</f>
        <v>168.41175000000001</v>
      </c>
      <c r="P52" s="13">
        <f t="shared" si="33"/>
        <v>42.73411432638013</v>
      </c>
      <c r="Q52" s="20">
        <f t="shared" si="53"/>
        <v>367.74571370177881</v>
      </c>
      <c r="R52" s="59">
        <f t="shared" si="0"/>
        <v>661.07904703511213</v>
      </c>
      <c r="S52" s="59">
        <f ca="1">AVERAGE(OFFSET($R$3,0,0,'Données projet'!$E$9+1,1))-AVERAGE(OFFSET($H$3,0,0,'Données projet'!$E$9+1,1))</f>
        <v>186.90544184210381</v>
      </c>
      <c r="T52" s="59">
        <f t="shared" si="34"/>
        <v>202.05988514450519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26.482244044610972</v>
      </c>
      <c r="AA52" s="21">
        <f>EXP(-LN(2)/25)*AA51+(1-EXP(-LN(2)/25))/(LN(2)/25)*Calculateur!V52*Calculateur!X52*VLOOKUP('Données projet'!$B$9,Paramètres!$A$1:$I$89,3,0)*0.475*44/12</f>
        <v>12.876012849802899</v>
      </c>
      <c r="AB52" s="21">
        <f>EXP(-LN(2)/2)*AB51+(1-EXP(-LN(2)/2))/(LN(2)/2)*V52*Y52*VLOOKUP('Données projet'!$B$9,Paramètres!$A$1:$I$89,3,0)*0.475*44/12</f>
        <v>1.3361822874434388</v>
      </c>
      <c r="AC52" s="22">
        <f t="shared" si="3"/>
        <v>40.694439181857305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5.875</v>
      </c>
      <c r="AI52" s="13">
        <f>IF('Données projet'!$A$62&gt;35,AI51+AH52-AQ51,IF(A52&lt;'Données projet'!$A$62,$AF$205^A52,IF(A52='Données projet'!$A$62,'Données projet'!$B$62,AI51+AH52-AQ51)))</f>
        <v>281.625</v>
      </c>
      <c r="AJ52" s="13">
        <f>AI52*VLOOKUP('Données projet'!$B$10,Paramètres!$A$1:$I$89,3,0)*VLOOKUP('Données projet'!$B$10,Paramètres!$A$1:$I$89,5,0)</f>
        <v>168.41175000000001</v>
      </c>
      <c r="AK52" s="13">
        <f t="shared" si="35"/>
        <v>42.73411432638013</v>
      </c>
      <c r="AL52" s="20">
        <f t="shared" si="4"/>
        <v>367.74571370177881</v>
      </c>
      <c r="AM52" s="59">
        <f t="shared" si="5"/>
        <v>661.07904703511213</v>
      </c>
      <c r="AN52" s="59">
        <f ca="1">AVERAGE(OFFSET($AM$3,0,0,'Données projet'!$E$10+1,1))-AVERAGE(OFFSET($H$3,0,0,'Données projet'!$E$10+1,1))</f>
        <v>186.90544184210381</v>
      </c>
      <c r="AO52" s="59">
        <f t="shared" si="36"/>
        <v>202.05988514450519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26.482244044610972</v>
      </c>
      <c r="AV52" s="21">
        <f>EXP(-LN(2)/25)*AV51+(1-EXP(-LN(2)/25))/(LN(2)/25)*Calculateur!AQ52*Calculateur!AS52*VLOOKUP('Données projet'!$B$10,Paramètres!$A$1:$I$89,3,0)*0.475*44/12</f>
        <v>12.876012849802899</v>
      </c>
      <c r="AW52" s="21">
        <f>EXP(-LN(2)/2)*AW51+(1-EXP(-LN(2)/2))/(LN(2)/2)*AQ52*AT52*VLOOKUP('Données projet'!$B$10,Paramètres!$A$1:$I$89,3,0)*0.475*44/12</f>
        <v>1.3361822874434388</v>
      </c>
      <c r="AX52" s="21">
        <f t="shared" si="6"/>
        <v>40.694439181857305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-2.8421709430404007E-14</v>
      </c>
      <c r="BE52" s="13">
        <f>BD52*VLOOKUP('Données projet'!$B$11,Paramètres!$A$1:$I$89,3,0)*VLOOKUP('Données projet'!$B$11,Paramètres!$A$1:$I$89,5,0)</f>
        <v>-2.3055690689943732E-14</v>
      </c>
      <c r="BF52" s="13" t="e">
        <f t="shared" si="37"/>
        <v>#NUM!</v>
      </c>
      <c r="BG52" s="20" t="e">
        <f t="shared" si="7"/>
        <v>#NUM!</v>
      </c>
      <c r="BH52" s="59" t="e">
        <f t="shared" si="8"/>
        <v>#NUM!</v>
      </c>
      <c r="BI52" s="59">
        <f ca="1">AVERAGE(OFFSET($BH$3,0,0,'Données projet'!$E$11+1,1))-AVERAGE(OFFSET($H$3,0,0,'Données projet'!$E$11+1,1))</f>
        <v>5.8584049049231908</v>
      </c>
      <c r="BJ52" s="59">
        <f t="shared" si="38"/>
        <v>42.266833200216638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0.45792500446857859</v>
      </c>
      <c r="BS52" s="22">
        <f t="shared" si="9"/>
        <v>0.45792500446857859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>
        <f>BY52*VLOOKUP('Données projet'!$B$12,Paramètres!$A$1:$I$89,3,0)*VLOOKUP('Données projet'!$B$12,Paramètres!$A$1:$I$89,5,0)</f>
        <v>0</v>
      </c>
      <c r="CA52" s="13" t="e">
        <f t="shared" si="39"/>
        <v>#NUM!</v>
      </c>
      <c r="CB52" s="20" t="e">
        <f t="shared" si="10"/>
        <v>#NUM!</v>
      </c>
      <c r="CC52" s="59" t="e">
        <f t="shared" si="11"/>
        <v>#NUM!</v>
      </c>
      <c r="CD52" s="59">
        <f ca="1">AVERAGE(OFFSET($CC$3,0,0,'Données projet'!$E$12+1,1))-AVERAGE(OFFSET($H$3,0,0,'Données projet'!$E$12+1,1))</f>
        <v>0</v>
      </c>
      <c r="CE52" s="59">
        <f t="shared" si="40"/>
        <v>0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0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>
        <f>CT52*VLOOKUP('Données projet'!$B$13,Paramètres!$A$1:$I$89,3,0)*VLOOKUP('Données projet'!$B$13,Paramètres!$A$1:$I$89,5,0)</f>
        <v>0</v>
      </c>
      <c r="CV52" s="13" t="e">
        <f t="shared" si="41"/>
        <v>#NUM!</v>
      </c>
      <c r="CW52" s="20" t="e">
        <f t="shared" si="13"/>
        <v>#NUM!</v>
      </c>
      <c r="CX52" s="59" t="e">
        <f t="shared" si="14"/>
        <v>#NUM!</v>
      </c>
      <c r="CY52" s="59">
        <f ca="1">AVERAGE(OFFSET($CX$3,0,0,'Données projet'!$E$13+1,1))-AVERAGE(OFFSET($H$3,0,0,'Données projet'!$E$13+1,1))</f>
        <v>0</v>
      </c>
      <c r="CZ52" s="59">
        <f t="shared" si="42"/>
        <v>0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0</v>
      </c>
      <c r="DG52" s="21">
        <f>EXP(-LN(2)/25)*DG51+(1-EXP(-LN(2)/25))/(LN(2)/25)*Calculateur!DB52*Calculateur!DD52*VLOOKUP('Données projet'!$B$13,Paramètres!$A$1:$I$89,3,0)*0.475*44/12</f>
        <v>0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0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>
        <f>DO52*VLOOKUP('Données projet'!$B$14,Paramètres!$A$1:$I$89,3,0)*VLOOKUP('Données projet'!$B$14,Paramètres!$A$1:$I$89,5,0)</f>
        <v>0</v>
      </c>
      <c r="DQ52" s="13" t="e">
        <f t="shared" si="43"/>
        <v>#NUM!</v>
      </c>
      <c r="DR52" s="20" t="e">
        <f t="shared" si="16"/>
        <v>#NUM!</v>
      </c>
      <c r="DS52" s="59" t="e">
        <f t="shared" si="17"/>
        <v>#NUM!</v>
      </c>
      <c r="DT52" s="59">
        <f ca="1">AVERAGE(OFFSET($DS$3,0,0,'Données projet'!$E$14+1,1))-AVERAGE(OFFSET($H$3,0,0,'Données projet'!$E$14+1,1))</f>
        <v>0</v>
      </c>
      <c r="DU52" s="59">
        <f t="shared" si="44"/>
        <v>0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0</v>
      </c>
      <c r="EB52" s="21">
        <f>EXP(-LN(2)/25)*EB51+(1-EXP(-LN(2)/25))/(LN(2)/25)*Calculateur!DW52*Calculateur!DY52*VLOOKUP('Données projet'!$B$14,Paramètres!$A$1:$I$89,3,0)*0.475*44/12</f>
        <v>0</v>
      </c>
      <c r="EC52" s="21">
        <f>EXP(-LN(2)/2)*EC51+(1-EXP(-LN(2)/2))/(LN(2)/2)*DW52*DZ52*VLOOKUP('Données projet'!$B$14,Paramètres!$A$1:$I$89,3,0)*0.475*44/12</f>
        <v>0</v>
      </c>
      <c r="ED52" s="22">
        <f t="shared" si="18"/>
        <v>0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>
        <f>EJ52*VLOOKUP('Données projet'!$B$15,Paramètres!$A$1:$I$89,3,0)*VLOOKUP('Données projet'!$B$15,Paramètres!$A$1:$I$89,5,0)</f>
        <v>0</v>
      </c>
      <c r="EL52" s="13" t="e">
        <f t="shared" si="45"/>
        <v>#NUM!</v>
      </c>
      <c r="EM52" s="20" t="e">
        <f t="shared" si="19"/>
        <v>#NUM!</v>
      </c>
      <c r="EN52" s="59" t="e">
        <f t="shared" si="20"/>
        <v>#NUM!</v>
      </c>
      <c r="EO52" s="59">
        <f ca="1">AVERAGE(OFFSET($EN$3,0,0,'Données projet'!$E$15+1,1))-AVERAGE(OFFSET($H$3,0,0,'Données projet'!$E$15+1,1))</f>
        <v>0</v>
      </c>
      <c r="EP52" s="59">
        <f t="shared" si="46"/>
        <v>0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>
        <f>EXP(-LN(2)/35)*EV51+(1-EXP(-LN(2)/35))/(LN(2)/35)*ER52*ES52*VLOOKUP('Données projet'!$B$15,Paramètres!$A$1:$I$89,3,0)*0.475*44/12</f>
        <v>0</v>
      </c>
      <c r="EW52" s="21">
        <f>EXP(-LN(2)/25)*EW51+(1-EXP(-LN(2)/25))/(LN(2)/25)*Calculateur!ER52*Calculateur!ET52*VLOOKUP('Données projet'!$B$15,Paramètres!$A$1:$I$89,3,0)*0.475*44/12</f>
        <v>0</v>
      </c>
      <c r="EX52" s="21">
        <f>EXP(-LN(2)/2)*EX51+(1-EXP(-LN(2)/2))/(LN(2)/2)*ER52*EU52*VLOOKUP('Données projet'!$B$15,Paramètres!$A$1:$I$89,3,0)*0.475*44/12</f>
        <v>0</v>
      </c>
      <c r="EY52" s="22">
        <f t="shared" si="21"/>
        <v>0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>
        <f>FE52*VLOOKUP('Données projet'!$B$16,Paramètres!$A$1:$I$89,3,0)*VLOOKUP('Données projet'!$B$16,Paramètres!$A$1:$I$89,5,0)</f>
        <v>0</v>
      </c>
      <c r="FG52" s="13" t="e">
        <f t="shared" si="47"/>
        <v>#NUM!</v>
      </c>
      <c r="FH52" s="20" t="e">
        <f t="shared" si="22"/>
        <v>#NUM!</v>
      </c>
      <c r="FI52" s="59" t="e">
        <f t="shared" si="23"/>
        <v>#NUM!</v>
      </c>
      <c r="FJ52" s="59">
        <f ca="1">AVERAGE(OFFSET($FI$3,0,0,'Données projet'!$E$16+1,1))-AVERAGE(OFFSET($H$3,0,0,'Données projet'!$E$16+1,1))</f>
        <v>0</v>
      </c>
      <c r="FK52" s="59">
        <f t="shared" si="48"/>
        <v>0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>
        <f>EXP(-LN(2)/35)*FQ51+(1-EXP(-LN(2)/35))/(LN(2)/35)*FM52*FN52*VLOOKUP('Données projet'!$B$16,Paramètres!$A$1:$I$89,3,0)*0.475*44/12</f>
        <v>0</v>
      </c>
      <c r="FR52" s="21">
        <f>EXP(-LN(2)/25)*FR51+(1-EXP(-LN(2)/25))/(LN(2)/25)*Calculateur!FM52*Calculateur!FO52*VLOOKUP('Données projet'!$B$16,Paramètres!$A$1:$I$89,3,0)*0.475*44/12</f>
        <v>0</v>
      </c>
      <c r="FS52" s="21">
        <f>EXP(-LN(2)/2)*FS51+(1-EXP(-LN(2)/2))/(LN(2)/2)*FM52*FP52*VLOOKUP('Données projet'!$B$16,Paramètres!$A$1:$I$89,3,0)*0.475*44/12</f>
        <v>0</v>
      </c>
      <c r="FT52" s="22">
        <f t="shared" si="24"/>
        <v>0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1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5.875</v>
      </c>
      <c r="N53" s="13">
        <f>IF('Données projet'!$A$36&gt;35,N52+M53-V52,IF(A53&lt;'Données projet'!$A$36,$K$205^A53,IF(A53='Données projet'!$A$36,'Données projet'!$B$36,N52+M53-V52)))</f>
        <v>287.5</v>
      </c>
      <c r="O53" s="13">
        <f>N53*VLOOKUP('Données projet'!$B$9,Paramètres!$A$1:$I$89,3,0)*VLOOKUP('Données projet'!$B$9,Paramètres!$A$1:$I$89,5,0)</f>
        <v>171.92500000000001</v>
      </c>
      <c r="P53" s="13">
        <f t="shared" si="33"/>
        <v>43.520876607827979</v>
      </c>
      <c r="Q53" s="20">
        <f t="shared" si="53"/>
        <v>375.23490175863367</v>
      </c>
      <c r="R53" s="59">
        <f t="shared" si="0"/>
        <v>668.56823509196693</v>
      </c>
      <c r="S53" s="59">
        <f ca="1">AVERAGE(OFFSET($R$3,0,0,'Données projet'!$E$9+1,1))-AVERAGE(OFFSET($H$3,0,0,'Données projet'!$E$9+1,1))</f>
        <v>186.90544184210381</v>
      </c>
      <c r="T53" s="59">
        <f t="shared" si="34"/>
        <v>202.05988514450519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25.962943391470084</v>
      </c>
      <c r="AA53" s="21">
        <f>EXP(-LN(2)/25)*AA52+(1-EXP(-LN(2)/25))/(LN(2)/25)*Calculateur!V53*Calculateur!X53*VLOOKUP('Données projet'!$B$9,Paramètres!$A$1:$I$89,3,0)*0.475*44/12</f>
        <v>12.523917601304952</v>
      </c>
      <c r="AB53" s="21">
        <f>EXP(-LN(2)/2)*AB52+(1-EXP(-LN(2)/2))/(LN(2)/2)*V53*Y53*VLOOKUP('Données projet'!$B$9,Paramètres!$A$1:$I$89,3,0)*0.475*44/12</f>
        <v>0.94482355635260828</v>
      </c>
      <c r="AC53" s="22">
        <f t="shared" si="3"/>
        <v>39.431684549127645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5.875</v>
      </c>
      <c r="AI53" s="13">
        <f>IF('Données projet'!$A$62&gt;35,AI52+AH53-AQ52,IF(A53&lt;'Données projet'!$A$62,$AF$205^A53,IF(A53='Données projet'!$A$62,'Données projet'!$B$62,AI52+AH53-AQ52)))</f>
        <v>287.5</v>
      </c>
      <c r="AJ53" s="13">
        <f>AI53*VLOOKUP('Données projet'!$B$10,Paramètres!$A$1:$I$89,3,0)*VLOOKUP('Données projet'!$B$10,Paramètres!$A$1:$I$89,5,0)</f>
        <v>171.92500000000001</v>
      </c>
      <c r="AK53" s="13">
        <f t="shared" si="35"/>
        <v>43.520876607827979</v>
      </c>
      <c r="AL53" s="20">
        <f t="shared" si="4"/>
        <v>375.23490175863367</v>
      </c>
      <c r="AM53" s="59">
        <f t="shared" si="5"/>
        <v>668.56823509196693</v>
      </c>
      <c r="AN53" s="59">
        <f ca="1">AVERAGE(OFFSET($AM$3,0,0,'Données projet'!$E$10+1,1))-AVERAGE(OFFSET($H$3,0,0,'Données projet'!$E$10+1,1))</f>
        <v>186.90544184210381</v>
      </c>
      <c r="AO53" s="59">
        <f t="shared" si="36"/>
        <v>202.05988514450519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25.962943391470084</v>
      </c>
      <c r="AV53" s="21">
        <f>EXP(-LN(2)/25)*AV52+(1-EXP(-LN(2)/25))/(LN(2)/25)*Calculateur!AQ53*Calculateur!AS53*VLOOKUP('Données projet'!$B$10,Paramètres!$A$1:$I$89,3,0)*0.475*44/12</f>
        <v>12.523917601304952</v>
      </c>
      <c r="AW53" s="21">
        <f>EXP(-LN(2)/2)*AW52+(1-EXP(-LN(2)/2))/(LN(2)/2)*AQ53*AT53*VLOOKUP('Données projet'!$B$10,Paramètres!$A$1:$I$89,3,0)*0.475*44/12</f>
        <v>0.94482355635260828</v>
      </c>
      <c r="AX53" s="21">
        <f t="shared" si="6"/>
        <v>39.431684549127645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-2.8421709430404007E-14</v>
      </c>
      <c r="BE53" s="13">
        <f>BD53*VLOOKUP('Données projet'!$B$11,Paramètres!$A$1:$I$89,3,0)*VLOOKUP('Données projet'!$B$11,Paramètres!$A$1:$I$89,5,0)</f>
        <v>-2.3055690689943732E-14</v>
      </c>
      <c r="BF53" s="13" t="e">
        <f t="shared" si="37"/>
        <v>#NUM!</v>
      </c>
      <c r="BG53" s="20" t="e">
        <f t="shared" si="7"/>
        <v>#NUM!</v>
      </c>
      <c r="BH53" s="59" t="e">
        <f t="shared" si="8"/>
        <v>#NUM!</v>
      </c>
      <c r="BI53" s="59">
        <f ca="1">AVERAGE(OFFSET($BH$3,0,0,'Données projet'!$E$11+1,1))-AVERAGE(OFFSET($H$3,0,0,'Données projet'!$E$11+1,1))</f>
        <v>5.8584049049231908</v>
      </c>
      <c r="BJ53" s="59">
        <f t="shared" si="38"/>
        <v>42.266833200216638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0.32380187593461202</v>
      </c>
      <c r="BS53" s="22">
        <f t="shared" si="9"/>
        <v>0.32380187593461202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>
        <f>BY53*VLOOKUP('Données projet'!$B$12,Paramètres!$A$1:$I$89,3,0)*VLOOKUP('Données projet'!$B$12,Paramètres!$A$1:$I$89,5,0)</f>
        <v>0</v>
      </c>
      <c r="CA53" s="13" t="e">
        <f t="shared" si="39"/>
        <v>#NUM!</v>
      </c>
      <c r="CB53" s="20" t="e">
        <f t="shared" si="10"/>
        <v>#NUM!</v>
      </c>
      <c r="CC53" s="59" t="e">
        <f t="shared" si="11"/>
        <v>#NUM!</v>
      </c>
      <c r="CD53" s="59">
        <f ca="1">AVERAGE(OFFSET($CC$3,0,0,'Données projet'!$E$12+1,1))-AVERAGE(OFFSET($H$3,0,0,'Données projet'!$E$12+1,1))</f>
        <v>0</v>
      </c>
      <c r="CE53" s="59">
        <f t="shared" si="40"/>
        <v>0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0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>
        <f>CT53*VLOOKUP('Données projet'!$B$13,Paramètres!$A$1:$I$89,3,0)*VLOOKUP('Données projet'!$B$13,Paramètres!$A$1:$I$89,5,0)</f>
        <v>0</v>
      </c>
      <c r="CV53" s="13" t="e">
        <f t="shared" si="41"/>
        <v>#NUM!</v>
      </c>
      <c r="CW53" s="20" t="e">
        <f t="shared" si="13"/>
        <v>#NUM!</v>
      </c>
      <c r="CX53" s="59" t="e">
        <f t="shared" si="14"/>
        <v>#NUM!</v>
      </c>
      <c r="CY53" s="59">
        <f ca="1">AVERAGE(OFFSET($CX$3,0,0,'Données projet'!$E$13+1,1))-AVERAGE(OFFSET($H$3,0,0,'Données projet'!$E$13+1,1))</f>
        <v>0</v>
      </c>
      <c r="CZ53" s="59">
        <f t="shared" si="42"/>
        <v>0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0</v>
      </c>
      <c r="DG53" s="21">
        <f>EXP(-LN(2)/25)*DG52+(1-EXP(-LN(2)/25))/(LN(2)/25)*Calculateur!DB53*Calculateur!DD53*VLOOKUP('Données projet'!$B$13,Paramètres!$A$1:$I$89,3,0)*0.475*44/12</f>
        <v>0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0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>
        <f>DO53*VLOOKUP('Données projet'!$B$14,Paramètres!$A$1:$I$89,3,0)*VLOOKUP('Données projet'!$B$14,Paramètres!$A$1:$I$89,5,0)</f>
        <v>0</v>
      </c>
      <c r="DQ53" s="13" t="e">
        <f t="shared" si="43"/>
        <v>#NUM!</v>
      </c>
      <c r="DR53" s="20" t="e">
        <f t="shared" si="16"/>
        <v>#NUM!</v>
      </c>
      <c r="DS53" s="59" t="e">
        <f t="shared" si="17"/>
        <v>#NUM!</v>
      </c>
      <c r="DT53" s="59">
        <f ca="1">AVERAGE(OFFSET($DS$3,0,0,'Données projet'!$E$14+1,1))-AVERAGE(OFFSET($H$3,0,0,'Données projet'!$E$14+1,1))</f>
        <v>0</v>
      </c>
      <c r="DU53" s="59">
        <f t="shared" si="44"/>
        <v>0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0</v>
      </c>
      <c r="EB53" s="21">
        <f>EXP(-LN(2)/25)*EB52+(1-EXP(-LN(2)/25))/(LN(2)/25)*Calculateur!DW53*Calculateur!DY53*VLOOKUP('Données projet'!$B$14,Paramètres!$A$1:$I$89,3,0)*0.475*44/12</f>
        <v>0</v>
      </c>
      <c r="EC53" s="21">
        <f>EXP(-LN(2)/2)*EC52+(1-EXP(-LN(2)/2))/(LN(2)/2)*DW53*DZ53*VLOOKUP('Données projet'!$B$14,Paramètres!$A$1:$I$89,3,0)*0.475*44/12</f>
        <v>0</v>
      </c>
      <c r="ED53" s="22">
        <f t="shared" si="18"/>
        <v>0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>
        <f>EJ53*VLOOKUP('Données projet'!$B$15,Paramètres!$A$1:$I$89,3,0)*VLOOKUP('Données projet'!$B$15,Paramètres!$A$1:$I$89,5,0)</f>
        <v>0</v>
      </c>
      <c r="EL53" s="13" t="e">
        <f t="shared" si="45"/>
        <v>#NUM!</v>
      </c>
      <c r="EM53" s="20" t="e">
        <f t="shared" si="19"/>
        <v>#NUM!</v>
      </c>
      <c r="EN53" s="59" t="e">
        <f t="shared" si="20"/>
        <v>#NUM!</v>
      </c>
      <c r="EO53" s="59">
        <f ca="1">AVERAGE(OFFSET($EN$3,0,0,'Données projet'!$E$15+1,1))-AVERAGE(OFFSET($H$3,0,0,'Données projet'!$E$15+1,1))</f>
        <v>0</v>
      </c>
      <c r="EP53" s="59">
        <f t="shared" si="46"/>
        <v>0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>
        <f>EXP(-LN(2)/35)*EV52+(1-EXP(-LN(2)/35))/(LN(2)/35)*ER53*ES53*VLOOKUP('Données projet'!$B$15,Paramètres!$A$1:$I$89,3,0)*0.475*44/12</f>
        <v>0</v>
      </c>
      <c r="EW53" s="21">
        <f>EXP(-LN(2)/25)*EW52+(1-EXP(-LN(2)/25))/(LN(2)/25)*Calculateur!ER53*Calculateur!ET53*VLOOKUP('Données projet'!$B$15,Paramètres!$A$1:$I$89,3,0)*0.475*44/12</f>
        <v>0</v>
      </c>
      <c r="EX53" s="21">
        <f>EXP(-LN(2)/2)*EX52+(1-EXP(-LN(2)/2))/(LN(2)/2)*ER53*EU53*VLOOKUP('Données projet'!$B$15,Paramètres!$A$1:$I$89,3,0)*0.475*44/12</f>
        <v>0</v>
      </c>
      <c r="EY53" s="22">
        <f t="shared" si="21"/>
        <v>0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>
        <f>FE53*VLOOKUP('Données projet'!$B$16,Paramètres!$A$1:$I$89,3,0)*VLOOKUP('Données projet'!$B$16,Paramètres!$A$1:$I$89,5,0)</f>
        <v>0</v>
      </c>
      <c r="FG53" s="13" t="e">
        <f t="shared" si="47"/>
        <v>#NUM!</v>
      </c>
      <c r="FH53" s="20" t="e">
        <f t="shared" si="22"/>
        <v>#NUM!</v>
      </c>
      <c r="FI53" s="59" t="e">
        <f t="shared" si="23"/>
        <v>#NUM!</v>
      </c>
      <c r="FJ53" s="59">
        <f ca="1">AVERAGE(OFFSET($FI$3,0,0,'Données projet'!$E$16+1,1))-AVERAGE(OFFSET($H$3,0,0,'Données projet'!$E$16+1,1))</f>
        <v>0</v>
      </c>
      <c r="FK53" s="59">
        <f t="shared" si="48"/>
        <v>0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>
        <f>EXP(-LN(2)/35)*FQ52+(1-EXP(-LN(2)/35))/(LN(2)/35)*FM53*FN53*VLOOKUP('Données projet'!$B$16,Paramètres!$A$1:$I$89,3,0)*0.475*44/12</f>
        <v>0</v>
      </c>
      <c r="FR53" s="21">
        <f>EXP(-LN(2)/25)*FR52+(1-EXP(-LN(2)/25))/(LN(2)/25)*Calculateur!FM53*Calculateur!FO53*VLOOKUP('Données projet'!$B$16,Paramètres!$A$1:$I$89,3,0)*0.475*44/12</f>
        <v>0</v>
      </c>
      <c r="FS53" s="21">
        <f>EXP(-LN(2)/2)*FS52+(1-EXP(-LN(2)/2))/(LN(2)/2)*FM53*FP53*VLOOKUP('Données projet'!$B$16,Paramètres!$A$1:$I$89,3,0)*0.475*44/12</f>
        <v>0</v>
      </c>
      <c r="FT53" s="22">
        <f t="shared" si="24"/>
        <v>0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1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5.875</v>
      </c>
      <c r="N54" s="13">
        <f>IF('Données projet'!$A$36&gt;35,N53+M54-V53,IF(A54&lt;'Données projet'!$A$36,$K$205^A54,IF(A54='Données projet'!$A$36,'Données projet'!$B$36,N53+M54-V53)))</f>
        <v>293.375</v>
      </c>
      <c r="O54" s="13">
        <f>N54*VLOOKUP('Données projet'!$B$9,Paramètres!$A$1:$I$89,3,0)*VLOOKUP('Données projet'!$B$9,Paramètres!$A$1:$I$89,5,0)</f>
        <v>175.43825000000004</v>
      </c>
      <c r="P54" s="13">
        <f t="shared" si="33"/>
        <v>44.305769576051844</v>
      </c>
      <c r="Q54" s="20">
        <f t="shared" si="53"/>
        <v>382.72083409495696</v>
      </c>
      <c r="R54" s="59">
        <f t="shared" si="0"/>
        <v>676.05416742829027</v>
      </c>
      <c r="S54" s="59">
        <f ca="1">AVERAGE(OFFSET($R$3,0,0,'Données projet'!$E$9+1,1))-AVERAGE(OFFSET($H$3,0,0,'Données projet'!$E$9+1,1))</f>
        <v>186.90544184210381</v>
      </c>
      <c r="T54" s="59">
        <f t="shared" si="34"/>
        <v>202.05988514450519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25.453825907395167</v>
      </c>
      <c r="AA54" s="21">
        <f>EXP(-LN(2)/25)*AA53+(1-EXP(-LN(2)/25))/(LN(2)/25)*Calculateur!V54*Calculateur!X54*VLOOKUP('Données projet'!$B$9,Paramètres!$A$1:$I$89,3,0)*0.475*44/12</f>
        <v>12.181450415893066</v>
      </c>
      <c r="AB54" s="21">
        <f>EXP(-LN(2)/2)*AB53+(1-EXP(-LN(2)/2))/(LN(2)/2)*V54*Y54*VLOOKUP('Données projet'!$B$9,Paramètres!$A$1:$I$89,3,0)*0.475*44/12</f>
        <v>0.66809114372171952</v>
      </c>
      <c r="AC54" s="22">
        <f t="shared" si="3"/>
        <v>38.303367467009949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5.875</v>
      </c>
      <c r="AI54" s="13">
        <f>IF('Données projet'!$A$62&gt;35,AI53+AH54-AQ53,IF(A54&lt;'Données projet'!$A$62,$AF$205^A54,IF(A54='Données projet'!$A$62,'Données projet'!$B$62,AI53+AH54-AQ53)))</f>
        <v>293.375</v>
      </c>
      <c r="AJ54" s="13">
        <f>AI54*VLOOKUP('Données projet'!$B$10,Paramètres!$A$1:$I$89,3,0)*VLOOKUP('Données projet'!$B$10,Paramètres!$A$1:$I$89,5,0)</f>
        <v>175.43825000000004</v>
      </c>
      <c r="AK54" s="13">
        <f t="shared" si="35"/>
        <v>44.305769576051844</v>
      </c>
      <c r="AL54" s="20">
        <f t="shared" si="4"/>
        <v>382.72083409495696</v>
      </c>
      <c r="AM54" s="59">
        <f t="shared" si="5"/>
        <v>676.05416742829027</v>
      </c>
      <c r="AN54" s="59">
        <f ca="1">AVERAGE(OFFSET($AM$3,0,0,'Données projet'!$E$10+1,1))-AVERAGE(OFFSET($H$3,0,0,'Données projet'!$E$10+1,1))</f>
        <v>186.90544184210381</v>
      </c>
      <c r="AO54" s="59">
        <f t="shared" si="36"/>
        <v>202.05988514450519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25.453825907395167</v>
      </c>
      <c r="AV54" s="21">
        <f>EXP(-LN(2)/25)*AV53+(1-EXP(-LN(2)/25))/(LN(2)/25)*Calculateur!AQ54*Calculateur!AS54*VLOOKUP('Données projet'!$B$10,Paramètres!$A$1:$I$89,3,0)*0.475*44/12</f>
        <v>12.181450415893066</v>
      </c>
      <c r="AW54" s="21">
        <f>EXP(-LN(2)/2)*AW53+(1-EXP(-LN(2)/2))/(LN(2)/2)*AQ54*AT54*VLOOKUP('Données projet'!$B$10,Paramètres!$A$1:$I$89,3,0)*0.475*44/12</f>
        <v>0.66809114372171952</v>
      </c>
      <c r="AX54" s="21">
        <f t="shared" si="6"/>
        <v>38.303367467009949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-2.8421709430404007E-14</v>
      </c>
      <c r="BE54" s="13">
        <f>BD54*VLOOKUP('Données projet'!$B$11,Paramètres!$A$1:$I$89,3,0)*VLOOKUP('Données projet'!$B$11,Paramètres!$A$1:$I$89,5,0)</f>
        <v>-2.3055690689943732E-14</v>
      </c>
      <c r="BF54" s="13" t="e">
        <f t="shared" si="37"/>
        <v>#NUM!</v>
      </c>
      <c r="BG54" s="20" t="e">
        <f t="shared" si="7"/>
        <v>#NUM!</v>
      </c>
      <c r="BH54" s="59" t="e">
        <f t="shared" si="8"/>
        <v>#NUM!</v>
      </c>
      <c r="BI54" s="59">
        <f ca="1">AVERAGE(OFFSET($BH$3,0,0,'Données projet'!$E$11+1,1))-AVERAGE(OFFSET($H$3,0,0,'Données projet'!$E$11+1,1))</f>
        <v>5.8584049049231908</v>
      </c>
      <c r="BJ54" s="59">
        <f t="shared" si="38"/>
        <v>42.266833200216638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0.22896250223428932</v>
      </c>
      <c r="BS54" s="22">
        <f t="shared" si="9"/>
        <v>0.22896250223428932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>
        <f>BY54*VLOOKUP('Données projet'!$B$12,Paramètres!$A$1:$I$89,3,0)*VLOOKUP('Données projet'!$B$12,Paramètres!$A$1:$I$89,5,0)</f>
        <v>0</v>
      </c>
      <c r="CA54" s="13" t="e">
        <f t="shared" si="39"/>
        <v>#NUM!</v>
      </c>
      <c r="CB54" s="20" t="e">
        <f t="shared" si="10"/>
        <v>#NUM!</v>
      </c>
      <c r="CC54" s="59" t="e">
        <f t="shared" si="11"/>
        <v>#NUM!</v>
      </c>
      <c r="CD54" s="59">
        <f ca="1">AVERAGE(OFFSET($CC$3,0,0,'Données projet'!$E$12+1,1))-AVERAGE(OFFSET($H$3,0,0,'Données projet'!$E$12+1,1))</f>
        <v>0</v>
      </c>
      <c r="CE54" s="59">
        <f t="shared" si="40"/>
        <v>0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0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>
        <f>CT54*VLOOKUP('Données projet'!$B$13,Paramètres!$A$1:$I$89,3,0)*VLOOKUP('Données projet'!$B$13,Paramètres!$A$1:$I$89,5,0)</f>
        <v>0</v>
      </c>
      <c r="CV54" s="13" t="e">
        <f t="shared" si="41"/>
        <v>#NUM!</v>
      </c>
      <c r="CW54" s="20" t="e">
        <f t="shared" si="13"/>
        <v>#NUM!</v>
      </c>
      <c r="CX54" s="59" t="e">
        <f t="shared" si="14"/>
        <v>#NUM!</v>
      </c>
      <c r="CY54" s="59">
        <f ca="1">AVERAGE(OFFSET($CX$3,0,0,'Données projet'!$E$13+1,1))-AVERAGE(OFFSET($H$3,0,0,'Données projet'!$E$13+1,1))</f>
        <v>0</v>
      </c>
      <c r="CZ54" s="59">
        <f t="shared" si="42"/>
        <v>0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0</v>
      </c>
      <c r="DG54" s="21">
        <f>EXP(-LN(2)/25)*DG53+(1-EXP(-LN(2)/25))/(LN(2)/25)*Calculateur!DB54*Calculateur!DD54*VLOOKUP('Données projet'!$B$13,Paramètres!$A$1:$I$89,3,0)*0.475*44/12</f>
        <v>0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0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>
        <f>DO54*VLOOKUP('Données projet'!$B$14,Paramètres!$A$1:$I$89,3,0)*VLOOKUP('Données projet'!$B$14,Paramètres!$A$1:$I$89,5,0)</f>
        <v>0</v>
      </c>
      <c r="DQ54" s="13" t="e">
        <f t="shared" si="43"/>
        <v>#NUM!</v>
      </c>
      <c r="DR54" s="20" t="e">
        <f t="shared" si="16"/>
        <v>#NUM!</v>
      </c>
      <c r="DS54" s="59" t="e">
        <f t="shared" si="17"/>
        <v>#NUM!</v>
      </c>
      <c r="DT54" s="59">
        <f ca="1">AVERAGE(OFFSET($DS$3,0,0,'Données projet'!$E$14+1,1))-AVERAGE(OFFSET($H$3,0,0,'Données projet'!$E$14+1,1))</f>
        <v>0</v>
      </c>
      <c r="DU54" s="59">
        <f t="shared" si="44"/>
        <v>0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0</v>
      </c>
      <c r="EB54" s="21">
        <f>EXP(-LN(2)/25)*EB53+(1-EXP(-LN(2)/25))/(LN(2)/25)*Calculateur!DW54*Calculateur!DY54*VLOOKUP('Données projet'!$B$14,Paramètres!$A$1:$I$89,3,0)*0.475*44/12</f>
        <v>0</v>
      </c>
      <c r="EC54" s="21">
        <f>EXP(-LN(2)/2)*EC53+(1-EXP(-LN(2)/2))/(LN(2)/2)*DW54*DZ54*VLOOKUP('Données projet'!$B$14,Paramètres!$A$1:$I$89,3,0)*0.475*44/12</f>
        <v>0</v>
      </c>
      <c r="ED54" s="22">
        <f t="shared" si="18"/>
        <v>0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>
        <f>EJ54*VLOOKUP('Données projet'!$B$15,Paramètres!$A$1:$I$89,3,0)*VLOOKUP('Données projet'!$B$15,Paramètres!$A$1:$I$89,5,0)</f>
        <v>0</v>
      </c>
      <c r="EL54" s="13" t="e">
        <f t="shared" si="45"/>
        <v>#NUM!</v>
      </c>
      <c r="EM54" s="20" t="e">
        <f t="shared" si="19"/>
        <v>#NUM!</v>
      </c>
      <c r="EN54" s="59" t="e">
        <f t="shared" si="20"/>
        <v>#NUM!</v>
      </c>
      <c r="EO54" s="59">
        <f ca="1">AVERAGE(OFFSET($EN$3,0,0,'Données projet'!$E$15+1,1))-AVERAGE(OFFSET($H$3,0,0,'Données projet'!$E$15+1,1))</f>
        <v>0</v>
      </c>
      <c r="EP54" s="59">
        <f t="shared" si="46"/>
        <v>0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>
        <f>EXP(-LN(2)/35)*EV53+(1-EXP(-LN(2)/35))/(LN(2)/35)*ER54*ES54*VLOOKUP('Données projet'!$B$15,Paramètres!$A$1:$I$89,3,0)*0.475*44/12</f>
        <v>0</v>
      </c>
      <c r="EW54" s="21">
        <f>EXP(-LN(2)/25)*EW53+(1-EXP(-LN(2)/25))/(LN(2)/25)*Calculateur!ER54*Calculateur!ET54*VLOOKUP('Données projet'!$B$15,Paramètres!$A$1:$I$89,3,0)*0.475*44/12</f>
        <v>0</v>
      </c>
      <c r="EX54" s="21">
        <f>EXP(-LN(2)/2)*EX53+(1-EXP(-LN(2)/2))/(LN(2)/2)*ER54*EU54*VLOOKUP('Données projet'!$B$15,Paramètres!$A$1:$I$89,3,0)*0.475*44/12</f>
        <v>0</v>
      </c>
      <c r="EY54" s="22">
        <f t="shared" si="21"/>
        <v>0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>
        <f>FE54*VLOOKUP('Données projet'!$B$16,Paramètres!$A$1:$I$89,3,0)*VLOOKUP('Données projet'!$B$16,Paramètres!$A$1:$I$89,5,0)</f>
        <v>0</v>
      </c>
      <c r="FG54" s="13" t="e">
        <f t="shared" si="47"/>
        <v>#NUM!</v>
      </c>
      <c r="FH54" s="20" t="e">
        <f t="shared" si="22"/>
        <v>#NUM!</v>
      </c>
      <c r="FI54" s="59" t="e">
        <f t="shared" si="23"/>
        <v>#NUM!</v>
      </c>
      <c r="FJ54" s="59">
        <f ca="1">AVERAGE(OFFSET($FI$3,0,0,'Données projet'!$E$16+1,1))-AVERAGE(OFFSET($H$3,0,0,'Données projet'!$E$16+1,1))</f>
        <v>0</v>
      </c>
      <c r="FK54" s="59">
        <f t="shared" si="48"/>
        <v>0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>
        <f>EXP(-LN(2)/35)*FQ53+(1-EXP(-LN(2)/35))/(LN(2)/35)*FM54*FN54*VLOOKUP('Données projet'!$B$16,Paramètres!$A$1:$I$89,3,0)*0.475*44/12</f>
        <v>0</v>
      </c>
      <c r="FR54" s="21">
        <f>EXP(-LN(2)/25)*FR53+(1-EXP(-LN(2)/25))/(LN(2)/25)*Calculateur!FM54*Calculateur!FO54*VLOOKUP('Données projet'!$B$16,Paramètres!$A$1:$I$89,3,0)*0.475*44/12</f>
        <v>0</v>
      </c>
      <c r="FS54" s="21">
        <f>EXP(-LN(2)/2)*FS53+(1-EXP(-LN(2)/2))/(LN(2)/2)*FM54*FP54*VLOOKUP('Données projet'!$B$16,Paramètres!$A$1:$I$89,3,0)*0.475*44/12</f>
        <v>0</v>
      </c>
      <c r="FT54" s="22">
        <f t="shared" si="24"/>
        <v>0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1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5.875</v>
      </c>
      <c r="N55" s="13">
        <f>IF('Données projet'!$A$36&gt;35,N54+M55-V54,IF(A55&lt;'Données projet'!$A$36,$K$205^A55,IF(A55='Données projet'!$A$36,'Données projet'!$B$36,N54+M55-V54)))</f>
        <v>299.25</v>
      </c>
      <c r="O55" s="13">
        <f>N55*VLOOKUP('Données projet'!$B$9,Paramètres!$A$1:$I$89,3,0)*VLOOKUP('Données projet'!$B$9,Paramètres!$A$1:$I$89,5,0)</f>
        <v>178.95150000000001</v>
      </c>
      <c r="P55" s="13">
        <f t="shared" si="33"/>
        <v>45.088834979390157</v>
      </c>
      <c r="Q55" s="20">
        <f t="shared" si="53"/>
        <v>390.20358342243782</v>
      </c>
      <c r="R55" s="59">
        <f t="shared" si="0"/>
        <v>683.53691675577113</v>
      </c>
      <c r="S55" s="59">
        <f ca="1">AVERAGE(OFFSET($R$3,0,0,'Données projet'!$E$9+1,1))-AVERAGE(OFFSET($H$3,0,0,'Données projet'!$E$9+1,1))</f>
        <v>186.90544184210381</v>
      </c>
      <c r="T55" s="59">
        <f t="shared" si="34"/>
        <v>202.05988514450519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24.954691906651956</v>
      </c>
      <c r="AA55" s="21">
        <f>EXP(-LN(2)/25)*AA54+(1-EXP(-LN(2)/25))/(LN(2)/25)*Calculateur!V55*Calculateur!X55*VLOOKUP('Données projet'!$B$9,Paramètres!$A$1:$I$89,3,0)*0.475*44/12</f>
        <v>11.848348013675833</v>
      </c>
      <c r="AB55" s="21">
        <f>EXP(-LN(2)/2)*AB54+(1-EXP(-LN(2)/2))/(LN(2)/2)*V55*Y55*VLOOKUP('Données projet'!$B$9,Paramètres!$A$1:$I$89,3,0)*0.475*44/12</f>
        <v>0.47241177817630425</v>
      </c>
      <c r="AC55" s="22">
        <f t="shared" si="3"/>
        <v>37.275451698504092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5.875</v>
      </c>
      <c r="AI55" s="13">
        <f>IF('Données projet'!$A$62&gt;35,AI54+AH55-AQ54,IF(A55&lt;'Données projet'!$A$62,$AF$205^A55,IF(A55='Données projet'!$A$62,'Données projet'!$B$62,AI54+AH55-AQ54)))</f>
        <v>299.25</v>
      </c>
      <c r="AJ55" s="13">
        <f>AI55*VLOOKUP('Données projet'!$B$10,Paramètres!$A$1:$I$89,3,0)*VLOOKUP('Données projet'!$B$10,Paramètres!$A$1:$I$89,5,0)</f>
        <v>178.95150000000001</v>
      </c>
      <c r="AK55" s="13">
        <f t="shared" si="35"/>
        <v>45.088834979390157</v>
      </c>
      <c r="AL55" s="20">
        <f t="shared" si="4"/>
        <v>390.20358342243782</v>
      </c>
      <c r="AM55" s="59">
        <f t="shared" si="5"/>
        <v>683.53691675577113</v>
      </c>
      <c r="AN55" s="59">
        <f ca="1">AVERAGE(OFFSET($AM$3,0,0,'Données projet'!$E$10+1,1))-AVERAGE(OFFSET($H$3,0,0,'Données projet'!$E$10+1,1))</f>
        <v>186.90544184210381</v>
      </c>
      <c r="AO55" s="59">
        <f t="shared" si="36"/>
        <v>202.05988514450519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24.954691906651956</v>
      </c>
      <c r="AV55" s="21">
        <f>EXP(-LN(2)/25)*AV54+(1-EXP(-LN(2)/25))/(LN(2)/25)*Calculateur!AQ55*Calculateur!AS55*VLOOKUP('Données projet'!$B$10,Paramètres!$A$1:$I$89,3,0)*0.475*44/12</f>
        <v>11.848348013675833</v>
      </c>
      <c r="AW55" s="21">
        <f>EXP(-LN(2)/2)*AW54+(1-EXP(-LN(2)/2))/(LN(2)/2)*AQ55*AT55*VLOOKUP('Données projet'!$B$10,Paramètres!$A$1:$I$89,3,0)*0.475*44/12</f>
        <v>0.47241177817630425</v>
      </c>
      <c r="AX55" s="21">
        <f t="shared" si="6"/>
        <v>37.275451698504092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-2.8421709430404007E-14</v>
      </c>
      <c r="BE55" s="13">
        <f>BD55*VLOOKUP('Données projet'!$B$11,Paramètres!$A$1:$I$89,3,0)*VLOOKUP('Données projet'!$B$11,Paramètres!$A$1:$I$89,5,0)</f>
        <v>-2.3055690689943732E-14</v>
      </c>
      <c r="BF55" s="13" t="e">
        <f t="shared" si="37"/>
        <v>#NUM!</v>
      </c>
      <c r="BG55" s="20" t="e">
        <f t="shared" si="7"/>
        <v>#NUM!</v>
      </c>
      <c r="BH55" s="59" t="e">
        <f t="shared" si="8"/>
        <v>#NUM!</v>
      </c>
      <c r="BI55" s="59">
        <f ca="1">AVERAGE(OFFSET($BH$3,0,0,'Données projet'!$E$11+1,1))-AVERAGE(OFFSET($H$3,0,0,'Données projet'!$E$11+1,1))</f>
        <v>5.8584049049231908</v>
      </c>
      <c r="BJ55" s="59">
        <f t="shared" si="38"/>
        <v>42.266833200216638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0.16190093796730604</v>
      </c>
      <c r="BS55" s="22">
        <f t="shared" si="9"/>
        <v>0.16190093796730604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>
        <f>BY55*VLOOKUP('Données projet'!$B$12,Paramètres!$A$1:$I$89,3,0)*VLOOKUP('Données projet'!$B$12,Paramètres!$A$1:$I$89,5,0)</f>
        <v>0</v>
      </c>
      <c r="CA55" s="13" t="e">
        <f t="shared" si="39"/>
        <v>#NUM!</v>
      </c>
      <c r="CB55" s="20" t="e">
        <f t="shared" si="10"/>
        <v>#NUM!</v>
      </c>
      <c r="CC55" s="59" t="e">
        <f t="shared" si="11"/>
        <v>#NUM!</v>
      </c>
      <c r="CD55" s="59">
        <f ca="1">AVERAGE(OFFSET($CC$3,0,0,'Données projet'!$E$12+1,1))-AVERAGE(OFFSET($H$3,0,0,'Données projet'!$E$12+1,1))</f>
        <v>0</v>
      </c>
      <c r="CE55" s="59">
        <f t="shared" si="40"/>
        <v>0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0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>
        <f>CT55*VLOOKUP('Données projet'!$B$13,Paramètres!$A$1:$I$89,3,0)*VLOOKUP('Données projet'!$B$13,Paramètres!$A$1:$I$89,5,0)</f>
        <v>0</v>
      </c>
      <c r="CV55" s="13" t="e">
        <f t="shared" si="41"/>
        <v>#NUM!</v>
      </c>
      <c r="CW55" s="20" t="e">
        <f t="shared" si="13"/>
        <v>#NUM!</v>
      </c>
      <c r="CX55" s="59" t="e">
        <f t="shared" si="14"/>
        <v>#NUM!</v>
      </c>
      <c r="CY55" s="59">
        <f ca="1">AVERAGE(OFFSET($CX$3,0,0,'Données projet'!$E$13+1,1))-AVERAGE(OFFSET($H$3,0,0,'Données projet'!$E$13+1,1))</f>
        <v>0</v>
      </c>
      <c r="CZ55" s="59">
        <f t="shared" si="42"/>
        <v>0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0</v>
      </c>
      <c r="DG55" s="21">
        <f>EXP(-LN(2)/25)*DG54+(1-EXP(-LN(2)/25))/(LN(2)/25)*Calculateur!DB55*Calculateur!DD55*VLOOKUP('Données projet'!$B$13,Paramètres!$A$1:$I$89,3,0)*0.475*44/12</f>
        <v>0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0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>
        <f>DO55*VLOOKUP('Données projet'!$B$14,Paramètres!$A$1:$I$89,3,0)*VLOOKUP('Données projet'!$B$14,Paramètres!$A$1:$I$89,5,0)</f>
        <v>0</v>
      </c>
      <c r="DQ55" s="13" t="e">
        <f t="shared" si="43"/>
        <v>#NUM!</v>
      </c>
      <c r="DR55" s="20" t="e">
        <f t="shared" si="16"/>
        <v>#NUM!</v>
      </c>
      <c r="DS55" s="59" t="e">
        <f t="shared" si="17"/>
        <v>#NUM!</v>
      </c>
      <c r="DT55" s="59">
        <f ca="1">AVERAGE(OFFSET($DS$3,0,0,'Données projet'!$E$14+1,1))-AVERAGE(OFFSET($H$3,0,0,'Données projet'!$E$14+1,1))</f>
        <v>0</v>
      </c>
      <c r="DU55" s="59">
        <f t="shared" si="44"/>
        <v>0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0</v>
      </c>
      <c r="EB55" s="21">
        <f>EXP(-LN(2)/25)*EB54+(1-EXP(-LN(2)/25))/(LN(2)/25)*Calculateur!DW55*Calculateur!DY55*VLOOKUP('Données projet'!$B$14,Paramètres!$A$1:$I$89,3,0)*0.475*44/12</f>
        <v>0</v>
      </c>
      <c r="EC55" s="21">
        <f>EXP(-LN(2)/2)*EC54+(1-EXP(-LN(2)/2))/(LN(2)/2)*DW55*DZ55*VLOOKUP('Données projet'!$B$14,Paramètres!$A$1:$I$89,3,0)*0.475*44/12</f>
        <v>0</v>
      </c>
      <c r="ED55" s="22">
        <f t="shared" si="18"/>
        <v>0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>
        <f>EJ55*VLOOKUP('Données projet'!$B$15,Paramètres!$A$1:$I$89,3,0)*VLOOKUP('Données projet'!$B$15,Paramètres!$A$1:$I$89,5,0)</f>
        <v>0</v>
      </c>
      <c r="EL55" s="13" t="e">
        <f t="shared" si="45"/>
        <v>#NUM!</v>
      </c>
      <c r="EM55" s="20" t="e">
        <f t="shared" si="19"/>
        <v>#NUM!</v>
      </c>
      <c r="EN55" s="59" t="e">
        <f t="shared" si="20"/>
        <v>#NUM!</v>
      </c>
      <c r="EO55" s="59">
        <f ca="1">AVERAGE(OFFSET($EN$3,0,0,'Données projet'!$E$15+1,1))-AVERAGE(OFFSET($H$3,0,0,'Données projet'!$E$15+1,1))</f>
        <v>0</v>
      </c>
      <c r="EP55" s="59">
        <f t="shared" si="46"/>
        <v>0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>
        <f>EXP(-LN(2)/35)*EV54+(1-EXP(-LN(2)/35))/(LN(2)/35)*ER55*ES55*VLOOKUP('Données projet'!$B$15,Paramètres!$A$1:$I$89,3,0)*0.475*44/12</f>
        <v>0</v>
      </c>
      <c r="EW55" s="21">
        <f>EXP(-LN(2)/25)*EW54+(1-EXP(-LN(2)/25))/(LN(2)/25)*Calculateur!ER55*Calculateur!ET55*VLOOKUP('Données projet'!$B$15,Paramètres!$A$1:$I$89,3,0)*0.475*44/12</f>
        <v>0</v>
      </c>
      <c r="EX55" s="21">
        <f>EXP(-LN(2)/2)*EX54+(1-EXP(-LN(2)/2))/(LN(2)/2)*ER55*EU55*VLOOKUP('Données projet'!$B$15,Paramètres!$A$1:$I$89,3,0)*0.475*44/12</f>
        <v>0</v>
      </c>
      <c r="EY55" s="22">
        <f t="shared" si="21"/>
        <v>0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>
        <f>FE55*VLOOKUP('Données projet'!$B$16,Paramètres!$A$1:$I$89,3,0)*VLOOKUP('Données projet'!$B$16,Paramètres!$A$1:$I$89,5,0)</f>
        <v>0</v>
      </c>
      <c r="FG55" s="13" t="e">
        <f t="shared" si="47"/>
        <v>#NUM!</v>
      </c>
      <c r="FH55" s="20" t="e">
        <f t="shared" si="22"/>
        <v>#NUM!</v>
      </c>
      <c r="FI55" s="59" t="e">
        <f t="shared" si="23"/>
        <v>#NUM!</v>
      </c>
      <c r="FJ55" s="59">
        <f ca="1">AVERAGE(OFFSET($FI$3,0,0,'Données projet'!$E$16+1,1))-AVERAGE(OFFSET($H$3,0,0,'Données projet'!$E$16+1,1))</f>
        <v>0</v>
      </c>
      <c r="FK55" s="59">
        <f t="shared" si="48"/>
        <v>0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>
        <f>EXP(-LN(2)/35)*FQ54+(1-EXP(-LN(2)/35))/(LN(2)/35)*FM55*FN55*VLOOKUP('Données projet'!$B$16,Paramètres!$A$1:$I$89,3,0)*0.475*44/12</f>
        <v>0</v>
      </c>
      <c r="FR55" s="21">
        <f>EXP(-LN(2)/25)*FR54+(1-EXP(-LN(2)/25))/(LN(2)/25)*Calculateur!FM55*Calculateur!FO55*VLOOKUP('Données projet'!$B$16,Paramètres!$A$1:$I$89,3,0)*0.475*44/12</f>
        <v>0</v>
      </c>
      <c r="FS55" s="21">
        <f>EXP(-LN(2)/2)*FS54+(1-EXP(-LN(2)/2))/(LN(2)/2)*FM55*FP55*VLOOKUP('Données projet'!$B$16,Paramètres!$A$1:$I$89,3,0)*0.475*44/12</f>
        <v>0</v>
      </c>
      <c r="FT55" s="22">
        <f t="shared" si="24"/>
        <v>0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1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5.875</v>
      </c>
      <c r="N56" s="13">
        <f>IF('Données projet'!$A$36&gt;35,N55+M56-V55,IF(A56&lt;'Données projet'!$A$36,$K$205^A56,IF(A56='Données projet'!$A$36,'Données projet'!$B$36,N55+M56-V55)))</f>
        <v>305.125</v>
      </c>
      <c r="O56" s="13">
        <f>N56*VLOOKUP('Données projet'!$B$9,Paramètres!$A$1:$I$89,3,0)*VLOOKUP('Données projet'!$B$9,Paramètres!$A$1:$I$89,5,0)</f>
        <v>182.46475000000004</v>
      </c>
      <c r="P56" s="13">
        <f t="shared" si="33"/>
        <v>45.870112833182944</v>
      </c>
      <c r="Q56" s="20">
        <f t="shared" si="53"/>
        <v>397.68321943446034</v>
      </c>
      <c r="R56" s="59">
        <f t="shared" si="0"/>
        <v>691.01655276779366</v>
      </c>
      <c r="S56" s="59">
        <f ca="1">AVERAGE(OFFSET($R$3,0,0,'Données projet'!$E$9+1,1))-AVERAGE(OFFSET($H$3,0,0,'Données projet'!$E$9+1,1))</f>
        <v>186.90544184210381</v>
      </c>
      <c r="T56" s="59">
        <f t="shared" si="34"/>
        <v>202.05988514450519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24.46534561922164</v>
      </c>
      <c r="AA56" s="21">
        <f>EXP(-LN(2)/25)*AA55+(1-EXP(-LN(2)/25))/(LN(2)/25)*Calculateur!V56*Calculateur!X56*VLOOKUP('Données projet'!$B$9,Paramètres!$A$1:$I$89,3,0)*0.475*44/12</f>
        <v>11.524354314164325</v>
      </c>
      <c r="AB56" s="21">
        <f>EXP(-LN(2)/2)*AB55+(1-EXP(-LN(2)/2))/(LN(2)/2)*V56*Y56*VLOOKUP('Données projet'!$B$9,Paramètres!$A$1:$I$89,3,0)*0.475*44/12</f>
        <v>0.33404557186085981</v>
      </c>
      <c r="AC56" s="22">
        <f t="shared" si="3"/>
        <v>36.323745505246826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5.875</v>
      </c>
      <c r="AI56" s="13">
        <f>IF('Données projet'!$A$62&gt;35,AI55+AH56-AQ55,IF(A56&lt;'Données projet'!$A$62,$AF$205^A56,IF(A56='Données projet'!$A$62,'Données projet'!$B$62,AI55+AH56-AQ55)))</f>
        <v>305.125</v>
      </c>
      <c r="AJ56" s="13">
        <f>AI56*VLOOKUP('Données projet'!$B$10,Paramètres!$A$1:$I$89,3,0)*VLOOKUP('Données projet'!$B$10,Paramètres!$A$1:$I$89,5,0)</f>
        <v>182.46475000000004</v>
      </c>
      <c r="AK56" s="13">
        <f t="shared" si="35"/>
        <v>45.870112833182944</v>
      </c>
      <c r="AL56" s="20">
        <f t="shared" si="4"/>
        <v>397.68321943446034</v>
      </c>
      <c r="AM56" s="59">
        <f t="shared" si="5"/>
        <v>691.01655276779366</v>
      </c>
      <c r="AN56" s="59">
        <f ca="1">AVERAGE(OFFSET($AM$3,0,0,'Données projet'!$E$10+1,1))-AVERAGE(OFFSET($H$3,0,0,'Données projet'!$E$10+1,1))</f>
        <v>186.90544184210381</v>
      </c>
      <c r="AO56" s="59">
        <f t="shared" si="36"/>
        <v>202.05988514450519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24.46534561922164</v>
      </c>
      <c r="AV56" s="21">
        <f>EXP(-LN(2)/25)*AV55+(1-EXP(-LN(2)/25))/(LN(2)/25)*Calculateur!AQ56*Calculateur!AS56*VLOOKUP('Données projet'!$B$10,Paramètres!$A$1:$I$89,3,0)*0.475*44/12</f>
        <v>11.524354314164325</v>
      </c>
      <c r="AW56" s="21">
        <f>EXP(-LN(2)/2)*AW55+(1-EXP(-LN(2)/2))/(LN(2)/2)*AQ56*AT56*VLOOKUP('Données projet'!$B$10,Paramètres!$A$1:$I$89,3,0)*0.475*44/12</f>
        <v>0.33404557186085981</v>
      </c>
      <c r="AX56" s="21">
        <f t="shared" si="6"/>
        <v>36.323745505246826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-2.8421709430404007E-14</v>
      </c>
      <c r="BE56" s="13">
        <f>BD56*VLOOKUP('Données projet'!$B$11,Paramètres!$A$1:$I$89,3,0)*VLOOKUP('Données projet'!$B$11,Paramètres!$A$1:$I$89,5,0)</f>
        <v>-2.3055690689943732E-14</v>
      </c>
      <c r="BF56" s="13" t="e">
        <f t="shared" si="37"/>
        <v>#NUM!</v>
      </c>
      <c r="BG56" s="20" t="e">
        <f t="shared" si="7"/>
        <v>#NUM!</v>
      </c>
      <c r="BH56" s="59" t="e">
        <f t="shared" si="8"/>
        <v>#NUM!</v>
      </c>
      <c r="BI56" s="59">
        <f ca="1">AVERAGE(OFFSET($BH$3,0,0,'Données projet'!$E$11+1,1))-AVERAGE(OFFSET($H$3,0,0,'Données projet'!$E$11+1,1))</f>
        <v>5.8584049049231908</v>
      </c>
      <c r="BJ56" s="59">
        <f t="shared" si="38"/>
        <v>42.266833200216638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0.11448125111714468</v>
      </c>
      <c r="BS56" s="22">
        <f t="shared" si="9"/>
        <v>0.11448125111714468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>
        <f>BY56*VLOOKUP('Données projet'!$B$12,Paramètres!$A$1:$I$89,3,0)*VLOOKUP('Données projet'!$B$12,Paramètres!$A$1:$I$89,5,0)</f>
        <v>0</v>
      </c>
      <c r="CA56" s="13" t="e">
        <f t="shared" si="39"/>
        <v>#NUM!</v>
      </c>
      <c r="CB56" s="20" t="e">
        <f t="shared" si="10"/>
        <v>#NUM!</v>
      </c>
      <c r="CC56" s="59" t="e">
        <f t="shared" si="11"/>
        <v>#NUM!</v>
      </c>
      <c r="CD56" s="59">
        <f ca="1">AVERAGE(OFFSET($CC$3,0,0,'Données projet'!$E$12+1,1))-AVERAGE(OFFSET($H$3,0,0,'Données projet'!$E$12+1,1))</f>
        <v>0</v>
      </c>
      <c r="CE56" s="59">
        <f t="shared" si="40"/>
        <v>0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0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>
        <f>CT56*VLOOKUP('Données projet'!$B$13,Paramètres!$A$1:$I$89,3,0)*VLOOKUP('Données projet'!$B$13,Paramètres!$A$1:$I$89,5,0)</f>
        <v>0</v>
      </c>
      <c r="CV56" s="13" t="e">
        <f t="shared" si="41"/>
        <v>#NUM!</v>
      </c>
      <c r="CW56" s="20" t="e">
        <f t="shared" si="13"/>
        <v>#NUM!</v>
      </c>
      <c r="CX56" s="59" t="e">
        <f t="shared" si="14"/>
        <v>#NUM!</v>
      </c>
      <c r="CY56" s="59">
        <f ca="1">AVERAGE(OFFSET($CX$3,0,0,'Données projet'!$E$13+1,1))-AVERAGE(OFFSET($H$3,0,0,'Données projet'!$E$13+1,1))</f>
        <v>0</v>
      </c>
      <c r="CZ56" s="59">
        <f t="shared" si="42"/>
        <v>0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0</v>
      </c>
      <c r="DG56" s="21">
        <f>EXP(-LN(2)/25)*DG55+(1-EXP(-LN(2)/25))/(LN(2)/25)*Calculateur!DB56*Calculateur!DD56*VLOOKUP('Données projet'!$B$13,Paramètres!$A$1:$I$89,3,0)*0.475*44/12</f>
        <v>0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0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>
        <f>DO56*VLOOKUP('Données projet'!$B$14,Paramètres!$A$1:$I$89,3,0)*VLOOKUP('Données projet'!$B$14,Paramètres!$A$1:$I$89,5,0)</f>
        <v>0</v>
      </c>
      <c r="DQ56" s="13" t="e">
        <f t="shared" si="43"/>
        <v>#NUM!</v>
      </c>
      <c r="DR56" s="20" t="e">
        <f t="shared" si="16"/>
        <v>#NUM!</v>
      </c>
      <c r="DS56" s="59" t="e">
        <f t="shared" si="17"/>
        <v>#NUM!</v>
      </c>
      <c r="DT56" s="59">
        <f ca="1">AVERAGE(OFFSET($DS$3,0,0,'Données projet'!$E$14+1,1))-AVERAGE(OFFSET($H$3,0,0,'Données projet'!$E$14+1,1))</f>
        <v>0</v>
      </c>
      <c r="DU56" s="59">
        <f t="shared" si="44"/>
        <v>0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0</v>
      </c>
      <c r="EB56" s="21">
        <f>EXP(-LN(2)/25)*EB55+(1-EXP(-LN(2)/25))/(LN(2)/25)*Calculateur!DW56*Calculateur!DY56*VLOOKUP('Données projet'!$B$14,Paramètres!$A$1:$I$89,3,0)*0.475*44/12</f>
        <v>0</v>
      </c>
      <c r="EC56" s="21">
        <f>EXP(-LN(2)/2)*EC55+(1-EXP(-LN(2)/2))/(LN(2)/2)*DW56*DZ56*VLOOKUP('Données projet'!$B$14,Paramètres!$A$1:$I$89,3,0)*0.475*44/12</f>
        <v>0</v>
      </c>
      <c r="ED56" s="22">
        <f t="shared" si="18"/>
        <v>0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>
        <f>EJ56*VLOOKUP('Données projet'!$B$15,Paramètres!$A$1:$I$89,3,0)*VLOOKUP('Données projet'!$B$15,Paramètres!$A$1:$I$89,5,0)</f>
        <v>0</v>
      </c>
      <c r="EL56" s="13" t="e">
        <f t="shared" si="45"/>
        <v>#NUM!</v>
      </c>
      <c r="EM56" s="20" t="e">
        <f t="shared" si="19"/>
        <v>#NUM!</v>
      </c>
      <c r="EN56" s="59" t="e">
        <f t="shared" si="20"/>
        <v>#NUM!</v>
      </c>
      <c r="EO56" s="59">
        <f ca="1">AVERAGE(OFFSET($EN$3,0,0,'Données projet'!$E$15+1,1))-AVERAGE(OFFSET($H$3,0,0,'Données projet'!$E$15+1,1))</f>
        <v>0</v>
      </c>
      <c r="EP56" s="59">
        <f t="shared" si="46"/>
        <v>0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>
        <f>EXP(-LN(2)/35)*EV55+(1-EXP(-LN(2)/35))/(LN(2)/35)*ER56*ES56*VLOOKUP('Données projet'!$B$15,Paramètres!$A$1:$I$89,3,0)*0.475*44/12</f>
        <v>0</v>
      </c>
      <c r="EW56" s="21">
        <f>EXP(-LN(2)/25)*EW55+(1-EXP(-LN(2)/25))/(LN(2)/25)*Calculateur!ER56*Calculateur!ET56*VLOOKUP('Données projet'!$B$15,Paramètres!$A$1:$I$89,3,0)*0.475*44/12</f>
        <v>0</v>
      </c>
      <c r="EX56" s="21">
        <f>EXP(-LN(2)/2)*EX55+(1-EXP(-LN(2)/2))/(LN(2)/2)*ER56*EU56*VLOOKUP('Données projet'!$B$15,Paramètres!$A$1:$I$89,3,0)*0.475*44/12</f>
        <v>0</v>
      </c>
      <c r="EY56" s="22">
        <f t="shared" si="21"/>
        <v>0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>
        <f>FE56*VLOOKUP('Données projet'!$B$16,Paramètres!$A$1:$I$89,3,0)*VLOOKUP('Données projet'!$B$16,Paramètres!$A$1:$I$89,5,0)</f>
        <v>0</v>
      </c>
      <c r="FG56" s="13" t="e">
        <f t="shared" si="47"/>
        <v>#NUM!</v>
      </c>
      <c r="FH56" s="20" t="e">
        <f t="shared" si="22"/>
        <v>#NUM!</v>
      </c>
      <c r="FI56" s="59" t="e">
        <f t="shared" si="23"/>
        <v>#NUM!</v>
      </c>
      <c r="FJ56" s="59">
        <f ca="1">AVERAGE(OFFSET($FI$3,0,0,'Données projet'!$E$16+1,1))-AVERAGE(OFFSET($H$3,0,0,'Données projet'!$E$16+1,1))</f>
        <v>0</v>
      </c>
      <c r="FK56" s="59">
        <f t="shared" si="48"/>
        <v>0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>
        <f>EXP(-LN(2)/35)*FQ55+(1-EXP(-LN(2)/35))/(LN(2)/35)*FM56*FN56*VLOOKUP('Données projet'!$B$16,Paramètres!$A$1:$I$89,3,0)*0.475*44/12</f>
        <v>0</v>
      </c>
      <c r="FR56" s="21">
        <f>EXP(-LN(2)/25)*FR55+(1-EXP(-LN(2)/25))/(LN(2)/25)*Calculateur!FM56*Calculateur!FO56*VLOOKUP('Données projet'!$B$16,Paramètres!$A$1:$I$89,3,0)*0.475*44/12</f>
        <v>0</v>
      </c>
      <c r="FS56" s="21">
        <f>EXP(-LN(2)/2)*FS55+(1-EXP(-LN(2)/2))/(LN(2)/2)*FM56*FP56*VLOOKUP('Données projet'!$B$16,Paramètres!$A$1:$I$89,3,0)*0.475*44/12</f>
        <v>0</v>
      </c>
      <c r="FT56" s="22">
        <f t="shared" si="24"/>
        <v>0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1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311</v>
      </c>
      <c r="L57" s="12">
        <f>VLOOKUP(A57,'Données projet'!$A$35:$I$55,9,0)</f>
        <v>5.875</v>
      </c>
      <c r="M57" s="12">
        <f t="array" ref="M57">INDEX(L:L,MIN(IF(ISNUMBER(L57:L253),ROW(L57:L253),"")))</f>
        <v>5.875</v>
      </c>
      <c r="N57" s="13">
        <f>IF('Données projet'!$A$36&gt;35,N56+M57-V56,IF(A57&lt;'Données projet'!$A$36,$K$205^A57,IF(A57='Données projet'!$A$36,'Données projet'!$B$36,N56+M57-V56)))</f>
        <v>311</v>
      </c>
      <c r="O57" s="13">
        <f>N57*VLOOKUP('Données projet'!$B$9,Paramètres!$A$1:$I$89,3,0)*VLOOKUP('Données projet'!$B$9,Paramètres!$A$1:$I$89,5,0)</f>
        <v>185.97800000000001</v>
      </c>
      <c r="P57" s="13">
        <f t="shared" si="33"/>
        <v>46.649641523668571</v>
      </c>
      <c r="Q57" s="20">
        <f t="shared" si="53"/>
        <v>405.15980898705612</v>
      </c>
      <c r="R57" s="59">
        <f t="shared" si="0"/>
        <v>698.49314232038944</v>
      </c>
      <c r="S57" s="59">
        <f ca="1">AVERAGE(OFFSET($R$3,0,0,'Données projet'!$E$9+1,1))-AVERAGE(OFFSET($H$3,0,0,'Données projet'!$E$9+1,1))</f>
        <v>186.90544184210381</v>
      </c>
      <c r="T57" s="59">
        <f t="shared" si="34"/>
        <v>202.05988514450519</v>
      </c>
      <c r="U57" s="15">
        <f>IF(ISNA(VLOOKUP(A57,'Données projet'!$A$35:$I$55,3,0)),0,VLOOKUP(A57,'Données projet'!$A$35:$I$55,3,0))</f>
        <v>8</v>
      </c>
      <c r="V57" s="15">
        <f>IF(ISNA(VLOOKUP(A57,'Données projet'!$A$35:$I$55,4,0)),0,VLOOKUP(A57,'Données projet'!$A$35:$I$55,4,0))</f>
        <v>16</v>
      </c>
      <c r="W57" s="16">
        <f>IF(ISNA(VLOOKUP(A57,'Données projet'!$A$35:$I$55,5,0)),0%,VLOOKUP(A57,'Données projet'!$A$35:$I$55,5,0)*VLOOKUP('Données projet'!$B$9,Paramètres!$A$1:$I$89,7,0))</f>
        <v>0.33750000000000002</v>
      </c>
      <c r="X57" s="16">
        <f>IF(ISNA(VLOOKUP(A57,'Données projet'!$A$35:$I$55,6,0)),0%,VLOOKUP(A57,'Données projet'!$A$35:$I$55,6,0)*VLOOKUP('Données projet'!$B$9,Paramètres!$A$1:$I$89,7,0))</f>
        <v>4.5000000000000005E-2</v>
      </c>
      <c r="Y57" s="16">
        <f>IF(ISNA(VLOOKUP(A57,'Données projet'!$A$35:$I$55,7,0)),0%,VLOOKUP(A57,'Données projet'!$A$35:$I$55,7,0))</f>
        <v>0.15</v>
      </c>
      <c r="Z57" s="21">
        <f>EXP(-LN(2)/35)*Z56+(1-EXP(-LN(2)/35))/(LN(2)/35)*V57*W57*VLOOKUP('Données projet'!$B$9,Paramètres!$A$1:$I$89,3,0)*0.475*44/12</f>
        <v>28.269337053521433</v>
      </c>
      <c r="AA57" s="21">
        <f>EXP(-LN(2)/25)*AA56+(1-EXP(-LN(2)/25))/(LN(2)/25)*Calculateur!V57*Calculateur!X57*VLOOKUP('Données projet'!$B$9,Paramètres!$A$1:$I$89,3,0)*0.475*44/12</f>
        <v>11.778136934771499</v>
      </c>
      <c r="AB57" s="21">
        <f>EXP(-LN(2)/2)*AB56+(1-EXP(-LN(2)/2))/(LN(2)/2)*V57*Y57*VLOOKUP('Données projet'!$B$9,Paramètres!$A$1:$I$89,3,0)*0.475*44/12</f>
        <v>1.8611856824981359</v>
      </c>
      <c r="AC57" s="22">
        <f t="shared" si="3"/>
        <v>41.908659670791074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>
        <f>VLOOKUP(A57,'Données projet'!$A$61:$I$81,2,0)</f>
        <v>311</v>
      </c>
      <c r="AG57" s="12">
        <f>VLOOKUP(A57,'Données projet'!$A$61:$I$81,9,0)</f>
        <v>5.875</v>
      </c>
      <c r="AH57" s="12">
        <f t="array" ref="AH57">INDEX(AG:AG,MIN(IF(ISNUMBER(AG57:AG253),ROW(AG57:AG253),"")))</f>
        <v>5.875</v>
      </c>
      <c r="AI57" s="13">
        <f>IF('Données projet'!$A$62&gt;35,AI56+AH57-AQ56,IF(A57&lt;'Données projet'!$A$62,$AF$205^A57,IF(A57='Données projet'!$A$62,'Données projet'!$B$62,AI56+AH57-AQ56)))</f>
        <v>311</v>
      </c>
      <c r="AJ57" s="13">
        <f>AI57*VLOOKUP('Données projet'!$B$10,Paramètres!$A$1:$I$89,3,0)*VLOOKUP('Données projet'!$B$10,Paramètres!$A$1:$I$89,5,0)</f>
        <v>185.97800000000001</v>
      </c>
      <c r="AK57" s="13">
        <f t="shared" si="35"/>
        <v>46.649641523668571</v>
      </c>
      <c r="AL57" s="20">
        <f t="shared" si="4"/>
        <v>405.15980898705612</v>
      </c>
      <c r="AM57" s="59">
        <f t="shared" si="5"/>
        <v>698.49314232038944</v>
      </c>
      <c r="AN57" s="59">
        <f ca="1">AVERAGE(OFFSET($AM$3,0,0,'Données projet'!$E$10+1,1))-AVERAGE(OFFSET($H$3,0,0,'Données projet'!$E$10+1,1))</f>
        <v>186.90544184210381</v>
      </c>
      <c r="AO57" s="59">
        <f t="shared" si="36"/>
        <v>202.05988514450519</v>
      </c>
      <c r="AP57" s="15">
        <f>IF(ISNA(VLOOKUP(A57,'Données projet'!$A$61:$I$81,3,0)),0,VLOOKUP(A57,'Données projet'!$A$61:$I$81,3,0))</f>
        <v>8</v>
      </c>
      <c r="AQ57" s="15">
        <f>IF(ISNA(VLOOKUP(A57,'Données projet'!$A$61:$I$81,4,0)),0,VLOOKUP(A57,'Données projet'!$A$61:$I$81,4,0))</f>
        <v>16</v>
      </c>
      <c r="AR57" s="16">
        <f>IF(ISNA(VLOOKUP(A57,'Données projet'!$A$61:$I$81,5,0)),0%,VLOOKUP(A57,'Données projet'!$A$61:$I$81,5,0)*VLOOKUP('Données projet'!$B$10,Paramètres!$A$1:$I$89,7,0))</f>
        <v>0.33750000000000002</v>
      </c>
      <c r="AS57" s="16">
        <f>IF(ISNA(VLOOKUP(A57,'Données projet'!$A$61:$I$81,6,0)),0%,VLOOKUP(A57,'Données projet'!$A$61:$I$81,6,0)*VLOOKUP('Données projet'!$B$10,Paramètres!$A$1:$I$89,7,0))</f>
        <v>4.5000000000000005E-2</v>
      </c>
      <c r="AT57" s="16">
        <f>IF(ISNA(VLOOKUP(A57,'Données projet'!$A$61:$I$81,7,0)),0%,VLOOKUP(A57,'Données projet'!$A$61:$I$81,7,0))</f>
        <v>0.15</v>
      </c>
      <c r="AU57" s="21">
        <f>EXP(-LN(2)/35)*AU56+(1-EXP(-LN(2)/35))/(LN(2)/35)*AQ57*AR57*VLOOKUP('Données projet'!$B$10,Paramètres!$A$1:$I$89,3,0)*0.475*44/12</f>
        <v>28.269337053521433</v>
      </c>
      <c r="AV57" s="21">
        <f>EXP(-LN(2)/25)*AV56+(1-EXP(-LN(2)/25))/(LN(2)/25)*Calculateur!AQ57*Calculateur!AS57*VLOOKUP('Données projet'!$B$10,Paramètres!$A$1:$I$89,3,0)*0.475*44/12</f>
        <v>11.778136934771499</v>
      </c>
      <c r="AW57" s="21">
        <f>EXP(-LN(2)/2)*AW56+(1-EXP(-LN(2)/2))/(LN(2)/2)*AQ57*AT57*VLOOKUP('Données projet'!$B$10,Paramètres!$A$1:$I$89,3,0)*0.475*44/12</f>
        <v>1.8611856824981359</v>
      </c>
      <c r="AX57" s="21">
        <f t="shared" si="6"/>
        <v>41.908659670791074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-2.8421709430404007E-14</v>
      </c>
      <c r="BE57" s="13">
        <f>BD57*VLOOKUP('Données projet'!$B$11,Paramètres!$A$1:$I$89,3,0)*VLOOKUP('Données projet'!$B$11,Paramètres!$A$1:$I$89,5,0)</f>
        <v>-2.3055690689943732E-14</v>
      </c>
      <c r="BF57" s="13" t="e">
        <f t="shared" si="37"/>
        <v>#NUM!</v>
      </c>
      <c r="BG57" s="20" t="e">
        <f t="shared" si="7"/>
        <v>#NUM!</v>
      </c>
      <c r="BH57" s="59" t="e">
        <f t="shared" si="8"/>
        <v>#NUM!</v>
      </c>
      <c r="BI57" s="59">
        <f ca="1">AVERAGE(OFFSET($BH$3,0,0,'Données projet'!$E$11+1,1))-AVERAGE(OFFSET($H$3,0,0,'Données projet'!$E$11+1,1))</f>
        <v>5.8584049049231908</v>
      </c>
      <c r="BJ57" s="59">
        <f t="shared" si="38"/>
        <v>42.266833200216638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8.0950468983653018E-2</v>
      </c>
      <c r="BS57" s="22">
        <f t="shared" si="9"/>
        <v>8.0950468983653018E-2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>
        <f>BY57*VLOOKUP('Données projet'!$B$12,Paramètres!$A$1:$I$89,3,0)*VLOOKUP('Données projet'!$B$12,Paramètres!$A$1:$I$89,5,0)</f>
        <v>0</v>
      </c>
      <c r="CA57" s="13" t="e">
        <f t="shared" si="39"/>
        <v>#NUM!</v>
      </c>
      <c r="CB57" s="20" t="e">
        <f t="shared" si="10"/>
        <v>#NUM!</v>
      </c>
      <c r="CC57" s="59" t="e">
        <f t="shared" si="11"/>
        <v>#NUM!</v>
      </c>
      <c r="CD57" s="59">
        <f ca="1">AVERAGE(OFFSET($CC$3,0,0,'Données projet'!$E$12+1,1))-AVERAGE(OFFSET($H$3,0,0,'Données projet'!$E$12+1,1))</f>
        <v>0</v>
      </c>
      <c r="CE57" s="59">
        <f t="shared" si="40"/>
        <v>0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0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>
        <f>CT57*VLOOKUP('Données projet'!$B$13,Paramètres!$A$1:$I$89,3,0)*VLOOKUP('Données projet'!$B$13,Paramètres!$A$1:$I$89,5,0)</f>
        <v>0</v>
      </c>
      <c r="CV57" s="13" t="e">
        <f t="shared" si="41"/>
        <v>#NUM!</v>
      </c>
      <c r="CW57" s="20" t="e">
        <f t="shared" si="13"/>
        <v>#NUM!</v>
      </c>
      <c r="CX57" s="59" t="e">
        <f t="shared" si="14"/>
        <v>#NUM!</v>
      </c>
      <c r="CY57" s="59">
        <f ca="1">AVERAGE(OFFSET($CX$3,0,0,'Données projet'!$E$13+1,1))-AVERAGE(OFFSET($H$3,0,0,'Données projet'!$E$13+1,1))</f>
        <v>0</v>
      </c>
      <c r="CZ57" s="59">
        <f t="shared" si="42"/>
        <v>0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0</v>
      </c>
      <c r="DG57" s="21">
        <f>EXP(-LN(2)/25)*DG56+(1-EXP(-LN(2)/25))/(LN(2)/25)*Calculateur!DB57*Calculateur!DD57*VLOOKUP('Données projet'!$B$13,Paramètres!$A$1:$I$89,3,0)*0.475*44/12</f>
        <v>0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0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>
        <f>DO57*VLOOKUP('Données projet'!$B$14,Paramètres!$A$1:$I$89,3,0)*VLOOKUP('Données projet'!$B$14,Paramètres!$A$1:$I$89,5,0)</f>
        <v>0</v>
      </c>
      <c r="DQ57" s="13" t="e">
        <f t="shared" si="43"/>
        <v>#NUM!</v>
      </c>
      <c r="DR57" s="20" t="e">
        <f t="shared" si="16"/>
        <v>#NUM!</v>
      </c>
      <c r="DS57" s="59" t="e">
        <f t="shared" si="17"/>
        <v>#NUM!</v>
      </c>
      <c r="DT57" s="59">
        <f ca="1">AVERAGE(OFFSET($DS$3,0,0,'Données projet'!$E$14+1,1))-AVERAGE(OFFSET($H$3,0,0,'Données projet'!$E$14+1,1))</f>
        <v>0</v>
      </c>
      <c r="DU57" s="59">
        <f t="shared" si="44"/>
        <v>0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0</v>
      </c>
      <c r="EB57" s="21">
        <f>EXP(-LN(2)/25)*EB56+(1-EXP(-LN(2)/25))/(LN(2)/25)*Calculateur!DW57*Calculateur!DY57*VLOOKUP('Données projet'!$B$14,Paramètres!$A$1:$I$89,3,0)*0.475*44/12</f>
        <v>0</v>
      </c>
      <c r="EC57" s="21">
        <f>EXP(-LN(2)/2)*EC56+(1-EXP(-LN(2)/2))/(LN(2)/2)*DW57*DZ57*VLOOKUP('Données projet'!$B$14,Paramètres!$A$1:$I$89,3,0)*0.475*44/12</f>
        <v>0</v>
      </c>
      <c r="ED57" s="22">
        <f t="shared" si="18"/>
        <v>0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>
        <f>EJ57*VLOOKUP('Données projet'!$B$15,Paramètres!$A$1:$I$89,3,0)*VLOOKUP('Données projet'!$B$15,Paramètres!$A$1:$I$89,5,0)</f>
        <v>0</v>
      </c>
      <c r="EL57" s="13" t="e">
        <f t="shared" si="45"/>
        <v>#NUM!</v>
      </c>
      <c r="EM57" s="20" t="e">
        <f t="shared" si="19"/>
        <v>#NUM!</v>
      </c>
      <c r="EN57" s="59" t="e">
        <f t="shared" si="20"/>
        <v>#NUM!</v>
      </c>
      <c r="EO57" s="59">
        <f ca="1">AVERAGE(OFFSET($EN$3,0,0,'Données projet'!$E$15+1,1))-AVERAGE(OFFSET($H$3,0,0,'Données projet'!$E$15+1,1))</f>
        <v>0</v>
      </c>
      <c r="EP57" s="59">
        <f t="shared" si="46"/>
        <v>0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>
        <f>EXP(-LN(2)/35)*EV56+(1-EXP(-LN(2)/35))/(LN(2)/35)*ER57*ES57*VLOOKUP('Données projet'!$B$15,Paramètres!$A$1:$I$89,3,0)*0.475*44/12</f>
        <v>0</v>
      </c>
      <c r="EW57" s="21">
        <f>EXP(-LN(2)/25)*EW56+(1-EXP(-LN(2)/25))/(LN(2)/25)*Calculateur!ER57*Calculateur!ET57*VLOOKUP('Données projet'!$B$15,Paramètres!$A$1:$I$89,3,0)*0.475*44/12</f>
        <v>0</v>
      </c>
      <c r="EX57" s="21">
        <f>EXP(-LN(2)/2)*EX56+(1-EXP(-LN(2)/2))/(LN(2)/2)*ER57*EU57*VLOOKUP('Données projet'!$B$15,Paramètres!$A$1:$I$89,3,0)*0.475*44/12</f>
        <v>0</v>
      </c>
      <c r="EY57" s="22">
        <f t="shared" si="21"/>
        <v>0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>
        <f>FE57*VLOOKUP('Données projet'!$B$16,Paramètres!$A$1:$I$89,3,0)*VLOOKUP('Données projet'!$B$16,Paramètres!$A$1:$I$89,5,0)</f>
        <v>0</v>
      </c>
      <c r="FG57" s="13" t="e">
        <f t="shared" si="47"/>
        <v>#NUM!</v>
      </c>
      <c r="FH57" s="20" t="e">
        <f t="shared" si="22"/>
        <v>#NUM!</v>
      </c>
      <c r="FI57" s="59" t="e">
        <f t="shared" si="23"/>
        <v>#NUM!</v>
      </c>
      <c r="FJ57" s="59">
        <f ca="1">AVERAGE(OFFSET($FI$3,0,0,'Données projet'!$E$16+1,1))-AVERAGE(OFFSET($H$3,0,0,'Données projet'!$E$16+1,1))</f>
        <v>0</v>
      </c>
      <c r="FK57" s="59">
        <f t="shared" si="48"/>
        <v>0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>
        <f>EXP(-LN(2)/35)*FQ56+(1-EXP(-LN(2)/35))/(LN(2)/35)*FM57*FN57*VLOOKUP('Données projet'!$B$16,Paramètres!$A$1:$I$89,3,0)*0.475*44/12</f>
        <v>0</v>
      </c>
      <c r="FR57" s="21">
        <f>EXP(-LN(2)/25)*FR56+(1-EXP(-LN(2)/25))/(LN(2)/25)*Calculateur!FM57*Calculateur!FO57*VLOOKUP('Données projet'!$B$16,Paramètres!$A$1:$I$89,3,0)*0.475*44/12</f>
        <v>0</v>
      </c>
      <c r="FS57" s="21">
        <f>EXP(-LN(2)/2)*FS56+(1-EXP(-LN(2)/2))/(LN(2)/2)*FM57*FP57*VLOOKUP('Données projet'!$B$16,Paramètres!$A$1:$I$89,3,0)*0.475*44/12</f>
        <v>0</v>
      </c>
      <c r="FT57" s="22">
        <f t="shared" si="24"/>
        <v>0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1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2.625</v>
      </c>
      <c r="N58" s="13">
        <f>IF('Données projet'!$A$36&gt;35,N57+M58-V57,IF(A58&lt;'Données projet'!$A$36,$K$205^A58,IF(A58='Données projet'!$A$36,'Données projet'!$B$36,N57+M58-V57)))</f>
        <v>297.625</v>
      </c>
      <c r="O58" s="13">
        <f>N58*VLOOKUP('Données projet'!$B$9,Paramètres!$A$1:$I$89,3,0)*VLOOKUP('Données projet'!$B$9,Paramètres!$A$1:$I$89,5,0)</f>
        <v>177.97975</v>
      </c>
      <c r="P58" s="13">
        <f t="shared" si="33"/>
        <v>44.87242292972973</v>
      </c>
      <c r="Q58" s="20">
        <f t="shared" si="53"/>
        <v>388.13420118594587</v>
      </c>
      <c r="R58" s="59">
        <f t="shared" si="0"/>
        <v>681.46753451927918</v>
      </c>
      <c r="S58" s="59">
        <f ca="1">AVERAGE(OFFSET($R$3,0,0,'Données projet'!$E$9+1,1))-AVERAGE(OFFSET($H$3,0,0,'Données projet'!$E$9+1,1))</f>
        <v>186.90544184210381</v>
      </c>
      <c r="T58" s="59">
        <f t="shared" si="34"/>
        <v>202.05988514450519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27.714992596494916</v>
      </c>
      <c r="AA58" s="21">
        <f>EXP(-LN(2)/25)*AA57+(1-EXP(-LN(2)/25))/(LN(2)/25)*Calculateur!V58*Calculateur!X58*VLOOKUP('Données projet'!$B$9,Paramètres!$A$1:$I$89,3,0)*0.475*44/12</f>
        <v>11.45606316090487</v>
      </c>
      <c r="AB58" s="21">
        <f>EXP(-LN(2)/2)*AB57+(1-EXP(-LN(2)/2))/(LN(2)/2)*V58*Y58*VLOOKUP('Données projet'!$B$9,Paramètres!$A$1:$I$89,3,0)*0.475*44/12</f>
        <v>1.3160570171417445</v>
      </c>
      <c r="AC58" s="22">
        <f t="shared" si="3"/>
        <v>40.487112774541529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2.625</v>
      </c>
      <c r="AI58" s="13">
        <f>IF('Données projet'!$A$62&gt;35,AI57+AH58-AQ57,IF(A58&lt;'Données projet'!$A$62,$AF$205^A58,IF(A58='Données projet'!$A$62,'Données projet'!$B$62,AI57+AH58-AQ57)))</f>
        <v>297.625</v>
      </c>
      <c r="AJ58" s="13">
        <f>AI58*VLOOKUP('Données projet'!$B$10,Paramètres!$A$1:$I$89,3,0)*VLOOKUP('Données projet'!$B$10,Paramètres!$A$1:$I$89,5,0)</f>
        <v>177.97975</v>
      </c>
      <c r="AK58" s="13">
        <f t="shared" si="35"/>
        <v>44.87242292972973</v>
      </c>
      <c r="AL58" s="20">
        <f t="shared" si="4"/>
        <v>388.13420118594587</v>
      </c>
      <c r="AM58" s="59">
        <f t="shared" si="5"/>
        <v>681.46753451927918</v>
      </c>
      <c r="AN58" s="59">
        <f ca="1">AVERAGE(OFFSET($AM$3,0,0,'Données projet'!$E$10+1,1))-AVERAGE(OFFSET($H$3,0,0,'Données projet'!$E$10+1,1))</f>
        <v>186.90544184210381</v>
      </c>
      <c r="AO58" s="59">
        <f t="shared" si="36"/>
        <v>202.05988514450519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27.714992596494916</v>
      </c>
      <c r="AV58" s="21">
        <f>EXP(-LN(2)/25)*AV57+(1-EXP(-LN(2)/25))/(LN(2)/25)*Calculateur!AQ58*Calculateur!AS58*VLOOKUP('Données projet'!$B$10,Paramètres!$A$1:$I$89,3,0)*0.475*44/12</f>
        <v>11.45606316090487</v>
      </c>
      <c r="AW58" s="21">
        <f>EXP(-LN(2)/2)*AW57+(1-EXP(-LN(2)/2))/(LN(2)/2)*AQ58*AT58*VLOOKUP('Données projet'!$B$10,Paramètres!$A$1:$I$89,3,0)*0.475*44/12</f>
        <v>1.3160570171417445</v>
      </c>
      <c r="AX58" s="21">
        <f t="shared" si="6"/>
        <v>40.487112774541529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-2.8421709430404007E-14</v>
      </c>
      <c r="BE58" s="13">
        <f>BD58*VLOOKUP('Données projet'!$B$11,Paramètres!$A$1:$I$89,3,0)*VLOOKUP('Données projet'!$B$11,Paramètres!$A$1:$I$89,5,0)</f>
        <v>-2.3055690689943732E-14</v>
      </c>
      <c r="BF58" s="13" t="e">
        <f t="shared" si="37"/>
        <v>#NUM!</v>
      </c>
      <c r="BG58" s="20" t="e">
        <f t="shared" si="7"/>
        <v>#NUM!</v>
      </c>
      <c r="BH58" s="59" t="e">
        <f t="shared" si="8"/>
        <v>#NUM!</v>
      </c>
      <c r="BI58" s="59">
        <f ca="1">AVERAGE(OFFSET($BH$3,0,0,'Données projet'!$E$11+1,1))-AVERAGE(OFFSET($H$3,0,0,'Données projet'!$E$11+1,1))</f>
        <v>5.8584049049231908</v>
      </c>
      <c r="BJ58" s="59">
        <f t="shared" si="38"/>
        <v>42.266833200216638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5.7240625558572338E-2</v>
      </c>
      <c r="BS58" s="22">
        <f t="shared" si="9"/>
        <v>5.7240625558572338E-2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>
        <f>BY58*VLOOKUP('Données projet'!$B$12,Paramètres!$A$1:$I$89,3,0)*VLOOKUP('Données projet'!$B$12,Paramètres!$A$1:$I$89,5,0)</f>
        <v>0</v>
      </c>
      <c r="CA58" s="13" t="e">
        <f t="shared" si="39"/>
        <v>#NUM!</v>
      </c>
      <c r="CB58" s="20" t="e">
        <f t="shared" si="10"/>
        <v>#NUM!</v>
      </c>
      <c r="CC58" s="59" t="e">
        <f t="shared" si="11"/>
        <v>#NUM!</v>
      </c>
      <c r="CD58" s="59">
        <f ca="1">AVERAGE(OFFSET($CC$3,0,0,'Données projet'!$E$12+1,1))-AVERAGE(OFFSET($H$3,0,0,'Données projet'!$E$12+1,1))</f>
        <v>0</v>
      </c>
      <c r="CE58" s="59">
        <f t="shared" si="40"/>
        <v>0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0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>
        <f>CT58*VLOOKUP('Données projet'!$B$13,Paramètres!$A$1:$I$89,3,0)*VLOOKUP('Données projet'!$B$13,Paramètres!$A$1:$I$89,5,0)</f>
        <v>0</v>
      </c>
      <c r="CV58" s="13" t="e">
        <f t="shared" si="41"/>
        <v>#NUM!</v>
      </c>
      <c r="CW58" s="20" t="e">
        <f t="shared" si="13"/>
        <v>#NUM!</v>
      </c>
      <c r="CX58" s="59" t="e">
        <f t="shared" si="14"/>
        <v>#NUM!</v>
      </c>
      <c r="CY58" s="59">
        <f ca="1">AVERAGE(OFFSET($CX$3,0,0,'Données projet'!$E$13+1,1))-AVERAGE(OFFSET($H$3,0,0,'Données projet'!$E$13+1,1))</f>
        <v>0</v>
      </c>
      <c r="CZ58" s="59">
        <f t="shared" si="42"/>
        <v>0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0</v>
      </c>
      <c r="DG58" s="21">
        <f>EXP(-LN(2)/25)*DG57+(1-EXP(-LN(2)/25))/(LN(2)/25)*Calculateur!DB58*Calculateur!DD58*VLOOKUP('Données projet'!$B$13,Paramètres!$A$1:$I$89,3,0)*0.475*44/12</f>
        <v>0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0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>
        <f>DO58*VLOOKUP('Données projet'!$B$14,Paramètres!$A$1:$I$89,3,0)*VLOOKUP('Données projet'!$B$14,Paramètres!$A$1:$I$89,5,0)</f>
        <v>0</v>
      </c>
      <c r="DQ58" s="13" t="e">
        <f t="shared" si="43"/>
        <v>#NUM!</v>
      </c>
      <c r="DR58" s="20" t="e">
        <f t="shared" si="16"/>
        <v>#NUM!</v>
      </c>
      <c r="DS58" s="59" t="e">
        <f t="shared" si="17"/>
        <v>#NUM!</v>
      </c>
      <c r="DT58" s="59">
        <f ca="1">AVERAGE(OFFSET($DS$3,0,0,'Données projet'!$E$14+1,1))-AVERAGE(OFFSET($H$3,0,0,'Données projet'!$E$14+1,1))</f>
        <v>0</v>
      </c>
      <c r="DU58" s="59">
        <f t="shared" si="44"/>
        <v>0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0</v>
      </c>
      <c r="EB58" s="21">
        <f>EXP(-LN(2)/25)*EB57+(1-EXP(-LN(2)/25))/(LN(2)/25)*Calculateur!DW58*Calculateur!DY58*VLOOKUP('Données projet'!$B$14,Paramètres!$A$1:$I$89,3,0)*0.475*44/12</f>
        <v>0</v>
      </c>
      <c r="EC58" s="21">
        <f>EXP(-LN(2)/2)*EC57+(1-EXP(-LN(2)/2))/(LN(2)/2)*DW58*DZ58*VLOOKUP('Données projet'!$B$14,Paramètres!$A$1:$I$89,3,0)*0.475*44/12</f>
        <v>0</v>
      </c>
      <c r="ED58" s="22">
        <f t="shared" si="18"/>
        <v>0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>
        <f>EJ58*VLOOKUP('Données projet'!$B$15,Paramètres!$A$1:$I$89,3,0)*VLOOKUP('Données projet'!$B$15,Paramètres!$A$1:$I$89,5,0)</f>
        <v>0</v>
      </c>
      <c r="EL58" s="13" t="e">
        <f t="shared" si="45"/>
        <v>#NUM!</v>
      </c>
      <c r="EM58" s="20" t="e">
        <f t="shared" si="19"/>
        <v>#NUM!</v>
      </c>
      <c r="EN58" s="59" t="e">
        <f t="shared" si="20"/>
        <v>#NUM!</v>
      </c>
      <c r="EO58" s="59">
        <f ca="1">AVERAGE(OFFSET($EN$3,0,0,'Données projet'!$E$15+1,1))-AVERAGE(OFFSET($H$3,0,0,'Données projet'!$E$15+1,1))</f>
        <v>0</v>
      </c>
      <c r="EP58" s="59">
        <f t="shared" si="46"/>
        <v>0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>
        <f>EXP(-LN(2)/35)*EV57+(1-EXP(-LN(2)/35))/(LN(2)/35)*ER58*ES58*VLOOKUP('Données projet'!$B$15,Paramètres!$A$1:$I$89,3,0)*0.475*44/12</f>
        <v>0</v>
      </c>
      <c r="EW58" s="21">
        <f>EXP(-LN(2)/25)*EW57+(1-EXP(-LN(2)/25))/(LN(2)/25)*Calculateur!ER58*Calculateur!ET58*VLOOKUP('Données projet'!$B$15,Paramètres!$A$1:$I$89,3,0)*0.475*44/12</f>
        <v>0</v>
      </c>
      <c r="EX58" s="21">
        <f>EXP(-LN(2)/2)*EX57+(1-EXP(-LN(2)/2))/(LN(2)/2)*ER58*EU58*VLOOKUP('Données projet'!$B$15,Paramètres!$A$1:$I$89,3,0)*0.475*44/12</f>
        <v>0</v>
      </c>
      <c r="EY58" s="22">
        <f t="shared" si="21"/>
        <v>0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>
        <f>FE58*VLOOKUP('Données projet'!$B$16,Paramètres!$A$1:$I$89,3,0)*VLOOKUP('Données projet'!$B$16,Paramètres!$A$1:$I$89,5,0)</f>
        <v>0</v>
      </c>
      <c r="FG58" s="13" t="e">
        <f t="shared" si="47"/>
        <v>#NUM!</v>
      </c>
      <c r="FH58" s="20" t="e">
        <f t="shared" si="22"/>
        <v>#NUM!</v>
      </c>
      <c r="FI58" s="59" t="e">
        <f t="shared" si="23"/>
        <v>#NUM!</v>
      </c>
      <c r="FJ58" s="59">
        <f ca="1">AVERAGE(OFFSET($FI$3,0,0,'Données projet'!$E$16+1,1))-AVERAGE(OFFSET($H$3,0,0,'Données projet'!$E$16+1,1))</f>
        <v>0</v>
      </c>
      <c r="FK58" s="59">
        <f t="shared" si="48"/>
        <v>0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>
        <f>EXP(-LN(2)/35)*FQ57+(1-EXP(-LN(2)/35))/(LN(2)/35)*FM58*FN58*VLOOKUP('Données projet'!$B$16,Paramètres!$A$1:$I$89,3,0)*0.475*44/12</f>
        <v>0</v>
      </c>
      <c r="FR58" s="21">
        <f>EXP(-LN(2)/25)*FR57+(1-EXP(-LN(2)/25))/(LN(2)/25)*Calculateur!FM58*Calculateur!FO58*VLOOKUP('Données projet'!$B$16,Paramètres!$A$1:$I$89,3,0)*0.475*44/12</f>
        <v>0</v>
      </c>
      <c r="FS58" s="21">
        <f>EXP(-LN(2)/2)*FS57+(1-EXP(-LN(2)/2))/(LN(2)/2)*FM58*FP58*VLOOKUP('Données projet'!$B$16,Paramètres!$A$1:$I$89,3,0)*0.475*44/12</f>
        <v>0</v>
      </c>
      <c r="FT58" s="22">
        <f t="shared" si="24"/>
        <v>0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1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2.625</v>
      </c>
      <c r="N59" s="13">
        <f>IF('Données projet'!$A$36&gt;35,N58+M59-V58,IF(A59&lt;'Données projet'!$A$36,$K$205^A59,IF(A59='Données projet'!$A$36,'Données projet'!$B$36,N58+M59-V58)))</f>
        <v>300.25</v>
      </c>
      <c r="O59" s="13">
        <f>N59*VLOOKUP('Données projet'!$B$9,Paramètres!$A$1:$I$89,3,0)*VLOOKUP('Données projet'!$B$9,Paramètres!$A$1:$I$89,5,0)</f>
        <v>179.54950000000002</v>
      </c>
      <c r="P59" s="13">
        <f t="shared" si="33"/>
        <v>45.221943603548368</v>
      </c>
      <c r="Q59" s="20">
        <f t="shared" si="53"/>
        <v>391.47693094284676</v>
      </c>
      <c r="R59" s="59">
        <f t="shared" si="0"/>
        <v>684.81026427618008</v>
      </c>
      <c r="S59" s="59">
        <f ca="1">AVERAGE(OFFSET($R$3,0,0,'Données projet'!$E$9+1,1))-AVERAGE(OFFSET($H$3,0,0,'Données projet'!$E$9+1,1))</f>
        <v>186.90544184210381</v>
      </c>
      <c r="T59" s="59">
        <f t="shared" si="34"/>
        <v>202.05988514450519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27.171518496153958</v>
      </c>
      <c r="AA59" s="21">
        <f>EXP(-LN(2)/25)*AA58+(1-EXP(-LN(2)/25))/(LN(2)/25)*Calculateur!V59*Calculateur!X59*VLOOKUP('Données projet'!$B$9,Paramètres!$A$1:$I$89,3,0)*0.475*44/12</f>
        <v>11.142796511321748</v>
      </c>
      <c r="AB59" s="21">
        <f>EXP(-LN(2)/2)*AB58+(1-EXP(-LN(2)/2))/(LN(2)/2)*V59*Y59*VLOOKUP('Données projet'!$B$9,Paramètres!$A$1:$I$89,3,0)*0.475*44/12</f>
        <v>0.93059284124906805</v>
      </c>
      <c r="AC59" s="22">
        <f t="shared" si="3"/>
        <v>39.244907848724772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2.625</v>
      </c>
      <c r="AI59" s="13">
        <f>IF('Données projet'!$A$62&gt;35,AI58+AH59-AQ58,IF(A59&lt;'Données projet'!$A$62,$AF$205^A59,IF(A59='Données projet'!$A$62,'Données projet'!$B$62,AI58+AH59-AQ58)))</f>
        <v>300.25</v>
      </c>
      <c r="AJ59" s="13">
        <f>AI59*VLOOKUP('Données projet'!$B$10,Paramètres!$A$1:$I$89,3,0)*VLOOKUP('Données projet'!$B$10,Paramètres!$A$1:$I$89,5,0)</f>
        <v>179.54950000000002</v>
      </c>
      <c r="AK59" s="13">
        <f t="shared" si="35"/>
        <v>45.221943603548368</v>
      </c>
      <c r="AL59" s="20">
        <f t="shared" si="4"/>
        <v>391.47693094284676</v>
      </c>
      <c r="AM59" s="59">
        <f t="shared" si="5"/>
        <v>684.81026427618008</v>
      </c>
      <c r="AN59" s="59">
        <f ca="1">AVERAGE(OFFSET($AM$3,0,0,'Données projet'!$E$10+1,1))-AVERAGE(OFFSET($H$3,0,0,'Données projet'!$E$10+1,1))</f>
        <v>186.90544184210381</v>
      </c>
      <c r="AO59" s="59">
        <f t="shared" si="36"/>
        <v>202.05988514450519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27.171518496153958</v>
      </c>
      <c r="AV59" s="21">
        <f>EXP(-LN(2)/25)*AV58+(1-EXP(-LN(2)/25))/(LN(2)/25)*Calculateur!AQ59*Calculateur!AS59*VLOOKUP('Données projet'!$B$10,Paramètres!$A$1:$I$89,3,0)*0.475*44/12</f>
        <v>11.142796511321748</v>
      </c>
      <c r="AW59" s="21">
        <f>EXP(-LN(2)/2)*AW58+(1-EXP(-LN(2)/2))/(LN(2)/2)*AQ59*AT59*VLOOKUP('Données projet'!$B$10,Paramètres!$A$1:$I$89,3,0)*0.475*44/12</f>
        <v>0.93059284124906805</v>
      </c>
      <c r="AX59" s="21">
        <f t="shared" si="6"/>
        <v>39.244907848724772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-2.8421709430404007E-14</v>
      </c>
      <c r="BE59" s="13">
        <f>BD59*VLOOKUP('Données projet'!$B$11,Paramètres!$A$1:$I$89,3,0)*VLOOKUP('Données projet'!$B$11,Paramètres!$A$1:$I$89,5,0)</f>
        <v>-2.3055690689943732E-14</v>
      </c>
      <c r="BF59" s="13" t="e">
        <f t="shared" si="37"/>
        <v>#NUM!</v>
      </c>
      <c r="BG59" s="20" t="e">
        <f t="shared" si="7"/>
        <v>#NUM!</v>
      </c>
      <c r="BH59" s="59" t="e">
        <f t="shared" si="8"/>
        <v>#NUM!</v>
      </c>
      <c r="BI59" s="59">
        <f ca="1">AVERAGE(OFFSET($BH$3,0,0,'Données projet'!$E$11+1,1))-AVERAGE(OFFSET($H$3,0,0,'Données projet'!$E$11+1,1))</f>
        <v>5.8584049049231908</v>
      </c>
      <c r="BJ59" s="59">
        <f t="shared" si="38"/>
        <v>42.266833200216638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4.0475234491826509E-2</v>
      </c>
      <c r="BS59" s="22">
        <f t="shared" si="9"/>
        <v>4.0475234491826509E-2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>
        <f>BY59*VLOOKUP('Données projet'!$B$12,Paramètres!$A$1:$I$89,3,0)*VLOOKUP('Données projet'!$B$12,Paramètres!$A$1:$I$89,5,0)</f>
        <v>0</v>
      </c>
      <c r="CA59" s="13" t="e">
        <f t="shared" si="39"/>
        <v>#NUM!</v>
      </c>
      <c r="CB59" s="20" t="e">
        <f t="shared" si="10"/>
        <v>#NUM!</v>
      </c>
      <c r="CC59" s="59" t="e">
        <f t="shared" si="11"/>
        <v>#NUM!</v>
      </c>
      <c r="CD59" s="59">
        <f ca="1">AVERAGE(OFFSET($CC$3,0,0,'Données projet'!$E$12+1,1))-AVERAGE(OFFSET($H$3,0,0,'Données projet'!$E$12+1,1))</f>
        <v>0</v>
      </c>
      <c r="CE59" s="59">
        <f t="shared" si="40"/>
        <v>0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0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>
        <f>CT59*VLOOKUP('Données projet'!$B$13,Paramètres!$A$1:$I$89,3,0)*VLOOKUP('Données projet'!$B$13,Paramètres!$A$1:$I$89,5,0)</f>
        <v>0</v>
      </c>
      <c r="CV59" s="13" t="e">
        <f t="shared" si="41"/>
        <v>#NUM!</v>
      </c>
      <c r="CW59" s="20" t="e">
        <f t="shared" si="13"/>
        <v>#NUM!</v>
      </c>
      <c r="CX59" s="59" t="e">
        <f t="shared" si="14"/>
        <v>#NUM!</v>
      </c>
      <c r="CY59" s="59">
        <f ca="1">AVERAGE(OFFSET($CX$3,0,0,'Données projet'!$E$13+1,1))-AVERAGE(OFFSET($H$3,0,0,'Données projet'!$E$13+1,1))</f>
        <v>0</v>
      </c>
      <c r="CZ59" s="59">
        <f t="shared" si="42"/>
        <v>0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0</v>
      </c>
      <c r="DG59" s="21">
        <f>EXP(-LN(2)/25)*DG58+(1-EXP(-LN(2)/25))/(LN(2)/25)*Calculateur!DB59*Calculateur!DD59*VLOOKUP('Données projet'!$B$13,Paramètres!$A$1:$I$89,3,0)*0.475*44/12</f>
        <v>0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0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>
        <f>DO59*VLOOKUP('Données projet'!$B$14,Paramètres!$A$1:$I$89,3,0)*VLOOKUP('Données projet'!$B$14,Paramètres!$A$1:$I$89,5,0)</f>
        <v>0</v>
      </c>
      <c r="DQ59" s="13" t="e">
        <f t="shared" si="43"/>
        <v>#NUM!</v>
      </c>
      <c r="DR59" s="20" t="e">
        <f t="shared" si="16"/>
        <v>#NUM!</v>
      </c>
      <c r="DS59" s="59" t="e">
        <f t="shared" si="17"/>
        <v>#NUM!</v>
      </c>
      <c r="DT59" s="59">
        <f ca="1">AVERAGE(OFFSET($DS$3,0,0,'Données projet'!$E$14+1,1))-AVERAGE(OFFSET($H$3,0,0,'Données projet'!$E$14+1,1))</f>
        <v>0</v>
      </c>
      <c r="DU59" s="59">
        <f t="shared" si="44"/>
        <v>0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0</v>
      </c>
      <c r="EB59" s="21">
        <f>EXP(-LN(2)/25)*EB58+(1-EXP(-LN(2)/25))/(LN(2)/25)*Calculateur!DW59*Calculateur!DY59*VLOOKUP('Données projet'!$B$14,Paramètres!$A$1:$I$89,3,0)*0.475*44/12</f>
        <v>0</v>
      </c>
      <c r="EC59" s="21">
        <f>EXP(-LN(2)/2)*EC58+(1-EXP(-LN(2)/2))/(LN(2)/2)*DW59*DZ59*VLOOKUP('Données projet'!$B$14,Paramètres!$A$1:$I$89,3,0)*0.475*44/12</f>
        <v>0</v>
      </c>
      <c r="ED59" s="22">
        <f t="shared" si="18"/>
        <v>0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>
        <f>EJ59*VLOOKUP('Données projet'!$B$15,Paramètres!$A$1:$I$89,3,0)*VLOOKUP('Données projet'!$B$15,Paramètres!$A$1:$I$89,5,0)</f>
        <v>0</v>
      </c>
      <c r="EL59" s="13" t="e">
        <f t="shared" si="45"/>
        <v>#NUM!</v>
      </c>
      <c r="EM59" s="20" t="e">
        <f t="shared" si="19"/>
        <v>#NUM!</v>
      </c>
      <c r="EN59" s="59" t="e">
        <f t="shared" si="20"/>
        <v>#NUM!</v>
      </c>
      <c r="EO59" s="59">
        <f ca="1">AVERAGE(OFFSET($EN$3,0,0,'Données projet'!$E$15+1,1))-AVERAGE(OFFSET($H$3,0,0,'Données projet'!$E$15+1,1))</f>
        <v>0</v>
      </c>
      <c r="EP59" s="59">
        <f t="shared" si="46"/>
        <v>0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>
        <f>EXP(-LN(2)/35)*EV58+(1-EXP(-LN(2)/35))/(LN(2)/35)*ER59*ES59*VLOOKUP('Données projet'!$B$15,Paramètres!$A$1:$I$89,3,0)*0.475*44/12</f>
        <v>0</v>
      </c>
      <c r="EW59" s="21">
        <f>EXP(-LN(2)/25)*EW58+(1-EXP(-LN(2)/25))/(LN(2)/25)*Calculateur!ER59*Calculateur!ET59*VLOOKUP('Données projet'!$B$15,Paramètres!$A$1:$I$89,3,0)*0.475*44/12</f>
        <v>0</v>
      </c>
      <c r="EX59" s="21">
        <f>EXP(-LN(2)/2)*EX58+(1-EXP(-LN(2)/2))/(LN(2)/2)*ER59*EU59*VLOOKUP('Données projet'!$B$15,Paramètres!$A$1:$I$89,3,0)*0.475*44/12</f>
        <v>0</v>
      </c>
      <c r="EY59" s="22">
        <f t="shared" si="21"/>
        <v>0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>
        <f>FE59*VLOOKUP('Données projet'!$B$16,Paramètres!$A$1:$I$89,3,0)*VLOOKUP('Données projet'!$B$16,Paramètres!$A$1:$I$89,5,0)</f>
        <v>0</v>
      </c>
      <c r="FG59" s="13" t="e">
        <f t="shared" si="47"/>
        <v>#NUM!</v>
      </c>
      <c r="FH59" s="20" t="e">
        <f t="shared" si="22"/>
        <v>#NUM!</v>
      </c>
      <c r="FI59" s="59" t="e">
        <f t="shared" si="23"/>
        <v>#NUM!</v>
      </c>
      <c r="FJ59" s="59">
        <f ca="1">AVERAGE(OFFSET($FI$3,0,0,'Données projet'!$E$16+1,1))-AVERAGE(OFFSET($H$3,0,0,'Données projet'!$E$16+1,1))</f>
        <v>0</v>
      </c>
      <c r="FK59" s="59">
        <f t="shared" si="48"/>
        <v>0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>
        <f>EXP(-LN(2)/35)*FQ58+(1-EXP(-LN(2)/35))/(LN(2)/35)*FM59*FN59*VLOOKUP('Données projet'!$B$16,Paramètres!$A$1:$I$89,3,0)*0.475*44/12</f>
        <v>0</v>
      </c>
      <c r="FR59" s="21">
        <f>EXP(-LN(2)/25)*FR58+(1-EXP(-LN(2)/25))/(LN(2)/25)*Calculateur!FM59*Calculateur!FO59*VLOOKUP('Données projet'!$B$16,Paramètres!$A$1:$I$89,3,0)*0.475*44/12</f>
        <v>0</v>
      </c>
      <c r="FS59" s="21">
        <f>EXP(-LN(2)/2)*FS58+(1-EXP(-LN(2)/2))/(LN(2)/2)*FM59*FP59*VLOOKUP('Données projet'!$B$16,Paramètres!$A$1:$I$89,3,0)*0.475*44/12</f>
        <v>0</v>
      </c>
      <c r="FT59" s="22">
        <f t="shared" si="24"/>
        <v>0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1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2.625</v>
      </c>
      <c r="N60" s="13">
        <f>IF('Données projet'!$A$36&gt;35,N59+M60-V59,IF(A60&lt;'Données projet'!$A$36,$K$205^A60,IF(A60='Données projet'!$A$36,'Données projet'!$B$36,N59+M60-V59)))</f>
        <v>302.875</v>
      </c>
      <c r="O60" s="13">
        <f>N60*VLOOKUP('Données projet'!$B$9,Paramètres!$A$1:$I$89,3,0)*VLOOKUP('Données projet'!$B$9,Paramètres!$A$1:$I$89,5,0)</f>
        <v>181.11925000000002</v>
      </c>
      <c r="P60" s="13">
        <f t="shared" si="33"/>
        <v>45.571108763102352</v>
      </c>
      <c r="Q60" s="20">
        <f t="shared" si="53"/>
        <v>394.81904151240332</v>
      </c>
      <c r="R60" s="59">
        <f t="shared" si="0"/>
        <v>688.15237484573663</v>
      </c>
      <c r="S60" s="59">
        <f ca="1">AVERAGE(OFFSET($R$3,0,0,'Données projet'!$E$9+1,1))-AVERAGE(OFFSET($H$3,0,0,'Données projet'!$E$9+1,1))</f>
        <v>186.90544184210381</v>
      </c>
      <c r="T60" s="59">
        <f t="shared" si="34"/>
        <v>202.05988514450519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26.638701591434213</v>
      </c>
      <c r="AA60" s="21">
        <f>EXP(-LN(2)/25)*AA59+(1-EXP(-LN(2)/25))/(LN(2)/25)*Calculateur!V60*Calculateur!X60*VLOOKUP('Données projet'!$B$9,Paramètres!$A$1:$I$89,3,0)*0.475*44/12</f>
        <v>10.838096154745454</v>
      </c>
      <c r="AB60" s="21">
        <f>EXP(-LN(2)/2)*AB59+(1-EXP(-LN(2)/2))/(LN(2)/2)*V60*Y60*VLOOKUP('Données projet'!$B$9,Paramètres!$A$1:$I$89,3,0)*0.475*44/12</f>
        <v>0.65802850857087236</v>
      </c>
      <c r="AC60" s="22">
        <f t="shared" si="3"/>
        <v>38.134826254750543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2.625</v>
      </c>
      <c r="AI60" s="13">
        <f>IF('Données projet'!$A$62&gt;35,AI59+AH60-AQ59,IF(A60&lt;'Données projet'!$A$62,$AF$205^A60,IF(A60='Données projet'!$A$62,'Données projet'!$B$62,AI59+AH60-AQ59)))</f>
        <v>302.875</v>
      </c>
      <c r="AJ60" s="13">
        <f>AI60*VLOOKUP('Données projet'!$B$10,Paramètres!$A$1:$I$89,3,0)*VLOOKUP('Données projet'!$B$10,Paramètres!$A$1:$I$89,5,0)</f>
        <v>181.11925000000002</v>
      </c>
      <c r="AK60" s="13">
        <f t="shared" si="35"/>
        <v>45.571108763102352</v>
      </c>
      <c r="AL60" s="20">
        <f t="shared" si="4"/>
        <v>394.81904151240332</v>
      </c>
      <c r="AM60" s="59">
        <f t="shared" si="5"/>
        <v>688.15237484573663</v>
      </c>
      <c r="AN60" s="59">
        <f ca="1">AVERAGE(OFFSET($AM$3,0,0,'Données projet'!$E$10+1,1))-AVERAGE(OFFSET($H$3,0,0,'Données projet'!$E$10+1,1))</f>
        <v>186.90544184210381</v>
      </c>
      <c r="AO60" s="59">
        <f t="shared" si="36"/>
        <v>202.05988514450519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26.638701591434213</v>
      </c>
      <c r="AV60" s="21">
        <f>EXP(-LN(2)/25)*AV59+(1-EXP(-LN(2)/25))/(LN(2)/25)*Calculateur!AQ60*Calculateur!AS60*VLOOKUP('Données projet'!$B$10,Paramètres!$A$1:$I$89,3,0)*0.475*44/12</f>
        <v>10.838096154745454</v>
      </c>
      <c r="AW60" s="21">
        <f>EXP(-LN(2)/2)*AW59+(1-EXP(-LN(2)/2))/(LN(2)/2)*AQ60*AT60*VLOOKUP('Données projet'!$B$10,Paramètres!$A$1:$I$89,3,0)*0.475*44/12</f>
        <v>0.65802850857087236</v>
      </c>
      <c r="AX60" s="21">
        <f t="shared" si="6"/>
        <v>38.134826254750543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-2.8421709430404007E-14</v>
      </c>
      <c r="BE60" s="13">
        <f>BD60*VLOOKUP('Données projet'!$B$11,Paramètres!$A$1:$I$89,3,0)*VLOOKUP('Données projet'!$B$11,Paramètres!$A$1:$I$89,5,0)</f>
        <v>-2.3055690689943732E-14</v>
      </c>
      <c r="BF60" s="13" t="e">
        <f t="shared" si="37"/>
        <v>#NUM!</v>
      </c>
      <c r="BG60" s="20" t="e">
        <f t="shared" si="7"/>
        <v>#NUM!</v>
      </c>
      <c r="BH60" s="59" t="e">
        <f t="shared" si="8"/>
        <v>#NUM!</v>
      </c>
      <c r="BI60" s="59">
        <f ca="1">AVERAGE(OFFSET($BH$3,0,0,'Données projet'!$E$11+1,1))-AVERAGE(OFFSET($H$3,0,0,'Données projet'!$E$11+1,1))</f>
        <v>5.8584049049231908</v>
      </c>
      <c r="BJ60" s="59">
        <f t="shared" si="38"/>
        <v>42.266833200216638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2.8620312779286169E-2</v>
      </c>
      <c r="BS60" s="22">
        <f t="shared" si="9"/>
        <v>2.8620312779286169E-2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>
        <f>BY60*VLOOKUP('Données projet'!$B$12,Paramètres!$A$1:$I$89,3,0)*VLOOKUP('Données projet'!$B$12,Paramètres!$A$1:$I$89,5,0)</f>
        <v>0</v>
      </c>
      <c r="CA60" s="13" t="e">
        <f t="shared" si="39"/>
        <v>#NUM!</v>
      </c>
      <c r="CB60" s="20" t="e">
        <f t="shared" si="10"/>
        <v>#NUM!</v>
      </c>
      <c r="CC60" s="59" t="e">
        <f t="shared" si="11"/>
        <v>#NUM!</v>
      </c>
      <c r="CD60" s="59">
        <f ca="1">AVERAGE(OFFSET($CC$3,0,0,'Données projet'!$E$12+1,1))-AVERAGE(OFFSET($H$3,0,0,'Données projet'!$E$12+1,1))</f>
        <v>0</v>
      </c>
      <c r="CE60" s="59">
        <f t="shared" si="40"/>
        <v>0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0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>
        <f>CT60*VLOOKUP('Données projet'!$B$13,Paramètres!$A$1:$I$89,3,0)*VLOOKUP('Données projet'!$B$13,Paramètres!$A$1:$I$89,5,0)</f>
        <v>0</v>
      </c>
      <c r="CV60" s="13" t="e">
        <f t="shared" si="41"/>
        <v>#NUM!</v>
      </c>
      <c r="CW60" s="20" t="e">
        <f t="shared" si="13"/>
        <v>#NUM!</v>
      </c>
      <c r="CX60" s="59" t="e">
        <f t="shared" si="14"/>
        <v>#NUM!</v>
      </c>
      <c r="CY60" s="59">
        <f ca="1">AVERAGE(OFFSET($CX$3,0,0,'Données projet'!$E$13+1,1))-AVERAGE(OFFSET($H$3,0,0,'Données projet'!$E$13+1,1))</f>
        <v>0</v>
      </c>
      <c r="CZ60" s="59">
        <f t="shared" si="42"/>
        <v>0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0</v>
      </c>
      <c r="DG60" s="21">
        <f>EXP(-LN(2)/25)*DG59+(1-EXP(-LN(2)/25))/(LN(2)/25)*Calculateur!DB60*Calculateur!DD60*VLOOKUP('Données projet'!$B$13,Paramètres!$A$1:$I$89,3,0)*0.475*44/12</f>
        <v>0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0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>
        <f>DO60*VLOOKUP('Données projet'!$B$14,Paramètres!$A$1:$I$89,3,0)*VLOOKUP('Données projet'!$B$14,Paramètres!$A$1:$I$89,5,0)</f>
        <v>0</v>
      </c>
      <c r="DQ60" s="13" t="e">
        <f t="shared" si="43"/>
        <v>#NUM!</v>
      </c>
      <c r="DR60" s="20" t="e">
        <f t="shared" si="16"/>
        <v>#NUM!</v>
      </c>
      <c r="DS60" s="59" t="e">
        <f t="shared" si="17"/>
        <v>#NUM!</v>
      </c>
      <c r="DT60" s="59">
        <f ca="1">AVERAGE(OFFSET($DS$3,0,0,'Données projet'!$E$14+1,1))-AVERAGE(OFFSET($H$3,0,0,'Données projet'!$E$14+1,1))</f>
        <v>0</v>
      </c>
      <c r="DU60" s="59">
        <f t="shared" si="44"/>
        <v>0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0</v>
      </c>
      <c r="EB60" s="21">
        <f>EXP(-LN(2)/25)*EB59+(1-EXP(-LN(2)/25))/(LN(2)/25)*Calculateur!DW60*Calculateur!DY60*VLOOKUP('Données projet'!$B$14,Paramètres!$A$1:$I$89,3,0)*0.475*44/12</f>
        <v>0</v>
      </c>
      <c r="EC60" s="21">
        <f>EXP(-LN(2)/2)*EC59+(1-EXP(-LN(2)/2))/(LN(2)/2)*DW60*DZ60*VLOOKUP('Données projet'!$B$14,Paramètres!$A$1:$I$89,3,0)*0.475*44/12</f>
        <v>0</v>
      </c>
      <c r="ED60" s="22">
        <f t="shared" si="18"/>
        <v>0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>
        <f>EJ60*VLOOKUP('Données projet'!$B$15,Paramètres!$A$1:$I$89,3,0)*VLOOKUP('Données projet'!$B$15,Paramètres!$A$1:$I$89,5,0)</f>
        <v>0</v>
      </c>
      <c r="EL60" s="13" t="e">
        <f t="shared" si="45"/>
        <v>#NUM!</v>
      </c>
      <c r="EM60" s="20" t="e">
        <f t="shared" si="19"/>
        <v>#NUM!</v>
      </c>
      <c r="EN60" s="59" t="e">
        <f t="shared" si="20"/>
        <v>#NUM!</v>
      </c>
      <c r="EO60" s="59">
        <f ca="1">AVERAGE(OFFSET($EN$3,0,0,'Données projet'!$E$15+1,1))-AVERAGE(OFFSET($H$3,0,0,'Données projet'!$E$15+1,1))</f>
        <v>0</v>
      </c>
      <c r="EP60" s="59">
        <f t="shared" si="46"/>
        <v>0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>
        <f>EXP(-LN(2)/35)*EV59+(1-EXP(-LN(2)/35))/(LN(2)/35)*ER60*ES60*VLOOKUP('Données projet'!$B$15,Paramètres!$A$1:$I$89,3,0)*0.475*44/12</f>
        <v>0</v>
      </c>
      <c r="EW60" s="21">
        <f>EXP(-LN(2)/25)*EW59+(1-EXP(-LN(2)/25))/(LN(2)/25)*Calculateur!ER60*Calculateur!ET60*VLOOKUP('Données projet'!$B$15,Paramètres!$A$1:$I$89,3,0)*0.475*44/12</f>
        <v>0</v>
      </c>
      <c r="EX60" s="21">
        <f>EXP(-LN(2)/2)*EX59+(1-EXP(-LN(2)/2))/(LN(2)/2)*ER60*EU60*VLOOKUP('Données projet'!$B$15,Paramètres!$A$1:$I$89,3,0)*0.475*44/12</f>
        <v>0</v>
      </c>
      <c r="EY60" s="22">
        <f t="shared" si="21"/>
        <v>0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>
        <f>FE60*VLOOKUP('Données projet'!$B$16,Paramètres!$A$1:$I$89,3,0)*VLOOKUP('Données projet'!$B$16,Paramètres!$A$1:$I$89,5,0)</f>
        <v>0</v>
      </c>
      <c r="FG60" s="13" t="e">
        <f t="shared" si="47"/>
        <v>#NUM!</v>
      </c>
      <c r="FH60" s="20" t="e">
        <f t="shared" si="22"/>
        <v>#NUM!</v>
      </c>
      <c r="FI60" s="59" t="e">
        <f t="shared" si="23"/>
        <v>#NUM!</v>
      </c>
      <c r="FJ60" s="59">
        <f ca="1">AVERAGE(OFFSET($FI$3,0,0,'Données projet'!$E$16+1,1))-AVERAGE(OFFSET($H$3,0,0,'Données projet'!$E$16+1,1))</f>
        <v>0</v>
      </c>
      <c r="FK60" s="59">
        <f t="shared" si="48"/>
        <v>0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>
        <f>EXP(-LN(2)/35)*FQ59+(1-EXP(-LN(2)/35))/(LN(2)/35)*FM60*FN60*VLOOKUP('Données projet'!$B$16,Paramètres!$A$1:$I$89,3,0)*0.475*44/12</f>
        <v>0</v>
      </c>
      <c r="FR60" s="21">
        <f>EXP(-LN(2)/25)*FR59+(1-EXP(-LN(2)/25))/(LN(2)/25)*Calculateur!FM60*Calculateur!FO60*VLOOKUP('Données projet'!$B$16,Paramètres!$A$1:$I$89,3,0)*0.475*44/12</f>
        <v>0</v>
      </c>
      <c r="FS60" s="21">
        <f>EXP(-LN(2)/2)*FS59+(1-EXP(-LN(2)/2))/(LN(2)/2)*FM60*FP60*VLOOKUP('Données projet'!$B$16,Paramètres!$A$1:$I$89,3,0)*0.475*44/12</f>
        <v>0</v>
      </c>
      <c r="FT60" s="22">
        <f t="shared" si="24"/>
        <v>0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1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2.625</v>
      </c>
      <c r="N61" s="13">
        <f>IF('Données projet'!$A$36&gt;35,N60+M61-V60,IF(A61&lt;'Données projet'!$A$36,$K$205^A61,IF(A61='Données projet'!$A$36,'Données projet'!$B$36,N60+M61-V60)))</f>
        <v>305.5</v>
      </c>
      <c r="O61" s="13">
        <f>N61*VLOOKUP('Données projet'!$B$9,Paramètres!$A$1:$I$89,3,0)*VLOOKUP('Données projet'!$B$9,Paramètres!$A$1:$I$89,5,0)</f>
        <v>182.68900000000002</v>
      </c>
      <c r="P61" s="13">
        <f t="shared" si="33"/>
        <v>45.919921846619154</v>
      </c>
      <c r="Q61" s="20">
        <f t="shared" si="53"/>
        <v>398.16053888286166</v>
      </c>
      <c r="R61" s="59">
        <f t="shared" si="0"/>
        <v>691.49387221619497</v>
      </c>
      <c r="S61" s="59">
        <f ca="1">AVERAGE(OFFSET($R$3,0,0,'Données projet'!$E$9+1,1))-AVERAGE(OFFSET($H$3,0,0,'Données projet'!$E$9+1,1))</f>
        <v>186.90544184210381</v>
      </c>
      <c r="T61" s="59">
        <f t="shared" si="34"/>
        <v>202.05988514450519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26.1163329012298</v>
      </c>
      <c r="AA61" s="21">
        <f>EXP(-LN(2)/25)*AA60+(1-EXP(-LN(2)/25))/(LN(2)/25)*Calculateur!V61*Calculateur!X61*VLOOKUP('Données projet'!$B$9,Paramètres!$A$1:$I$89,3,0)*0.475*44/12</f>
        <v>10.541727845443233</v>
      </c>
      <c r="AB61" s="21">
        <f>EXP(-LN(2)/2)*AB60+(1-EXP(-LN(2)/2))/(LN(2)/2)*V61*Y61*VLOOKUP('Données projet'!$B$9,Paramètres!$A$1:$I$89,3,0)*0.475*44/12</f>
        <v>0.46529642062453408</v>
      </c>
      <c r="AC61" s="22">
        <f t="shared" si="3"/>
        <v>37.123357167297563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2.625</v>
      </c>
      <c r="AI61" s="13">
        <f>IF('Données projet'!$A$62&gt;35,AI60+AH61-AQ60,IF(A61&lt;'Données projet'!$A$62,$AF$205^A61,IF(A61='Données projet'!$A$62,'Données projet'!$B$62,AI60+AH61-AQ60)))</f>
        <v>305.5</v>
      </c>
      <c r="AJ61" s="13">
        <f>AI61*VLOOKUP('Données projet'!$B$10,Paramètres!$A$1:$I$89,3,0)*VLOOKUP('Données projet'!$B$10,Paramètres!$A$1:$I$89,5,0)</f>
        <v>182.68900000000002</v>
      </c>
      <c r="AK61" s="13">
        <f t="shared" si="35"/>
        <v>45.919921846619154</v>
      </c>
      <c r="AL61" s="20">
        <f t="shared" si="4"/>
        <v>398.16053888286166</v>
      </c>
      <c r="AM61" s="59">
        <f t="shared" si="5"/>
        <v>691.49387221619497</v>
      </c>
      <c r="AN61" s="59">
        <f ca="1">AVERAGE(OFFSET($AM$3,0,0,'Données projet'!$E$10+1,1))-AVERAGE(OFFSET($H$3,0,0,'Données projet'!$E$10+1,1))</f>
        <v>186.90544184210381</v>
      </c>
      <c r="AO61" s="59">
        <f t="shared" si="36"/>
        <v>202.05988514450519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26.1163329012298</v>
      </c>
      <c r="AV61" s="21">
        <f>EXP(-LN(2)/25)*AV60+(1-EXP(-LN(2)/25))/(LN(2)/25)*Calculateur!AQ61*Calculateur!AS61*VLOOKUP('Données projet'!$B$10,Paramètres!$A$1:$I$89,3,0)*0.475*44/12</f>
        <v>10.541727845443233</v>
      </c>
      <c r="AW61" s="21">
        <f>EXP(-LN(2)/2)*AW60+(1-EXP(-LN(2)/2))/(LN(2)/2)*AQ61*AT61*VLOOKUP('Données projet'!$B$10,Paramètres!$A$1:$I$89,3,0)*0.475*44/12</f>
        <v>0.46529642062453408</v>
      </c>
      <c r="AX61" s="21">
        <f t="shared" si="6"/>
        <v>37.123357167297563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-2.8421709430404007E-14</v>
      </c>
      <c r="BE61" s="13">
        <f>BD61*VLOOKUP('Données projet'!$B$11,Paramètres!$A$1:$I$89,3,0)*VLOOKUP('Données projet'!$B$11,Paramètres!$A$1:$I$89,5,0)</f>
        <v>-2.3055690689943732E-14</v>
      </c>
      <c r="BF61" s="13" t="e">
        <f t="shared" si="37"/>
        <v>#NUM!</v>
      </c>
      <c r="BG61" s="20" t="e">
        <f t="shared" si="7"/>
        <v>#NUM!</v>
      </c>
      <c r="BH61" s="59" t="e">
        <f t="shared" si="8"/>
        <v>#NUM!</v>
      </c>
      <c r="BI61" s="59">
        <f ca="1">AVERAGE(OFFSET($BH$3,0,0,'Données projet'!$E$11+1,1))-AVERAGE(OFFSET($H$3,0,0,'Données projet'!$E$11+1,1))</f>
        <v>5.8584049049231908</v>
      </c>
      <c r="BJ61" s="59">
        <f t="shared" si="38"/>
        <v>42.266833200216638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2.0237617245913254E-2</v>
      </c>
      <c r="BS61" s="22">
        <f t="shared" si="9"/>
        <v>2.0237617245913254E-2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>
        <f>BY61*VLOOKUP('Données projet'!$B$12,Paramètres!$A$1:$I$89,3,0)*VLOOKUP('Données projet'!$B$12,Paramètres!$A$1:$I$89,5,0)</f>
        <v>0</v>
      </c>
      <c r="CA61" s="13" t="e">
        <f t="shared" si="39"/>
        <v>#NUM!</v>
      </c>
      <c r="CB61" s="20" t="e">
        <f t="shared" si="10"/>
        <v>#NUM!</v>
      </c>
      <c r="CC61" s="59" t="e">
        <f t="shared" si="11"/>
        <v>#NUM!</v>
      </c>
      <c r="CD61" s="59">
        <f ca="1">AVERAGE(OFFSET($CC$3,0,0,'Données projet'!$E$12+1,1))-AVERAGE(OFFSET($H$3,0,0,'Données projet'!$E$12+1,1))</f>
        <v>0</v>
      </c>
      <c r="CE61" s="59">
        <f t="shared" si="40"/>
        <v>0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0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>
        <f>CT61*VLOOKUP('Données projet'!$B$13,Paramètres!$A$1:$I$89,3,0)*VLOOKUP('Données projet'!$B$13,Paramètres!$A$1:$I$89,5,0)</f>
        <v>0</v>
      </c>
      <c r="CV61" s="13" t="e">
        <f t="shared" si="41"/>
        <v>#NUM!</v>
      </c>
      <c r="CW61" s="20" t="e">
        <f t="shared" si="13"/>
        <v>#NUM!</v>
      </c>
      <c r="CX61" s="59" t="e">
        <f t="shared" si="14"/>
        <v>#NUM!</v>
      </c>
      <c r="CY61" s="59">
        <f ca="1">AVERAGE(OFFSET($CX$3,0,0,'Données projet'!$E$13+1,1))-AVERAGE(OFFSET($H$3,0,0,'Données projet'!$E$13+1,1))</f>
        <v>0</v>
      </c>
      <c r="CZ61" s="59">
        <f t="shared" si="42"/>
        <v>0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0</v>
      </c>
      <c r="DG61" s="21">
        <f>EXP(-LN(2)/25)*DG60+(1-EXP(-LN(2)/25))/(LN(2)/25)*Calculateur!DB61*Calculateur!DD61*VLOOKUP('Données projet'!$B$13,Paramètres!$A$1:$I$89,3,0)*0.475*44/12</f>
        <v>0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0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>
        <f>DO61*VLOOKUP('Données projet'!$B$14,Paramètres!$A$1:$I$89,3,0)*VLOOKUP('Données projet'!$B$14,Paramètres!$A$1:$I$89,5,0)</f>
        <v>0</v>
      </c>
      <c r="DQ61" s="13" t="e">
        <f t="shared" si="43"/>
        <v>#NUM!</v>
      </c>
      <c r="DR61" s="20" t="e">
        <f t="shared" si="16"/>
        <v>#NUM!</v>
      </c>
      <c r="DS61" s="59" t="e">
        <f t="shared" si="17"/>
        <v>#NUM!</v>
      </c>
      <c r="DT61" s="59">
        <f ca="1">AVERAGE(OFFSET($DS$3,0,0,'Données projet'!$E$14+1,1))-AVERAGE(OFFSET($H$3,0,0,'Données projet'!$E$14+1,1))</f>
        <v>0</v>
      </c>
      <c r="DU61" s="59">
        <f t="shared" si="44"/>
        <v>0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0</v>
      </c>
      <c r="EB61" s="21">
        <f>EXP(-LN(2)/25)*EB60+(1-EXP(-LN(2)/25))/(LN(2)/25)*Calculateur!DW61*Calculateur!DY61*VLOOKUP('Données projet'!$B$14,Paramètres!$A$1:$I$89,3,0)*0.475*44/12</f>
        <v>0</v>
      </c>
      <c r="EC61" s="21">
        <f>EXP(-LN(2)/2)*EC60+(1-EXP(-LN(2)/2))/(LN(2)/2)*DW61*DZ61*VLOOKUP('Données projet'!$B$14,Paramètres!$A$1:$I$89,3,0)*0.475*44/12</f>
        <v>0</v>
      </c>
      <c r="ED61" s="22">
        <f t="shared" si="18"/>
        <v>0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>
        <f>EJ61*VLOOKUP('Données projet'!$B$15,Paramètres!$A$1:$I$89,3,0)*VLOOKUP('Données projet'!$B$15,Paramètres!$A$1:$I$89,5,0)</f>
        <v>0</v>
      </c>
      <c r="EL61" s="13" t="e">
        <f t="shared" si="45"/>
        <v>#NUM!</v>
      </c>
      <c r="EM61" s="20" t="e">
        <f t="shared" si="19"/>
        <v>#NUM!</v>
      </c>
      <c r="EN61" s="59" t="e">
        <f t="shared" si="20"/>
        <v>#NUM!</v>
      </c>
      <c r="EO61" s="59">
        <f ca="1">AVERAGE(OFFSET($EN$3,0,0,'Données projet'!$E$15+1,1))-AVERAGE(OFFSET($H$3,0,0,'Données projet'!$E$15+1,1))</f>
        <v>0</v>
      </c>
      <c r="EP61" s="59">
        <f t="shared" si="46"/>
        <v>0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>
        <f>EXP(-LN(2)/35)*EV60+(1-EXP(-LN(2)/35))/(LN(2)/35)*ER61*ES61*VLOOKUP('Données projet'!$B$15,Paramètres!$A$1:$I$89,3,0)*0.475*44/12</f>
        <v>0</v>
      </c>
      <c r="EW61" s="21">
        <f>EXP(-LN(2)/25)*EW60+(1-EXP(-LN(2)/25))/(LN(2)/25)*Calculateur!ER61*Calculateur!ET61*VLOOKUP('Données projet'!$B$15,Paramètres!$A$1:$I$89,3,0)*0.475*44/12</f>
        <v>0</v>
      </c>
      <c r="EX61" s="21">
        <f>EXP(-LN(2)/2)*EX60+(1-EXP(-LN(2)/2))/(LN(2)/2)*ER61*EU61*VLOOKUP('Données projet'!$B$15,Paramètres!$A$1:$I$89,3,0)*0.475*44/12</f>
        <v>0</v>
      </c>
      <c r="EY61" s="22">
        <f t="shared" si="21"/>
        <v>0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>
        <f>FE61*VLOOKUP('Données projet'!$B$16,Paramètres!$A$1:$I$89,3,0)*VLOOKUP('Données projet'!$B$16,Paramètres!$A$1:$I$89,5,0)</f>
        <v>0</v>
      </c>
      <c r="FG61" s="13" t="e">
        <f t="shared" si="47"/>
        <v>#NUM!</v>
      </c>
      <c r="FH61" s="20" t="e">
        <f t="shared" si="22"/>
        <v>#NUM!</v>
      </c>
      <c r="FI61" s="59" t="e">
        <f t="shared" si="23"/>
        <v>#NUM!</v>
      </c>
      <c r="FJ61" s="59">
        <f ca="1">AVERAGE(OFFSET($FI$3,0,0,'Données projet'!$E$16+1,1))-AVERAGE(OFFSET($H$3,0,0,'Données projet'!$E$16+1,1))</f>
        <v>0</v>
      </c>
      <c r="FK61" s="59">
        <f t="shared" si="48"/>
        <v>0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>
        <f>EXP(-LN(2)/35)*FQ60+(1-EXP(-LN(2)/35))/(LN(2)/35)*FM61*FN61*VLOOKUP('Données projet'!$B$16,Paramètres!$A$1:$I$89,3,0)*0.475*44/12</f>
        <v>0</v>
      </c>
      <c r="FR61" s="21">
        <f>EXP(-LN(2)/25)*FR60+(1-EXP(-LN(2)/25))/(LN(2)/25)*Calculateur!FM61*Calculateur!FO61*VLOOKUP('Données projet'!$B$16,Paramètres!$A$1:$I$89,3,0)*0.475*44/12</f>
        <v>0</v>
      </c>
      <c r="FS61" s="21">
        <f>EXP(-LN(2)/2)*FS60+(1-EXP(-LN(2)/2))/(LN(2)/2)*FM61*FP61*VLOOKUP('Données projet'!$B$16,Paramètres!$A$1:$I$89,3,0)*0.475*44/12</f>
        <v>0</v>
      </c>
      <c r="FT61" s="22">
        <f t="shared" si="24"/>
        <v>0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1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2.625</v>
      </c>
      <c r="N62" s="13">
        <f>IF('Données projet'!$A$36&gt;35,N61+M62-V61,IF(A62&lt;'Données projet'!$A$36,$K$205^A62,IF(A62='Données projet'!$A$36,'Données projet'!$B$36,N61+M62-V61)))</f>
        <v>308.125</v>
      </c>
      <c r="O62" s="13">
        <f>N62*VLOOKUP('Données projet'!$B$9,Paramètres!$A$1:$I$89,3,0)*VLOOKUP('Données projet'!$B$9,Paramètres!$A$1:$I$89,5,0)</f>
        <v>184.25875000000002</v>
      </c>
      <c r="P62" s="13">
        <f t="shared" si="33"/>
        <v>46.26838622983076</v>
      </c>
      <c r="Q62" s="20">
        <f t="shared" si="53"/>
        <v>401.50142893362187</v>
      </c>
      <c r="R62" s="59">
        <f t="shared" si="0"/>
        <v>694.83476226695518</v>
      </c>
      <c r="S62" s="59">
        <f ca="1">AVERAGE(OFFSET($R$3,0,0,'Données projet'!$E$9+1,1))-AVERAGE(OFFSET($H$3,0,0,'Données projet'!$E$9+1,1))</f>
        <v>186.90544184210381</v>
      </c>
      <c r="T62" s="59">
        <f t="shared" si="34"/>
        <v>202.05988514450519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25.604207542426856</v>
      </c>
      <c r="AA62" s="21">
        <f>EXP(-LN(2)/25)*AA61+(1-EXP(-LN(2)/25))/(LN(2)/25)*Calculateur!V62*Calculateur!X62*VLOOKUP('Données projet'!$B$9,Paramètres!$A$1:$I$89,3,0)*0.475*44/12</f>
        <v>10.253463743144215</v>
      </c>
      <c r="AB62" s="21">
        <f>EXP(-LN(2)/2)*AB61+(1-EXP(-LN(2)/2))/(LN(2)/2)*V62*Y62*VLOOKUP('Données projet'!$B$9,Paramètres!$A$1:$I$89,3,0)*0.475*44/12</f>
        <v>0.32901425428543624</v>
      </c>
      <c r="AC62" s="22">
        <f t="shared" si="3"/>
        <v>36.186685539856512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2.625</v>
      </c>
      <c r="AI62" s="13">
        <f>IF('Données projet'!$A$62&gt;35,AI61+AH62-AQ61,IF(A62&lt;'Données projet'!$A$62,$AF$205^A62,IF(A62='Données projet'!$A$62,'Données projet'!$B$62,AI61+AH62-AQ61)))</f>
        <v>308.125</v>
      </c>
      <c r="AJ62" s="13">
        <f>AI62*VLOOKUP('Données projet'!$B$10,Paramètres!$A$1:$I$89,3,0)*VLOOKUP('Données projet'!$B$10,Paramètres!$A$1:$I$89,5,0)</f>
        <v>184.25875000000002</v>
      </c>
      <c r="AK62" s="13">
        <f t="shared" si="35"/>
        <v>46.26838622983076</v>
      </c>
      <c r="AL62" s="20">
        <f t="shared" si="4"/>
        <v>401.50142893362187</v>
      </c>
      <c r="AM62" s="59">
        <f t="shared" si="5"/>
        <v>694.83476226695518</v>
      </c>
      <c r="AN62" s="59">
        <f ca="1">AVERAGE(OFFSET($AM$3,0,0,'Données projet'!$E$10+1,1))-AVERAGE(OFFSET($H$3,0,0,'Données projet'!$E$10+1,1))</f>
        <v>186.90544184210381</v>
      </c>
      <c r="AO62" s="59">
        <f t="shared" si="36"/>
        <v>202.05988514450519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25.604207542426856</v>
      </c>
      <c r="AV62" s="21">
        <f>EXP(-LN(2)/25)*AV61+(1-EXP(-LN(2)/25))/(LN(2)/25)*Calculateur!AQ62*Calculateur!AS62*VLOOKUP('Données projet'!$B$10,Paramètres!$A$1:$I$89,3,0)*0.475*44/12</f>
        <v>10.253463743144215</v>
      </c>
      <c r="AW62" s="21">
        <f>EXP(-LN(2)/2)*AW61+(1-EXP(-LN(2)/2))/(LN(2)/2)*AQ62*AT62*VLOOKUP('Données projet'!$B$10,Paramètres!$A$1:$I$89,3,0)*0.475*44/12</f>
        <v>0.32901425428543624</v>
      </c>
      <c r="AX62" s="21">
        <f t="shared" si="6"/>
        <v>36.186685539856512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-2.8421709430404007E-14</v>
      </c>
      <c r="BE62" s="13">
        <f>BD62*VLOOKUP('Données projet'!$B$11,Paramètres!$A$1:$I$89,3,0)*VLOOKUP('Données projet'!$B$11,Paramètres!$A$1:$I$89,5,0)</f>
        <v>-2.3055690689943732E-14</v>
      </c>
      <c r="BF62" s="13" t="e">
        <f t="shared" si="37"/>
        <v>#NUM!</v>
      </c>
      <c r="BG62" s="20" t="e">
        <f t="shared" si="7"/>
        <v>#NUM!</v>
      </c>
      <c r="BH62" s="59" t="e">
        <f t="shared" si="8"/>
        <v>#NUM!</v>
      </c>
      <c r="BI62" s="59">
        <f ca="1">AVERAGE(OFFSET($BH$3,0,0,'Données projet'!$E$11+1,1))-AVERAGE(OFFSET($H$3,0,0,'Données projet'!$E$11+1,1))</f>
        <v>5.8584049049231908</v>
      </c>
      <c r="BJ62" s="59">
        <f t="shared" si="38"/>
        <v>42.266833200216638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1.4310156389643084E-2</v>
      </c>
      <c r="BS62" s="22">
        <f t="shared" si="9"/>
        <v>1.4310156389643084E-2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>
        <f>BY62*VLOOKUP('Données projet'!$B$12,Paramètres!$A$1:$I$89,3,0)*VLOOKUP('Données projet'!$B$12,Paramètres!$A$1:$I$89,5,0)</f>
        <v>0</v>
      </c>
      <c r="CA62" s="13" t="e">
        <f t="shared" si="39"/>
        <v>#NUM!</v>
      </c>
      <c r="CB62" s="20" t="e">
        <f t="shared" si="10"/>
        <v>#NUM!</v>
      </c>
      <c r="CC62" s="59" t="e">
        <f t="shared" si="11"/>
        <v>#NUM!</v>
      </c>
      <c r="CD62" s="59">
        <f ca="1">AVERAGE(OFFSET($CC$3,0,0,'Données projet'!$E$12+1,1))-AVERAGE(OFFSET($H$3,0,0,'Données projet'!$E$12+1,1))</f>
        <v>0</v>
      </c>
      <c r="CE62" s="59">
        <f t="shared" si="40"/>
        <v>0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0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>
        <f>CT62*VLOOKUP('Données projet'!$B$13,Paramètres!$A$1:$I$89,3,0)*VLOOKUP('Données projet'!$B$13,Paramètres!$A$1:$I$89,5,0)</f>
        <v>0</v>
      </c>
      <c r="CV62" s="13" t="e">
        <f t="shared" si="41"/>
        <v>#NUM!</v>
      </c>
      <c r="CW62" s="20" t="e">
        <f t="shared" si="13"/>
        <v>#NUM!</v>
      </c>
      <c r="CX62" s="59" t="e">
        <f t="shared" si="14"/>
        <v>#NUM!</v>
      </c>
      <c r="CY62" s="59">
        <f ca="1">AVERAGE(OFFSET($CX$3,0,0,'Données projet'!$E$13+1,1))-AVERAGE(OFFSET($H$3,0,0,'Données projet'!$E$13+1,1))</f>
        <v>0</v>
      </c>
      <c r="CZ62" s="59">
        <f t="shared" si="42"/>
        <v>0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0</v>
      </c>
      <c r="DG62" s="21">
        <f>EXP(-LN(2)/25)*DG61+(1-EXP(-LN(2)/25))/(LN(2)/25)*Calculateur!DB62*Calculateur!DD62*VLOOKUP('Données projet'!$B$13,Paramètres!$A$1:$I$89,3,0)*0.475*44/12</f>
        <v>0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0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>
        <f>DO62*VLOOKUP('Données projet'!$B$14,Paramètres!$A$1:$I$89,3,0)*VLOOKUP('Données projet'!$B$14,Paramètres!$A$1:$I$89,5,0)</f>
        <v>0</v>
      </c>
      <c r="DQ62" s="13" t="e">
        <f t="shared" si="43"/>
        <v>#NUM!</v>
      </c>
      <c r="DR62" s="20" t="e">
        <f t="shared" si="16"/>
        <v>#NUM!</v>
      </c>
      <c r="DS62" s="59" t="e">
        <f t="shared" si="17"/>
        <v>#NUM!</v>
      </c>
      <c r="DT62" s="59">
        <f ca="1">AVERAGE(OFFSET($DS$3,0,0,'Données projet'!$E$14+1,1))-AVERAGE(OFFSET($H$3,0,0,'Données projet'!$E$14+1,1))</f>
        <v>0</v>
      </c>
      <c r="DU62" s="59">
        <f t="shared" si="44"/>
        <v>0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0</v>
      </c>
      <c r="EB62" s="21">
        <f>EXP(-LN(2)/25)*EB61+(1-EXP(-LN(2)/25))/(LN(2)/25)*Calculateur!DW62*Calculateur!DY62*VLOOKUP('Données projet'!$B$14,Paramètres!$A$1:$I$89,3,0)*0.475*44/12</f>
        <v>0</v>
      </c>
      <c r="EC62" s="21">
        <f>EXP(-LN(2)/2)*EC61+(1-EXP(-LN(2)/2))/(LN(2)/2)*DW62*DZ62*VLOOKUP('Données projet'!$B$14,Paramètres!$A$1:$I$89,3,0)*0.475*44/12</f>
        <v>0</v>
      </c>
      <c r="ED62" s="22">
        <f t="shared" si="18"/>
        <v>0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>
        <f>EJ62*VLOOKUP('Données projet'!$B$15,Paramètres!$A$1:$I$89,3,0)*VLOOKUP('Données projet'!$B$15,Paramètres!$A$1:$I$89,5,0)</f>
        <v>0</v>
      </c>
      <c r="EL62" s="13" t="e">
        <f t="shared" si="45"/>
        <v>#NUM!</v>
      </c>
      <c r="EM62" s="20" t="e">
        <f t="shared" si="19"/>
        <v>#NUM!</v>
      </c>
      <c r="EN62" s="59" t="e">
        <f t="shared" si="20"/>
        <v>#NUM!</v>
      </c>
      <c r="EO62" s="59">
        <f ca="1">AVERAGE(OFFSET($EN$3,0,0,'Données projet'!$E$15+1,1))-AVERAGE(OFFSET($H$3,0,0,'Données projet'!$E$15+1,1))</f>
        <v>0</v>
      </c>
      <c r="EP62" s="59">
        <f t="shared" si="46"/>
        <v>0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>
        <f>EXP(-LN(2)/35)*EV61+(1-EXP(-LN(2)/35))/(LN(2)/35)*ER62*ES62*VLOOKUP('Données projet'!$B$15,Paramètres!$A$1:$I$89,3,0)*0.475*44/12</f>
        <v>0</v>
      </c>
      <c r="EW62" s="21">
        <f>EXP(-LN(2)/25)*EW61+(1-EXP(-LN(2)/25))/(LN(2)/25)*Calculateur!ER62*Calculateur!ET62*VLOOKUP('Données projet'!$B$15,Paramètres!$A$1:$I$89,3,0)*0.475*44/12</f>
        <v>0</v>
      </c>
      <c r="EX62" s="21">
        <f>EXP(-LN(2)/2)*EX61+(1-EXP(-LN(2)/2))/(LN(2)/2)*ER62*EU62*VLOOKUP('Données projet'!$B$15,Paramètres!$A$1:$I$89,3,0)*0.475*44/12</f>
        <v>0</v>
      </c>
      <c r="EY62" s="22">
        <f t="shared" si="21"/>
        <v>0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>
        <f>FE62*VLOOKUP('Données projet'!$B$16,Paramètres!$A$1:$I$89,3,0)*VLOOKUP('Données projet'!$B$16,Paramètres!$A$1:$I$89,5,0)</f>
        <v>0</v>
      </c>
      <c r="FG62" s="13" t="e">
        <f t="shared" si="47"/>
        <v>#NUM!</v>
      </c>
      <c r="FH62" s="20" t="e">
        <f t="shared" si="22"/>
        <v>#NUM!</v>
      </c>
      <c r="FI62" s="59" t="e">
        <f t="shared" si="23"/>
        <v>#NUM!</v>
      </c>
      <c r="FJ62" s="59">
        <f ca="1">AVERAGE(OFFSET($FI$3,0,0,'Données projet'!$E$16+1,1))-AVERAGE(OFFSET($H$3,0,0,'Données projet'!$E$16+1,1))</f>
        <v>0</v>
      </c>
      <c r="FK62" s="59">
        <f t="shared" si="48"/>
        <v>0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>
        <f>EXP(-LN(2)/35)*FQ61+(1-EXP(-LN(2)/35))/(LN(2)/35)*FM62*FN62*VLOOKUP('Données projet'!$B$16,Paramètres!$A$1:$I$89,3,0)*0.475*44/12</f>
        <v>0</v>
      </c>
      <c r="FR62" s="21">
        <f>EXP(-LN(2)/25)*FR61+(1-EXP(-LN(2)/25))/(LN(2)/25)*Calculateur!FM62*Calculateur!FO62*VLOOKUP('Données projet'!$B$16,Paramètres!$A$1:$I$89,3,0)*0.475*44/12</f>
        <v>0</v>
      </c>
      <c r="FS62" s="21">
        <f>EXP(-LN(2)/2)*FS61+(1-EXP(-LN(2)/2))/(LN(2)/2)*FM62*FP62*VLOOKUP('Données projet'!$B$16,Paramètres!$A$1:$I$89,3,0)*0.475*44/12</f>
        <v>0</v>
      </c>
      <c r="FT62" s="22">
        <f t="shared" si="24"/>
        <v>0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1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2.625</v>
      </c>
      <c r="N63" s="13">
        <f>IF('Données projet'!$A$36&gt;35,N62+M63-V62,IF(A63&lt;'Données projet'!$A$36,$K$205^A63,IF(A63='Données projet'!$A$36,'Données projet'!$B$36,N62+M63-V62)))</f>
        <v>310.75</v>
      </c>
      <c r="O63" s="13">
        <f>N63*VLOOKUP('Données projet'!$B$9,Paramètres!$A$1:$I$89,3,0)*VLOOKUP('Données projet'!$B$9,Paramètres!$A$1:$I$89,5,0)</f>
        <v>185.82849999999999</v>
      </c>
      <c r="P63" s="13">
        <f t="shared" si="33"/>
        <v>46.616505227631926</v>
      </c>
      <c r="Q63" s="20">
        <f t="shared" si="53"/>
        <v>404.84171743812561</v>
      </c>
      <c r="R63" s="59">
        <f t="shared" si="0"/>
        <v>698.17505077145893</v>
      </c>
      <c r="S63" s="59">
        <f ca="1">AVERAGE(OFFSET($R$3,0,0,'Données projet'!$E$9+1,1))-AVERAGE(OFFSET($H$3,0,0,'Données projet'!$E$9+1,1))</f>
        <v>186.90544184210381</v>
      </c>
      <c r="T63" s="59">
        <f t="shared" si="34"/>
        <v>202.05988514450519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25.102124649544415</v>
      </c>
      <c r="AA63" s="21">
        <f>EXP(-LN(2)/25)*AA62+(1-EXP(-LN(2)/25))/(LN(2)/25)*Calculateur!V63*Calculateur!X63*VLOOKUP('Données projet'!$B$9,Paramètres!$A$1:$I$89,3,0)*0.475*44/12</f>
        <v>9.9730822378817123</v>
      </c>
      <c r="AB63" s="21">
        <f>EXP(-LN(2)/2)*AB62+(1-EXP(-LN(2)/2))/(LN(2)/2)*V63*Y63*VLOOKUP('Données projet'!$B$9,Paramètres!$A$1:$I$89,3,0)*0.475*44/12</f>
        <v>0.2326482103122671</v>
      </c>
      <c r="AC63" s="22">
        <f t="shared" si="3"/>
        <v>35.307855097738397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2.625</v>
      </c>
      <c r="AI63" s="13">
        <f>IF('Données projet'!$A$62&gt;35,AI62+AH63-AQ62,IF(A63&lt;'Données projet'!$A$62,$AF$205^A63,IF(A63='Données projet'!$A$62,'Données projet'!$B$62,AI62+AH63-AQ62)))</f>
        <v>310.75</v>
      </c>
      <c r="AJ63" s="13">
        <f>AI63*VLOOKUP('Données projet'!$B$10,Paramètres!$A$1:$I$89,3,0)*VLOOKUP('Données projet'!$B$10,Paramètres!$A$1:$I$89,5,0)</f>
        <v>185.82849999999999</v>
      </c>
      <c r="AK63" s="13">
        <f t="shared" si="35"/>
        <v>46.616505227631926</v>
      </c>
      <c r="AL63" s="20">
        <f t="shared" si="4"/>
        <v>404.84171743812561</v>
      </c>
      <c r="AM63" s="59">
        <f t="shared" si="5"/>
        <v>698.17505077145893</v>
      </c>
      <c r="AN63" s="59">
        <f ca="1">AVERAGE(OFFSET($AM$3,0,0,'Données projet'!$E$10+1,1))-AVERAGE(OFFSET($H$3,0,0,'Données projet'!$E$10+1,1))</f>
        <v>186.90544184210381</v>
      </c>
      <c r="AO63" s="59">
        <f t="shared" si="36"/>
        <v>202.05988514450519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25.102124649544415</v>
      </c>
      <c r="AV63" s="21">
        <f>EXP(-LN(2)/25)*AV62+(1-EXP(-LN(2)/25))/(LN(2)/25)*Calculateur!AQ63*Calculateur!AS63*VLOOKUP('Données projet'!$B$10,Paramètres!$A$1:$I$89,3,0)*0.475*44/12</f>
        <v>9.9730822378817123</v>
      </c>
      <c r="AW63" s="21">
        <f>EXP(-LN(2)/2)*AW62+(1-EXP(-LN(2)/2))/(LN(2)/2)*AQ63*AT63*VLOOKUP('Données projet'!$B$10,Paramètres!$A$1:$I$89,3,0)*0.475*44/12</f>
        <v>0.2326482103122671</v>
      </c>
      <c r="AX63" s="21">
        <f t="shared" si="6"/>
        <v>35.307855097738397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-2.8421709430404007E-14</v>
      </c>
      <c r="BE63" s="13">
        <f>BD63*VLOOKUP('Données projet'!$B$11,Paramètres!$A$1:$I$89,3,0)*VLOOKUP('Données projet'!$B$11,Paramètres!$A$1:$I$89,5,0)</f>
        <v>-2.3055690689943732E-14</v>
      </c>
      <c r="BF63" s="13" t="e">
        <f t="shared" si="37"/>
        <v>#NUM!</v>
      </c>
      <c r="BG63" s="20" t="e">
        <f t="shared" si="7"/>
        <v>#NUM!</v>
      </c>
      <c r="BH63" s="59" t="e">
        <f t="shared" si="8"/>
        <v>#NUM!</v>
      </c>
      <c r="BI63" s="59">
        <f ca="1">AVERAGE(OFFSET($BH$3,0,0,'Données projet'!$E$11+1,1))-AVERAGE(OFFSET($H$3,0,0,'Données projet'!$E$11+1,1))</f>
        <v>5.8584049049231908</v>
      </c>
      <c r="BJ63" s="59">
        <f t="shared" si="38"/>
        <v>42.266833200216638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1.0118808622956627E-2</v>
      </c>
      <c r="BS63" s="22">
        <f t="shared" si="9"/>
        <v>1.0118808622956627E-2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>
        <f>BY63*VLOOKUP('Données projet'!$B$12,Paramètres!$A$1:$I$89,3,0)*VLOOKUP('Données projet'!$B$12,Paramètres!$A$1:$I$89,5,0)</f>
        <v>0</v>
      </c>
      <c r="CA63" s="13" t="e">
        <f t="shared" si="39"/>
        <v>#NUM!</v>
      </c>
      <c r="CB63" s="20" t="e">
        <f t="shared" si="10"/>
        <v>#NUM!</v>
      </c>
      <c r="CC63" s="59" t="e">
        <f t="shared" si="11"/>
        <v>#NUM!</v>
      </c>
      <c r="CD63" s="59">
        <f ca="1">AVERAGE(OFFSET($CC$3,0,0,'Données projet'!$E$12+1,1))-AVERAGE(OFFSET($H$3,0,0,'Données projet'!$E$12+1,1))</f>
        <v>0</v>
      </c>
      <c r="CE63" s="59">
        <f t="shared" si="40"/>
        <v>0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0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0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>
        <f>CT63*VLOOKUP('Données projet'!$B$13,Paramètres!$A$1:$I$89,3,0)*VLOOKUP('Données projet'!$B$13,Paramètres!$A$1:$I$89,5,0)</f>
        <v>0</v>
      </c>
      <c r="CV63" s="13" t="e">
        <f t="shared" si="41"/>
        <v>#NUM!</v>
      </c>
      <c r="CW63" s="20" t="e">
        <f t="shared" si="13"/>
        <v>#NUM!</v>
      </c>
      <c r="CX63" s="59" t="e">
        <f t="shared" si="14"/>
        <v>#NUM!</v>
      </c>
      <c r="CY63" s="59">
        <f ca="1">AVERAGE(OFFSET($CX$3,0,0,'Données projet'!$E$13+1,1))-AVERAGE(OFFSET($H$3,0,0,'Données projet'!$E$13+1,1))</f>
        <v>0</v>
      </c>
      <c r="CZ63" s="59">
        <f t="shared" si="42"/>
        <v>0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0</v>
      </c>
      <c r="DG63" s="21">
        <f>EXP(-LN(2)/25)*DG62+(1-EXP(-LN(2)/25))/(LN(2)/25)*Calculateur!DB63*Calculateur!DD63*VLOOKUP('Données projet'!$B$13,Paramètres!$A$1:$I$89,3,0)*0.475*44/12</f>
        <v>0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0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>
        <f>DO63*VLOOKUP('Données projet'!$B$14,Paramètres!$A$1:$I$89,3,0)*VLOOKUP('Données projet'!$B$14,Paramètres!$A$1:$I$89,5,0)</f>
        <v>0</v>
      </c>
      <c r="DQ63" s="13" t="e">
        <f t="shared" si="43"/>
        <v>#NUM!</v>
      </c>
      <c r="DR63" s="20" t="e">
        <f t="shared" si="16"/>
        <v>#NUM!</v>
      </c>
      <c r="DS63" s="59" t="e">
        <f t="shared" si="17"/>
        <v>#NUM!</v>
      </c>
      <c r="DT63" s="59">
        <f ca="1">AVERAGE(OFFSET($DS$3,0,0,'Données projet'!$E$14+1,1))-AVERAGE(OFFSET($H$3,0,0,'Données projet'!$E$14+1,1))</f>
        <v>0</v>
      </c>
      <c r="DU63" s="59">
        <f t="shared" si="44"/>
        <v>0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0</v>
      </c>
      <c r="EB63" s="21">
        <f>EXP(-LN(2)/25)*EB62+(1-EXP(-LN(2)/25))/(LN(2)/25)*Calculateur!DW63*Calculateur!DY63*VLOOKUP('Données projet'!$B$14,Paramètres!$A$1:$I$89,3,0)*0.475*44/12</f>
        <v>0</v>
      </c>
      <c r="EC63" s="21">
        <f>EXP(-LN(2)/2)*EC62+(1-EXP(-LN(2)/2))/(LN(2)/2)*DW63*DZ63*VLOOKUP('Données projet'!$B$14,Paramètres!$A$1:$I$89,3,0)*0.475*44/12</f>
        <v>0</v>
      </c>
      <c r="ED63" s="22">
        <f t="shared" si="18"/>
        <v>0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>
        <f>EJ63*VLOOKUP('Données projet'!$B$15,Paramètres!$A$1:$I$89,3,0)*VLOOKUP('Données projet'!$B$15,Paramètres!$A$1:$I$89,5,0)</f>
        <v>0</v>
      </c>
      <c r="EL63" s="13" t="e">
        <f t="shared" si="45"/>
        <v>#NUM!</v>
      </c>
      <c r="EM63" s="20" t="e">
        <f t="shared" si="19"/>
        <v>#NUM!</v>
      </c>
      <c r="EN63" s="59" t="e">
        <f t="shared" si="20"/>
        <v>#NUM!</v>
      </c>
      <c r="EO63" s="59">
        <f ca="1">AVERAGE(OFFSET($EN$3,0,0,'Données projet'!$E$15+1,1))-AVERAGE(OFFSET($H$3,0,0,'Données projet'!$E$15+1,1))</f>
        <v>0</v>
      </c>
      <c r="EP63" s="59">
        <f t="shared" si="46"/>
        <v>0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>
        <f>EXP(-LN(2)/35)*EV62+(1-EXP(-LN(2)/35))/(LN(2)/35)*ER63*ES63*VLOOKUP('Données projet'!$B$15,Paramètres!$A$1:$I$89,3,0)*0.475*44/12</f>
        <v>0</v>
      </c>
      <c r="EW63" s="21">
        <f>EXP(-LN(2)/25)*EW62+(1-EXP(-LN(2)/25))/(LN(2)/25)*Calculateur!ER63*Calculateur!ET63*VLOOKUP('Données projet'!$B$15,Paramètres!$A$1:$I$89,3,0)*0.475*44/12</f>
        <v>0</v>
      </c>
      <c r="EX63" s="21">
        <f>EXP(-LN(2)/2)*EX62+(1-EXP(-LN(2)/2))/(LN(2)/2)*ER63*EU63*VLOOKUP('Données projet'!$B$15,Paramètres!$A$1:$I$89,3,0)*0.475*44/12</f>
        <v>0</v>
      </c>
      <c r="EY63" s="22">
        <f t="shared" si="21"/>
        <v>0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>
        <f>FE63*VLOOKUP('Données projet'!$B$16,Paramètres!$A$1:$I$89,3,0)*VLOOKUP('Données projet'!$B$16,Paramètres!$A$1:$I$89,5,0)</f>
        <v>0</v>
      </c>
      <c r="FG63" s="13" t="e">
        <f t="shared" si="47"/>
        <v>#NUM!</v>
      </c>
      <c r="FH63" s="20" t="e">
        <f t="shared" si="22"/>
        <v>#NUM!</v>
      </c>
      <c r="FI63" s="59" t="e">
        <f t="shared" si="23"/>
        <v>#NUM!</v>
      </c>
      <c r="FJ63" s="59">
        <f ca="1">AVERAGE(OFFSET($FI$3,0,0,'Données projet'!$E$16+1,1))-AVERAGE(OFFSET($H$3,0,0,'Données projet'!$E$16+1,1))</f>
        <v>0</v>
      </c>
      <c r="FK63" s="59">
        <f t="shared" si="48"/>
        <v>0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>
        <f>EXP(-LN(2)/35)*FQ62+(1-EXP(-LN(2)/35))/(LN(2)/35)*FM63*FN63*VLOOKUP('Données projet'!$B$16,Paramètres!$A$1:$I$89,3,0)*0.475*44/12</f>
        <v>0</v>
      </c>
      <c r="FR63" s="21">
        <f>EXP(-LN(2)/25)*FR62+(1-EXP(-LN(2)/25))/(LN(2)/25)*Calculateur!FM63*Calculateur!FO63*VLOOKUP('Données projet'!$B$16,Paramètres!$A$1:$I$89,3,0)*0.475*44/12</f>
        <v>0</v>
      </c>
      <c r="FS63" s="21">
        <f>EXP(-LN(2)/2)*FS62+(1-EXP(-LN(2)/2))/(LN(2)/2)*FM63*FP63*VLOOKUP('Données projet'!$B$16,Paramètres!$A$1:$I$89,3,0)*0.475*44/12</f>
        <v>0</v>
      </c>
      <c r="FT63" s="22">
        <f t="shared" si="24"/>
        <v>0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1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2.625</v>
      </c>
      <c r="N64" s="13">
        <f>IF('Données projet'!$A$36&gt;35,N63+M64-V63,IF(A64&lt;'Données projet'!$A$36,$K$205^A64,IF(A64='Données projet'!$A$36,'Données projet'!$B$36,N63+M64-V63)))</f>
        <v>313.375</v>
      </c>
      <c r="O64" s="13">
        <f>N64*VLOOKUP('Données projet'!$B$9,Paramètres!$A$1:$I$89,3,0)*VLOOKUP('Données projet'!$B$9,Paramètres!$A$1:$I$89,5,0)</f>
        <v>187.39825000000002</v>
      </c>
      <c r="P64" s="13">
        <f t="shared" si="33"/>
        <v>46.964282095681376</v>
      </c>
      <c r="Q64" s="20">
        <f t="shared" si="53"/>
        <v>408.18141006664501</v>
      </c>
      <c r="R64" s="59">
        <f t="shared" si="0"/>
        <v>701.51474339997833</v>
      </c>
      <c r="S64" s="59">
        <f ca="1">AVERAGE(OFFSET($R$3,0,0,'Données projet'!$E$9+1,1))-AVERAGE(OFFSET($H$3,0,0,'Données projet'!$E$9+1,1))</f>
        <v>186.90544184210381</v>
      </c>
      <c r="T64" s="59">
        <f t="shared" si="34"/>
        <v>202.05988514450519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24.609887295951072</v>
      </c>
      <c r="AA64" s="21">
        <f>EXP(-LN(2)/25)*AA63+(1-EXP(-LN(2)/25))/(LN(2)/25)*Calculateur!V64*Calculateur!X64*VLOOKUP('Données projet'!$B$9,Paramètres!$A$1:$I$89,3,0)*0.475*44/12</f>
        <v>9.7003677796252354</v>
      </c>
      <c r="AB64" s="21">
        <f>EXP(-LN(2)/2)*AB63+(1-EXP(-LN(2)/2))/(LN(2)/2)*V64*Y64*VLOOKUP('Données projet'!$B$9,Paramètres!$A$1:$I$89,3,0)*0.475*44/12</f>
        <v>0.16450712714271815</v>
      </c>
      <c r="AC64" s="22">
        <f t="shared" si="3"/>
        <v>34.474762202719027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2.625</v>
      </c>
      <c r="AI64" s="13">
        <f>IF('Données projet'!$A$62&gt;35,AI63+AH64-AQ63,IF(A64&lt;'Données projet'!$A$62,$AF$205^A64,IF(A64='Données projet'!$A$62,'Données projet'!$B$62,AI63+AH64-AQ63)))</f>
        <v>313.375</v>
      </c>
      <c r="AJ64" s="13">
        <f>AI64*VLOOKUP('Données projet'!$B$10,Paramètres!$A$1:$I$89,3,0)*VLOOKUP('Données projet'!$B$10,Paramètres!$A$1:$I$89,5,0)</f>
        <v>187.39825000000002</v>
      </c>
      <c r="AK64" s="13">
        <f t="shared" si="35"/>
        <v>46.964282095681376</v>
      </c>
      <c r="AL64" s="20">
        <f t="shared" si="4"/>
        <v>408.18141006664501</v>
      </c>
      <c r="AM64" s="59">
        <f t="shared" si="5"/>
        <v>701.51474339997833</v>
      </c>
      <c r="AN64" s="59">
        <f ca="1">AVERAGE(OFFSET($AM$3,0,0,'Données projet'!$E$10+1,1))-AVERAGE(OFFSET($H$3,0,0,'Données projet'!$E$10+1,1))</f>
        <v>186.90544184210381</v>
      </c>
      <c r="AO64" s="59">
        <f t="shared" si="36"/>
        <v>202.05988514450519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24.609887295951072</v>
      </c>
      <c r="AV64" s="21">
        <f>EXP(-LN(2)/25)*AV63+(1-EXP(-LN(2)/25))/(LN(2)/25)*Calculateur!AQ64*Calculateur!AS64*VLOOKUP('Données projet'!$B$10,Paramètres!$A$1:$I$89,3,0)*0.475*44/12</f>
        <v>9.7003677796252354</v>
      </c>
      <c r="AW64" s="21">
        <f>EXP(-LN(2)/2)*AW63+(1-EXP(-LN(2)/2))/(LN(2)/2)*AQ64*AT64*VLOOKUP('Données projet'!$B$10,Paramètres!$A$1:$I$89,3,0)*0.475*44/12</f>
        <v>0.16450712714271815</v>
      </c>
      <c r="AX64" s="21">
        <f t="shared" si="6"/>
        <v>34.474762202719027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-2.8421709430404007E-14</v>
      </c>
      <c r="BE64" s="13">
        <f>BD64*VLOOKUP('Données projet'!$B$11,Paramètres!$A$1:$I$89,3,0)*VLOOKUP('Données projet'!$B$11,Paramètres!$A$1:$I$89,5,0)</f>
        <v>-2.3055690689943732E-14</v>
      </c>
      <c r="BF64" s="13" t="e">
        <f t="shared" si="37"/>
        <v>#NUM!</v>
      </c>
      <c r="BG64" s="20" t="e">
        <f t="shared" si="7"/>
        <v>#NUM!</v>
      </c>
      <c r="BH64" s="59" t="e">
        <f t="shared" si="8"/>
        <v>#NUM!</v>
      </c>
      <c r="BI64" s="59">
        <f ca="1">AVERAGE(OFFSET($BH$3,0,0,'Données projet'!$E$11+1,1))-AVERAGE(OFFSET($H$3,0,0,'Données projet'!$E$11+1,1))</f>
        <v>5.8584049049231908</v>
      </c>
      <c r="BJ64" s="59">
        <f t="shared" si="38"/>
        <v>42.266833200216638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7.1550781948215422E-3</v>
      </c>
      <c r="BS64" s="22">
        <f t="shared" si="9"/>
        <v>7.1550781948215422E-3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>
        <f>BY64*VLOOKUP('Données projet'!$B$12,Paramètres!$A$1:$I$89,3,0)*VLOOKUP('Données projet'!$B$12,Paramètres!$A$1:$I$89,5,0)</f>
        <v>0</v>
      </c>
      <c r="CA64" s="13" t="e">
        <f t="shared" si="39"/>
        <v>#NUM!</v>
      </c>
      <c r="CB64" s="20" t="e">
        <f t="shared" si="10"/>
        <v>#NUM!</v>
      </c>
      <c r="CC64" s="59" t="e">
        <f t="shared" si="11"/>
        <v>#NUM!</v>
      </c>
      <c r="CD64" s="59">
        <f ca="1">AVERAGE(OFFSET($CC$3,0,0,'Données projet'!$E$12+1,1))-AVERAGE(OFFSET($H$3,0,0,'Données projet'!$E$12+1,1))</f>
        <v>0</v>
      </c>
      <c r="CE64" s="59">
        <f t="shared" si="40"/>
        <v>0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0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>
        <f>CT64*VLOOKUP('Données projet'!$B$13,Paramètres!$A$1:$I$89,3,0)*VLOOKUP('Données projet'!$B$13,Paramètres!$A$1:$I$89,5,0)</f>
        <v>0</v>
      </c>
      <c r="CV64" s="13" t="e">
        <f t="shared" si="41"/>
        <v>#NUM!</v>
      </c>
      <c r="CW64" s="20" t="e">
        <f t="shared" si="13"/>
        <v>#NUM!</v>
      </c>
      <c r="CX64" s="59" t="e">
        <f t="shared" si="14"/>
        <v>#NUM!</v>
      </c>
      <c r="CY64" s="59">
        <f ca="1">AVERAGE(OFFSET($CX$3,0,0,'Données projet'!$E$13+1,1))-AVERAGE(OFFSET($H$3,0,0,'Données projet'!$E$13+1,1))</f>
        <v>0</v>
      </c>
      <c r="CZ64" s="59">
        <f t="shared" si="42"/>
        <v>0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0</v>
      </c>
      <c r="DG64" s="21">
        <f>EXP(-LN(2)/25)*DG63+(1-EXP(-LN(2)/25))/(LN(2)/25)*Calculateur!DB64*Calculateur!DD64*VLOOKUP('Données projet'!$B$13,Paramètres!$A$1:$I$89,3,0)*0.475*44/12</f>
        <v>0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0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>
        <f>DO64*VLOOKUP('Données projet'!$B$14,Paramètres!$A$1:$I$89,3,0)*VLOOKUP('Données projet'!$B$14,Paramètres!$A$1:$I$89,5,0)</f>
        <v>0</v>
      </c>
      <c r="DQ64" s="13" t="e">
        <f t="shared" si="43"/>
        <v>#NUM!</v>
      </c>
      <c r="DR64" s="20" t="e">
        <f t="shared" si="16"/>
        <v>#NUM!</v>
      </c>
      <c r="DS64" s="59" t="e">
        <f t="shared" si="17"/>
        <v>#NUM!</v>
      </c>
      <c r="DT64" s="59">
        <f ca="1">AVERAGE(OFFSET($DS$3,0,0,'Données projet'!$E$14+1,1))-AVERAGE(OFFSET($H$3,0,0,'Données projet'!$E$14+1,1))</f>
        <v>0</v>
      </c>
      <c r="DU64" s="59">
        <f t="shared" si="44"/>
        <v>0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0</v>
      </c>
      <c r="EB64" s="21">
        <f>EXP(-LN(2)/25)*EB63+(1-EXP(-LN(2)/25))/(LN(2)/25)*Calculateur!DW64*Calculateur!DY64*VLOOKUP('Données projet'!$B$14,Paramètres!$A$1:$I$89,3,0)*0.475*44/12</f>
        <v>0</v>
      </c>
      <c r="EC64" s="21">
        <f>EXP(-LN(2)/2)*EC63+(1-EXP(-LN(2)/2))/(LN(2)/2)*DW64*DZ64*VLOOKUP('Données projet'!$B$14,Paramètres!$A$1:$I$89,3,0)*0.475*44/12</f>
        <v>0</v>
      </c>
      <c r="ED64" s="22">
        <f t="shared" si="18"/>
        <v>0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>
        <f>EJ64*VLOOKUP('Données projet'!$B$15,Paramètres!$A$1:$I$89,3,0)*VLOOKUP('Données projet'!$B$15,Paramètres!$A$1:$I$89,5,0)</f>
        <v>0</v>
      </c>
      <c r="EL64" s="13" t="e">
        <f t="shared" si="45"/>
        <v>#NUM!</v>
      </c>
      <c r="EM64" s="20" t="e">
        <f t="shared" si="19"/>
        <v>#NUM!</v>
      </c>
      <c r="EN64" s="59" t="e">
        <f t="shared" si="20"/>
        <v>#NUM!</v>
      </c>
      <c r="EO64" s="59">
        <f ca="1">AVERAGE(OFFSET($EN$3,0,0,'Données projet'!$E$15+1,1))-AVERAGE(OFFSET($H$3,0,0,'Données projet'!$E$15+1,1))</f>
        <v>0</v>
      </c>
      <c r="EP64" s="59">
        <f t="shared" si="46"/>
        <v>0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>
        <f>EXP(-LN(2)/35)*EV63+(1-EXP(-LN(2)/35))/(LN(2)/35)*ER64*ES64*VLOOKUP('Données projet'!$B$15,Paramètres!$A$1:$I$89,3,0)*0.475*44/12</f>
        <v>0</v>
      </c>
      <c r="EW64" s="21">
        <f>EXP(-LN(2)/25)*EW63+(1-EXP(-LN(2)/25))/(LN(2)/25)*Calculateur!ER64*Calculateur!ET64*VLOOKUP('Données projet'!$B$15,Paramètres!$A$1:$I$89,3,0)*0.475*44/12</f>
        <v>0</v>
      </c>
      <c r="EX64" s="21">
        <f>EXP(-LN(2)/2)*EX63+(1-EXP(-LN(2)/2))/(LN(2)/2)*ER64*EU64*VLOOKUP('Données projet'!$B$15,Paramètres!$A$1:$I$89,3,0)*0.475*44/12</f>
        <v>0</v>
      </c>
      <c r="EY64" s="22">
        <f t="shared" si="21"/>
        <v>0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>
        <f>FE64*VLOOKUP('Données projet'!$B$16,Paramètres!$A$1:$I$89,3,0)*VLOOKUP('Données projet'!$B$16,Paramètres!$A$1:$I$89,5,0)</f>
        <v>0</v>
      </c>
      <c r="FG64" s="13" t="e">
        <f t="shared" si="47"/>
        <v>#NUM!</v>
      </c>
      <c r="FH64" s="20" t="e">
        <f t="shared" si="22"/>
        <v>#NUM!</v>
      </c>
      <c r="FI64" s="59" t="e">
        <f t="shared" si="23"/>
        <v>#NUM!</v>
      </c>
      <c r="FJ64" s="59">
        <f ca="1">AVERAGE(OFFSET($FI$3,0,0,'Données projet'!$E$16+1,1))-AVERAGE(OFFSET($H$3,0,0,'Données projet'!$E$16+1,1))</f>
        <v>0</v>
      </c>
      <c r="FK64" s="59">
        <f t="shared" si="48"/>
        <v>0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>
        <f>EXP(-LN(2)/35)*FQ63+(1-EXP(-LN(2)/35))/(LN(2)/35)*FM64*FN64*VLOOKUP('Données projet'!$B$16,Paramètres!$A$1:$I$89,3,0)*0.475*44/12</f>
        <v>0</v>
      </c>
      <c r="FR64" s="21">
        <f>EXP(-LN(2)/25)*FR63+(1-EXP(-LN(2)/25))/(LN(2)/25)*Calculateur!FM64*Calculateur!FO64*VLOOKUP('Données projet'!$B$16,Paramètres!$A$1:$I$89,3,0)*0.475*44/12</f>
        <v>0</v>
      </c>
      <c r="FS64" s="21">
        <f>EXP(-LN(2)/2)*FS63+(1-EXP(-LN(2)/2))/(LN(2)/2)*FM64*FP64*VLOOKUP('Données projet'!$B$16,Paramètres!$A$1:$I$89,3,0)*0.475*44/12</f>
        <v>0</v>
      </c>
      <c r="FT64" s="22">
        <f t="shared" si="24"/>
        <v>0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1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>
        <f>VLOOKUP(A65,'Données projet'!$A$35:$I$55,2,0)</f>
        <v>316</v>
      </c>
      <c r="L65" s="12">
        <f>VLOOKUP(A65,'Données projet'!$A$35:$I$55,9,0)</f>
        <v>2.625</v>
      </c>
      <c r="M65" s="12">
        <f t="array" ref="M65">INDEX(L:L,MIN(IF(ISNUMBER(L65:L261),ROW(L65:L261),"")))</f>
        <v>2.625</v>
      </c>
      <c r="N65" s="13">
        <f>IF('Données projet'!$A$36&gt;35,N64+M65-V64,IF(A65&lt;'Données projet'!$A$36,$K$205^A65,IF(A65='Données projet'!$A$36,'Données projet'!$B$36,N64+M65-V64)))</f>
        <v>316</v>
      </c>
      <c r="O65" s="13">
        <f>N65*VLOOKUP('Données projet'!$B$9,Paramètres!$A$1:$I$89,3,0)*VLOOKUP('Données projet'!$B$9,Paramètres!$A$1:$I$89,5,0)</f>
        <v>188.96800000000002</v>
      </c>
      <c r="P65" s="13">
        <f t="shared" si="33"/>
        <v>47.311720031947068</v>
      </c>
      <c r="Q65" s="20">
        <f t="shared" si="53"/>
        <v>411.52051238897451</v>
      </c>
      <c r="R65" s="59">
        <f t="shared" si="0"/>
        <v>704.85384572230782</v>
      </c>
      <c r="S65" s="59">
        <f ca="1">AVERAGE(OFFSET($R$3,0,0,'Données projet'!$E$9+1,1))-AVERAGE(OFFSET($H$3,0,0,'Données projet'!$E$9+1,1))</f>
        <v>186.90544184210381</v>
      </c>
      <c r="T65" s="59">
        <f t="shared" si="34"/>
        <v>202.05988514450519</v>
      </c>
      <c r="U65" s="15">
        <f>IF(ISNA(VLOOKUP(A65,'Données projet'!$A$35:$I$55,3,0)),0,VLOOKUP(A65,'Données projet'!$A$35:$I$55,3,0))</f>
        <v>9</v>
      </c>
      <c r="V65" s="15">
        <f>IF(ISNA(VLOOKUP(A65,'Données projet'!$A$35:$I$55,4,0)),0,VLOOKUP(A65,'Données projet'!$A$35:$I$55,4,0))</f>
        <v>316</v>
      </c>
      <c r="W65" s="16">
        <f>IF(ISNA(VLOOKUP(A65,'Données projet'!$A$35:$I$55,5,0)),0%,VLOOKUP(A65,'Données projet'!$A$35:$I$55,5,0)*VLOOKUP('Données projet'!$B$9,Paramètres!$A$1:$I$89,7,0))</f>
        <v>0.36000000000000004</v>
      </c>
      <c r="X65" s="16">
        <f>IF(ISNA(VLOOKUP(A65,'Données projet'!$A$35:$I$55,6,0)),0%,VLOOKUP(A65,'Données projet'!$A$35:$I$55,6,0)*VLOOKUP('Données projet'!$B$9,Paramètres!$A$1:$I$89,7,0))</f>
        <v>4.5000000000000005E-2</v>
      </c>
      <c r="Y65" s="16">
        <f>IF(ISNA(VLOOKUP(A65,'Données projet'!$A$35:$I$55,7,0)),0%,VLOOKUP(A65,'Données projet'!$A$35:$I$55,7,0))</f>
        <v>0.1</v>
      </c>
      <c r="Z65" s="21">
        <f>EXP(-LN(2)/35)*Z64+(1-EXP(-LN(2)/35))/(LN(2)/35)*V65*W65*VLOOKUP('Données projet'!$B$9,Paramètres!$A$1:$I$89,3,0)*0.475*44/12</f>
        <v>114.37146594220621</v>
      </c>
      <c r="AA65" s="21">
        <f>EXP(-LN(2)/25)*AA64+(1-EXP(-LN(2)/25))/(LN(2)/25)*Calculateur!V65*Calculateur!X65*VLOOKUP('Données projet'!$B$9,Paramètres!$A$1:$I$89,3,0)*0.475*44/12</f>
        <v>20.671215446078381</v>
      </c>
      <c r="AB65" s="21">
        <f>EXP(-LN(2)/2)*AB64+(1-EXP(-LN(2)/2))/(LN(2)/2)*V65*Y65*VLOOKUP('Données projet'!$B$9,Paramètres!$A$1:$I$89,3,0)*0.475*44/12</f>
        <v>21.511891385054255</v>
      </c>
      <c r="AC65" s="22">
        <f t="shared" si="3"/>
        <v>156.55457277333886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>
        <f>VLOOKUP(A65,'Données projet'!$A$61:$I$81,2,0)</f>
        <v>316</v>
      </c>
      <c r="AG65" s="12">
        <f>VLOOKUP(A65,'Données projet'!$A$61:$I$81,9,0)</f>
        <v>2.625</v>
      </c>
      <c r="AH65" s="12">
        <f t="array" ref="AH65">INDEX(AG:AG,MIN(IF(ISNUMBER(AG65:AG261),ROW(AG65:AG261),"")))</f>
        <v>2.625</v>
      </c>
      <c r="AI65" s="13">
        <f>IF('Données projet'!$A$62&gt;35,AI64+AH65-AQ64,IF(A65&lt;'Données projet'!$A$62,$AF$205^A65,IF(A65='Données projet'!$A$62,'Données projet'!$B$62,AI64+AH65-AQ64)))</f>
        <v>316</v>
      </c>
      <c r="AJ65" s="13">
        <f>AI65*VLOOKUP('Données projet'!$B$10,Paramètres!$A$1:$I$89,3,0)*VLOOKUP('Données projet'!$B$10,Paramètres!$A$1:$I$89,5,0)</f>
        <v>188.96800000000002</v>
      </c>
      <c r="AK65" s="13">
        <f t="shared" si="35"/>
        <v>47.311720031947068</v>
      </c>
      <c r="AL65" s="20">
        <f t="shared" si="4"/>
        <v>411.52051238897451</v>
      </c>
      <c r="AM65" s="59">
        <f t="shared" si="5"/>
        <v>704.85384572230782</v>
      </c>
      <c r="AN65" s="59">
        <f ca="1">AVERAGE(OFFSET($AM$3,0,0,'Données projet'!$E$10+1,1))-AVERAGE(OFFSET($H$3,0,0,'Données projet'!$E$10+1,1))</f>
        <v>186.90544184210381</v>
      </c>
      <c r="AO65" s="59">
        <f t="shared" si="36"/>
        <v>202.05988514450519</v>
      </c>
      <c r="AP65" s="15">
        <f>IF(ISNA(VLOOKUP(A65,'Données projet'!$A$61:$I$81,3,0)),0,VLOOKUP(A65,'Données projet'!$A$61:$I$81,3,0))</f>
        <v>9</v>
      </c>
      <c r="AQ65" s="15">
        <f>IF(ISNA(VLOOKUP(A65,'Données projet'!$A$61:$I$81,4,0)),0,VLOOKUP(A65,'Données projet'!$A$61:$I$81,4,0))</f>
        <v>316</v>
      </c>
      <c r="AR65" s="16">
        <f>IF(ISNA(VLOOKUP(A65,'Données projet'!$A$61:$I$81,5,0)),0%,VLOOKUP(A65,'Données projet'!$A$61:$I$81,5,0)*VLOOKUP('Données projet'!$B$10,Paramètres!$A$1:$I$89,7,0))</f>
        <v>0.36000000000000004</v>
      </c>
      <c r="AS65" s="16">
        <f>IF(ISNA(VLOOKUP(A65,'Données projet'!$A$61:$I$81,6,0)),0%,VLOOKUP(A65,'Données projet'!$A$61:$I$81,6,0)*VLOOKUP('Données projet'!$B$10,Paramètres!$A$1:$I$89,7,0))</f>
        <v>4.5000000000000005E-2</v>
      </c>
      <c r="AT65" s="16">
        <f>IF(ISNA(VLOOKUP(A65,'Données projet'!$A$61:$I$81,7,0)),0%,VLOOKUP(A65,'Données projet'!$A$61:$I$81,7,0))</f>
        <v>0.1</v>
      </c>
      <c r="AU65" s="21">
        <f>EXP(-LN(2)/35)*AU64+(1-EXP(-LN(2)/35))/(LN(2)/35)*AQ65*AR65*VLOOKUP('Données projet'!$B$10,Paramètres!$A$1:$I$89,3,0)*0.475*44/12</f>
        <v>114.37146594220621</v>
      </c>
      <c r="AV65" s="21">
        <f>EXP(-LN(2)/25)*AV64+(1-EXP(-LN(2)/25))/(LN(2)/25)*Calculateur!AQ65*Calculateur!AS65*VLOOKUP('Données projet'!$B$10,Paramètres!$A$1:$I$89,3,0)*0.475*44/12</f>
        <v>20.671215446078381</v>
      </c>
      <c r="AW65" s="21">
        <f>EXP(-LN(2)/2)*AW64+(1-EXP(-LN(2)/2))/(LN(2)/2)*AQ65*AT65*VLOOKUP('Données projet'!$B$10,Paramètres!$A$1:$I$89,3,0)*0.475*44/12</f>
        <v>21.511891385054255</v>
      </c>
      <c r="AX65" s="21">
        <f t="shared" si="6"/>
        <v>156.55457277333886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-2.8421709430404007E-14</v>
      </c>
      <c r="BE65" s="13">
        <f>BD65*VLOOKUP('Données projet'!$B$11,Paramètres!$A$1:$I$89,3,0)*VLOOKUP('Données projet'!$B$11,Paramètres!$A$1:$I$89,5,0)</f>
        <v>-2.3055690689943732E-14</v>
      </c>
      <c r="BF65" s="13" t="e">
        <f t="shared" si="37"/>
        <v>#NUM!</v>
      </c>
      <c r="BG65" s="20" t="e">
        <f t="shared" si="7"/>
        <v>#NUM!</v>
      </c>
      <c r="BH65" s="59" t="e">
        <f t="shared" si="8"/>
        <v>#NUM!</v>
      </c>
      <c r="BI65" s="59">
        <f ca="1">AVERAGE(OFFSET($BH$3,0,0,'Données projet'!$E$11+1,1))-AVERAGE(OFFSET($H$3,0,0,'Données projet'!$E$11+1,1))</f>
        <v>5.8584049049231908</v>
      </c>
      <c r="BJ65" s="59">
        <f t="shared" si="38"/>
        <v>42.266833200216638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5.0594043114783136E-3</v>
      </c>
      <c r="BS65" s="22">
        <f t="shared" si="9"/>
        <v>5.0594043114783136E-3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>
        <f>BY65*VLOOKUP('Données projet'!$B$12,Paramètres!$A$1:$I$89,3,0)*VLOOKUP('Données projet'!$B$12,Paramètres!$A$1:$I$89,5,0)</f>
        <v>0</v>
      </c>
      <c r="CA65" s="13" t="e">
        <f t="shared" si="39"/>
        <v>#NUM!</v>
      </c>
      <c r="CB65" s="20" t="e">
        <f t="shared" si="10"/>
        <v>#NUM!</v>
      </c>
      <c r="CC65" s="59" t="e">
        <f t="shared" si="11"/>
        <v>#NUM!</v>
      </c>
      <c r="CD65" s="59">
        <f ca="1">AVERAGE(OFFSET($CC$3,0,0,'Données projet'!$E$12+1,1))-AVERAGE(OFFSET($H$3,0,0,'Données projet'!$E$12+1,1))</f>
        <v>0</v>
      </c>
      <c r="CE65" s="59">
        <f t="shared" si="40"/>
        <v>0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0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>
        <f>CT65*VLOOKUP('Données projet'!$B$13,Paramètres!$A$1:$I$89,3,0)*VLOOKUP('Données projet'!$B$13,Paramètres!$A$1:$I$89,5,0)</f>
        <v>0</v>
      </c>
      <c r="CV65" s="13" t="e">
        <f t="shared" si="41"/>
        <v>#NUM!</v>
      </c>
      <c r="CW65" s="20" t="e">
        <f t="shared" si="13"/>
        <v>#NUM!</v>
      </c>
      <c r="CX65" s="59" t="e">
        <f t="shared" si="14"/>
        <v>#NUM!</v>
      </c>
      <c r="CY65" s="59">
        <f ca="1">AVERAGE(OFFSET($CX$3,0,0,'Données projet'!$E$13+1,1))-AVERAGE(OFFSET($H$3,0,0,'Données projet'!$E$13+1,1))</f>
        <v>0</v>
      </c>
      <c r="CZ65" s="59">
        <f t="shared" si="42"/>
        <v>0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0</v>
      </c>
      <c r="DG65" s="21">
        <f>EXP(-LN(2)/25)*DG64+(1-EXP(-LN(2)/25))/(LN(2)/25)*Calculateur!DB65*Calculateur!DD65*VLOOKUP('Données projet'!$B$13,Paramètres!$A$1:$I$89,3,0)*0.475*44/12</f>
        <v>0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0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>
        <f>DO65*VLOOKUP('Données projet'!$B$14,Paramètres!$A$1:$I$89,3,0)*VLOOKUP('Données projet'!$B$14,Paramètres!$A$1:$I$89,5,0)</f>
        <v>0</v>
      </c>
      <c r="DQ65" s="13" t="e">
        <f t="shared" si="43"/>
        <v>#NUM!</v>
      </c>
      <c r="DR65" s="20" t="e">
        <f t="shared" si="16"/>
        <v>#NUM!</v>
      </c>
      <c r="DS65" s="59" t="e">
        <f t="shared" si="17"/>
        <v>#NUM!</v>
      </c>
      <c r="DT65" s="59">
        <f ca="1">AVERAGE(OFFSET($DS$3,0,0,'Données projet'!$E$14+1,1))-AVERAGE(OFFSET($H$3,0,0,'Données projet'!$E$14+1,1))</f>
        <v>0</v>
      </c>
      <c r="DU65" s="59">
        <f t="shared" si="44"/>
        <v>0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0</v>
      </c>
      <c r="EB65" s="21">
        <f>EXP(-LN(2)/25)*EB64+(1-EXP(-LN(2)/25))/(LN(2)/25)*Calculateur!DW65*Calculateur!DY65*VLOOKUP('Données projet'!$B$14,Paramètres!$A$1:$I$89,3,0)*0.475*44/12</f>
        <v>0</v>
      </c>
      <c r="EC65" s="21">
        <f>EXP(-LN(2)/2)*EC64+(1-EXP(-LN(2)/2))/(LN(2)/2)*DW65*DZ65*VLOOKUP('Données projet'!$B$14,Paramètres!$A$1:$I$89,3,0)*0.475*44/12</f>
        <v>0</v>
      </c>
      <c r="ED65" s="22">
        <f t="shared" si="18"/>
        <v>0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>
        <f>EJ65*VLOOKUP('Données projet'!$B$15,Paramètres!$A$1:$I$89,3,0)*VLOOKUP('Données projet'!$B$15,Paramètres!$A$1:$I$89,5,0)</f>
        <v>0</v>
      </c>
      <c r="EL65" s="13" t="e">
        <f t="shared" si="45"/>
        <v>#NUM!</v>
      </c>
      <c r="EM65" s="20" t="e">
        <f t="shared" si="19"/>
        <v>#NUM!</v>
      </c>
      <c r="EN65" s="59" t="e">
        <f t="shared" si="20"/>
        <v>#NUM!</v>
      </c>
      <c r="EO65" s="59">
        <f ca="1">AVERAGE(OFFSET($EN$3,0,0,'Données projet'!$E$15+1,1))-AVERAGE(OFFSET($H$3,0,0,'Données projet'!$E$15+1,1))</f>
        <v>0</v>
      </c>
      <c r="EP65" s="59">
        <f t="shared" si="46"/>
        <v>0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>
        <f>EXP(-LN(2)/35)*EV64+(1-EXP(-LN(2)/35))/(LN(2)/35)*ER65*ES65*VLOOKUP('Données projet'!$B$15,Paramètres!$A$1:$I$89,3,0)*0.475*44/12</f>
        <v>0</v>
      </c>
      <c r="EW65" s="21">
        <f>EXP(-LN(2)/25)*EW64+(1-EXP(-LN(2)/25))/(LN(2)/25)*Calculateur!ER65*Calculateur!ET65*VLOOKUP('Données projet'!$B$15,Paramètres!$A$1:$I$89,3,0)*0.475*44/12</f>
        <v>0</v>
      </c>
      <c r="EX65" s="21">
        <f>EXP(-LN(2)/2)*EX64+(1-EXP(-LN(2)/2))/(LN(2)/2)*ER65*EU65*VLOOKUP('Données projet'!$B$15,Paramètres!$A$1:$I$89,3,0)*0.475*44/12</f>
        <v>0</v>
      </c>
      <c r="EY65" s="22">
        <f t="shared" si="21"/>
        <v>0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>
        <f>FE65*VLOOKUP('Données projet'!$B$16,Paramètres!$A$1:$I$89,3,0)*VLOOKUP('Données projet'!$B$16,Paramètres!$A$1:$I$89,5,0)</f>
        <v>0</v>
      </c>
      <c r="FG65" s="13" t="e">
        <f t="shared" si="47"/>
        <v>#NUM!</v>
      </c>
      <c r="FH65" s="20" t="e">
        <f t="shared" si="22"/>
        <v>#NUM!</v>
      </c>
      <c r="FI65" s="59" t="e">
        <f t="shared" si="23"/>
        <v>#NUM!</v>
      </c>
      <c r="FJ65" s="59">
        <f ca="1">AVERAGE(OFFSET($FI$3,0,0,'Données projet'!$E$16+1,1))-AVERAGE(OFFSET($H$3,0,0,'Données projet'!$E$16+1,1))</f>
        <v>0</v>
      </c>
      <c r="FK65" s="59">
        <f t="shared" si="48"/>
        <v>0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>
        <f>EXP(-LN(2)/35)*FQ64+(1-EXP(-LN(2)/35))/(LN(2)/35)*FM65*FN65*VLOOKUP('Données projet'!$B$16,Paramètres!$A$1:$I$89,3,0)*0.475*44/12</f>
        <v>0</v>
      </c>
      <c r="FR65" s="21">
        <f>EXP(-LN(2)/25)*FR64+(1-EXP(-LN(2)/25))/(LN(2)/25)*Calculateur!FM65*Calculateur!FO65*VLOOKUP('Données projet'!$B$16,Paramètres!$A$1:$I$89,3,0)*0.475*44/12</f>
        <v>0</v>
      </c>
      <c r="FS65" s="21">
        <f>EXP(-LN(2)/2)*FS64+(1-EXP(-LN(2)/2))/(LN(2)/2)*FM65*FP65*VLOOKUP('Données projet'!$B$16,Paramètres!$A$1:$I$89,3,0)*0.475*44/12</f>
        <v>0</v>
      </c>
      <c r="FT65" s="22">
        <f t="shared" si="24"/>
        <v>0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1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186.90544184210381</v>
      </c>
      <c r="T66" s="59">
        <f t="shared" si="34"/>
        <v>202.05988514450519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112.12871125478557</v>
      </c>
      <c r="AA66" s="21">
        <f>EXP(-LN(2)/25)*AA65+(1-EXP(-LN(2)/25))/(LN(2)/25)*Calculateur!V66*Calculateur!X66*VLOOKUP('Données projet'!$B$9,Paramètres!$A$1:$I$89,3,0)*0.475*44/12</f>
        <v>20.105959972653391</v>
      </c>
      <c r="AB66" s="21">
        <f>EXP(-LN(2)/2)*AB65+(1-EXP(-LN(2)/2))/(LN(2)/2)*V66*Y66*VLOOKUP('Données projet'!$B$9,Paramètres!$A$1:$I$89,3,0)*0.475*44/12</f>
        <v>15.211204274520338</v>
      </c>
      <c r="AC66" s="22">
        <f t="shared" si="3"/>
        <v>147.44587550195928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>
        <f>AI66*VLOOKUP('Données projet'!$B$10,Paramètres!$A$1:$I$89,3,0)*VLOOKUP('Données projet'!$B$10,Paramètres!$A$1:$I$89,5,0)</f>
        <v>0</v>
      </c>
      <c r="AK66" s="13" t="e">
        <f t="shared" si="35"/>
        <v>#NUM!</v>
      </c>
      <c r="AL66" s="20" t="e">
        <f t="shared" si="4"/>
        <v>#NUM!</v>
      </c>
      <c r="AM66" s="59" t="e">
        <f t="shared" si="5"/>
        <v>#NUM!</v>
      </c>
      <c r="AN66" s="59">
        <f ca="1">AVERAGE(OFFSET($AM$3,0,0,'Données projet'!$E$10+1,1))-AVERAGE(OFFSET($H$3,0,0,'Données projet'!$E$10+1,1))</f>
        <v>186.90544184210381</v>
      </c>
      <c r="AO66" s="59">
        <f t="shared" si="36"/>
        <v>202.05988514450519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112.12871125478557</v>
      </c>
      <c r="AV66" s="21">
        <f>EXP(-LN(2)/25)*AV65+(1-EXP(-LN(2)/25))/(LN(2)/25)*Calculateur!AQ66*Calculateur!AS66*VLOOKUP('Données projet'!$B$10,Paramètres!$A$1:$I$89,3,0)*0.475*44/12</f>
        <v>20.105959972653391</v>
      </c>
      <c r="AW66" s="21">
        <f>EXP(-LN(2)/2)*AW65+(1-EXP(-LN(2)/2))/(LN(2)/2)*AQ66*AT66*VLOOKUP('Données projet'!$B$10,Paramètres!$A$1:$I$89,3,0)*0.475*44/12</f>
        <v>15.211204274520338</v>
      </c>
      <c r="AX66" s="21">
        <f t="shared" si="6"/>
        <v>147.44587550195928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-2.8421709430404007E-14</v>
      </c>
      <c r="BE66" s="13">
        <f>BD66*VLOOKUP('Données projet'!$B$11,Paramètres!$A$1:$I$89,3,0)*VLOOKUP('Données projet'!$B$11,Paramètres!$A$1:$I$89,5,0)</f>
        <v>-2.3055690689943732E-14</v>
      </c>
      <c r="BF66" s="13" t="e">
        <f t="shared" si="37"/>
        <v>#NUM!</v>
      </c>
      <c r="BG66" s="20" t="e">
        <f t="shared" si="7"/>
        <v>#NUM!</v>
      </c>
      <c r="BH66" s="59" t="e">
        <f t="shared" si="8"/>
        <v>#NUM!</v>
      </c>
      <c r="BI66" s="59">
        <f ca="1">AVERAGE(OFFSET($BH$3,0,0,'Données projet'!$E$11+1,1))-AVERAGE(OFFSET($H$3,0,0,'Données projet'!$E$11+1,1))</f>
        <v>5.8584049049231908</v>
      </c>
      <c r="BJ66" s="59">
        <f t="shared" si="38"/>
        <v>42.266833200216638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3.5775390974107711E-3</v>
      </c>
      <c r="BS66" s="22">
        <f t="shared" si="9"/>
        <v>3.5775390974107711E-3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>
        <f>BY66*VLOOKUP('Données projet'!$B$12,Paramètres!$A$1:$I$89,3,0)*VLOOKUP('Données projet'!$B$12,Paramètres!$A$1:$I$89,5,0)</f>
        <v>0</v>
      </c>
      <c r="CA66" s="13" t="e">
        <f t="shared" si="39"/>
        <v>#NUM!</v>
      </c>
      <c r="CB66" s="20" t="e">
        <f t="shared" si="10"/>
        <v>#NUM!</v>
      </c>
      <c r="CC66" s="59" t="e">
        <f t="shared" si="11"/>
        <v>#NUM!</v>
      </c>
      <c r="CD66" s="59">
        <f ca="1">AVERAGE(OFFSET($CC$3,0,0,'Données projet'!$E$12+1,1))-AVERAGE(OFFSET($H$3,0,0,'Données projet'!$E$12+1,1))</f>
        <v>0</v>
      </c>
      <c r="CE66" s="59">
        <f t="shared" si="40"/>
        <v>0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0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>
        <f>CT66*VLOOKUP('Données projet'!$B$13,Paramètres!$A$1:$I$89,3,0)*VLOOKUP('Données projet'!$B$13,Paramètres!$A$1:$I$89,5,0)</f>
        <v>0</v>
      </c>
      <c r="CV66" s="13" t="e">
        <f t="shared" si="41"/>
        <v>#NUM!</v>
      </c>
      <c r="CW66" s="20" t="e">
        <f t="shared" si="13"/>
        <v>#NUM!</v>
      </c>
      <c r="CX66" s="59" t="e">
        <f t="shared" si="14"/>
        <v>#NUM!</v>
      </c>
      <c r="CY66" s="59">
        <f ca="1">AVERAGE(OFFSET($CX$3,0,0,'Données projet'!$E$13+1,1))-AVERAGE(OFFSET($H$3,0,0,'Données projet'!$E$13+1,1))</f>
        <v>0</v>
      </c>
      <c r="CZ66" s="59">
        <f t="shared" si="42"/>
        <v>0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0</v>
      </c>
      <c r="DG66" s="21">
        <f>EXP(-LN(2)/25)*DG65+(1-EXP(-LN(2)/25))/(LN(2)/25)*Calculateur!DB66*Calculateur!DD66*VLOOKUP('Données projet'!$B$13,Paramètres!$A$1:$I$89,3,0)*0.475*44/12</f>
        <v>0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0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>
        <f>DO66*VLOOKUP('Données projet'!$B$14,Paramètres!$A$1:$I$89,3,0)*VLOOKUP('Données projet'!$B$14,Paramètres!$A$1:$I$89,5,0)</f>
        <v>0</v>
      </c>
      <c r="DQ66" s="13" t="e">
        <f t="shared" si="43"/>
        <v>#NUM!</v>
      </c>
      <c r="DR66" s="20" t="e">
        <f t="shared" si="16"/>
        <v>#NUM!</v>
      </c>
      <c r="DS66" s="59" t="e">
        <f t="shared" si="17"/>
        <v>#NUM!</v>
      </c>
      <c r="DT66" s="59">
        <f ca="1">AVERAGE(OFFSET($DS$3,0,0,'Données projet'!$E$14+1,1))-AVERAGE(OFFSET($H$3,0,0,'Données projet'!$E$14+1,1))</f>
        <v>0</v>
      </c>
      <c r="DU66" s="59">
        <f t="shared" si="44"/>
        <v>0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0</v>
      </c>
      <c r="EB66" s="21">
        <f>EXP(-LN(2)/25)*EB65+(1-EXP(-LN(2)/25))/(LN(2)/25)*Calculateur!DW66*Calculateur!DY66*VLOOKUP('Données projet'!$B$14,Paramètres!$A$1:$I$89,3,0)*0.475*44/12</f>
        <v>0</v>
      </c>
      <c r="EC66" s="21">
        <f>EXP(-LN(2)/2)*EC65+(1-EXP(-LN(2)/2))/(LN(2)/2)*DW66*DZ66*VLOOKUP('Données projet'!$B$14,Paramètres!$A$1:$I$89,3,0)*0.475*44/12</f>
        <v>0</v>
      </c>
      <c r="ED66" s="22">
        <f t="shared" si="18"/>
        <v>0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>
        <f>EJ66*VLOOKUP('Données projet'!$B$15,Paramètres!$A$1:$I$89,3,0)*VLOOKUP('Données projet'!$B$15,Paramètres!$A$1:$I$89,5,0)</f>
        <v>0</v>
      </c>
      <c r="EL66" s="13" t="e">
        <f t="shared" si="45"/>
        <v>#NUM!</v>
      </c>
      <c r="EM66" s="20" t="e">
        <f t="shared" si="19"/>
        <v>#NUM!</v>
      </c>
      <c r="EN66" s="59" t="e">
        <f t="shared" si="20"/>
        <v>#NUM!</v>
      </c>
      <c r="EO66" s="59">
        <f ca="1">AVERAGE(OFFSET($EN$3,0,0,'Données projet'!$E$15+1,1))-AVERAGE(OFFSET($H$3,0,0,'Données projet'!$E$15+1,1))</f>
        <v>0</v>
      </c>
      <c r="EP66" s="59">
        <f t="shared" si="46"/>
        <v>0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>
        <f>EXP(-LN(2)/35)*EV65+(1-EXP(-LN(2)/35))/(LN(2)/35)*ER66*ES66*VLOOKUP('Données projet'!$B$15,Paramètres!$A$1:$I$89,3,0)*0.475*44/12</f>
        <v>0</v>
      </c>
      <c r="EW66" s="21">
        <f>EXP(-LN(2)/25)*EW65+(1-EXP(-LN(2)/25))/(LN(2)/25)*Calculateur!ER66*Calculateur!ET66*VLOOKUP('Données projet'!$B$15,Paramètres!$A$1:$I$89,3,0)*0.475*44/12</f>
        <v>0</v>
      </c>
      <c r="EX66" s="21">
        <f>EXP(-LN(2)/2)*EX65+(1-EXP(-LN(2)/2))/(LN(2)/2)*ER66*EU66*VLOOKUP('Données projet'!$B$15,Paramètres!$A$1:$I$89,3,0)*0.475*44/12</f>
        <v>0</v>
      </c>
      <c r="EY66" s="22">
        <f t="shared" si="21"/>
        <v>0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>
        <f>FE66*VLOOKUP('Données projet'!$B$16,Paramètres!$A$1:$I$89,3,0)*VLOOKUP('Données projet'!$B$16,Paramètres!$A$1:$I$89,5,0)</f>
        <v>0</v>
      </c>
      <c r="FG66" s="13" t="e">
        <f t="shared" si="47"/>
        <v>#NUM!</v>
      </c>
      <c r="FH66" s="20" t="e">
        <f t="shared" si="22"/>
        <v>#NUM!</v>
      </c>
      <c r="FI66" s="59" t="e">
        <f t="shared" si="23"/>
        <v>#NUM!</v>
      </c>
      <c r="FJ66" s="59">
        <f ca="1">AVERAGE(OFFSET($FI$3,0,0,'Données projet'!$E$16+1,1))-AVERAGE(OFFSET($H$3,0,0,'Données projet'!$E$16+1,1))</f>
        <v>0</v>
      </c>
      <c r="FK66" s="59">
        <f t="shared" si="48"/>
        <v>0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>
        <f>EXP(-LN(2)/35)*FQ65+(1-EXP(-LN(2)/35))/(LN(2)/35)*FM66*FN66*VLOOKUP('Données projet'!$B$16,Paramètres!$A$1:$I$89,3,0)*0.475*44/12</f>
        <v>0</v>
      </c>
      <c r="FR66" s="21">
        <f>EXP(-LN(2)/25)*FR65+(1-EXP(-LN(2)/25))/(LN(2)/25)*Calculateur!FM66*Calculateur!FO66*VLOOKUP('Données projet'!$B$16,Paramètres!$A$1:$I$89,3,0)*0.475*44/12</f>
        <v>0</v>
      </c>
      <c r="FS66" s="21">
        <f>EXP(-LN(2)/2)*FS65+(1-EXP(-LN(2)/2))/(LN(2)/2)*FM66*FP66*VLOOKUP('Données projet'!$B$16,Paramètres!$A$1:$I$89,3,0)*0.475*44/12</f>
        <v>0</v>
      </c>
      <c r="FT66" s="22">
        <f t="shared" si="24"/>
        <v>0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si="1"/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186.90544184210381</v>
      </c>
      <c r="T67" s="59">
        <f t="shared" si="34"/>
        <v>202.05988514450519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109.92993561883996</v>
      </c>
      <c r="AA67" s="21">
        <f>EXP(-LN(2)/25)*AA66+(1-EXP(-LN(2)/25))/(LN(2)/25)*Calculateur!V67*Calculateur!X67*VLOOKUP('Données projet'!$B$9,Paramètres!$A$1:$I$89,3,0)*0.475*44/12</f>
        <v>19.556161439874703</v>
      </c>
      <c r="AB67" s="21">
        <f>EXP(-LN(2)/2)*AB66+(1-EXP(-LN(2)/2))/(LN(2)/2)*V67*Y67*VLOOKUP('Données projet'!$B$9,Paramètres!$A$1:$I$89,3,0)*0.475*44/12</f>
        <v>10.75594569252713</v>
      </c>
      <c r="AC67" s="22">
        <f t="shared" si="3"/>
        <v>140.2420427512418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>
        <f>AI67*VLOOKUP('Données projet'!$B$10,Paramètres!$A$1:$I$89,3,0)*VLOOKUP('Données projet'!$B$10,Paramètres!$A$1:$I$89,5,0)</f>
        <v>0</v>
      </c>
      <c r="AK67" s="13" t="e">
        <f t="shared" si="35"/>
        <v>#NUM!</v>
      </c>
      <c r="AL67" s="20" t="e">
        <f t="shared" si="4"/>
        <v>#NUM!</v>
      </c>
      <c r="AM67" s="59" t="e">
        <f t="shared" si="5"/>
        <v>#NUM!</v>
      </c>
      <c r="AN67" s="59">
        <f ca="1">AVERAGE(OFFSET($AM$3,0,0,'Données projet'!$E$10+1,1))-AVERAGE(OFFSET($H$3,0,0,'Données projet'!$E$10+1,1))</f>
        <v>186.90544184210381</v>
      </c>
      <c r="AO67" s="59">
        <f t="shared" si="36"/>
        <v>202.05988514450519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109.92993561883996</v>
      </c>
      <c r="AV67" s="21">
        <f>EXP(-LN(2)/25)*AV66+(1-EXP(-LN(2)/25))/(LN(2)/25)*Calculateur!AQ67*Calculateur!AS67*VLOOKUP('Données projet'!$B$10,Paramètres!$A$1:$I$89,3,0)*0.475*44/12</f>
        <v>19.556161439874703</v>
      </c>
      <c r="AW67" s="21">
        <f>EXP(-LN(2)/2)*AW66+(1-EXP(-LN(2)/2))/(LN(2)/2)*AQ67*AT67*VLOOKUP('Données projet'!$B$10,Paramètres!$A$1:$I$89,3,0)*0.475*44/12</f>
        <v>10.75594569252713</v>
      </c>
      <c r="AX67" s="21">
        <f t="shared" si="6"/>
        <v>140.2420427512418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-2.8421709430404007E-14</v>
      </c>
      <c r="BE67" s="13">
        <f>BD67*VLOOKUP('Données projet'!$B$11,Paramètres!$A$1:$I$89,3,0)*VLOOKUP('Données projet'!$B$11,Paramètres!$A$1:$I$89,5,0)</f>
        <v>-2.3055690689943732E-14</v>
      </c>
      <c r="BF67" s="13" t="e">
        <f t="shared" si="37"/>
        <v>#NUM!</v>
      </c>
      <c r="BG67" s="20" t="e">
        <f t="shared" si="7"/>
        <v>#NUM!</v>
      </c>
      <c r="BH67" s="59" t="e">
        <f t="shared" si="8"/>
        <v>#NUM!</v>
      </c>
      <c r="BI67" s="59">
        <f ca="1">AVERAGE(OFFSET($BH$3,0,0,'Données projet'!$E$11+1,1))-AVERAGE(OFFSET($H$3,0,0,'Données projet'!$E$11+1,1))</f>
        <v>5.8584049049231908</v>
      </c>
      <c r="BJ67" s="59">
        <f t="shared" si="38"/>
        <v>42.266833200216638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2.5297021557391568E-3</v>
      </c>
      <c r="BS67" s="22">
        <f t="shared" si="9"/>
        <v>2.5297021557391568E-3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>
        <f>BY67*VLOOKUP('Données projet'!$B$12,Paramètres!$A$1:$I$89,3,0)*VLOOKUP('Données projet'!$B$12,Paramètres!$A$1:$I$89,5,0)</f>
        <v>0</v>
      </c>
      <c r="CA67" s="13" t="e">
        <f t="shared" si="39"/>
        <v>#NUM!</v>
      </c>
      <c r="CB67" s="20" t="e">
        <f t="shared" si="10"/>
        <v>#NUM!</v>
      </c>
      <c r="CC67" s="59" t="e">
        <f t="shared" si="11"/>
        <v>#NUM!</v>
      </c>
      <c r="CD67" s="59">
        <f ca="1">AVERAGE(OFFSET($CC$3,0,0,'Données projet'!$E$12+1,1))-AVERAGE(OFFSET($H$3,0,0,'Données projet'!$E$12+1,1))</f>
        <v>0</v>
      </c>
      <c r="CE67" s="59">
        <f t="shared" si="40"/>
        <v>0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0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>
        <f>CT67*VLOOKUP('Données projet'!$B$13,Paramètres!$A$1:$I$89,3,0)*VLOOKUP('Données projet'!$B$13,Paramètres!$A$1:$I$89,5,0)</f>
        <v>0</v>
      </c>
      <c r="CV67" s="13" t="e">
        <f t="shared" si="41"/>
        <v>#NUM!</v>
      </c>
      <c r="CW67" s="20" t="e">
        <f t="shared" si="13"/>
        <v>#NUM!</v>
      </c>
      <c r="CX67" s="59" t="e">
        <f t="shared" si="14"/>
        <v>#NUM!</v>
      </c>
      <c r="CY67" s="59">
        <f ca="1">AVERAGE(OFFSET($CX$3,0,0,'Données projet'!$E$13+1,1))-AVERAGE(OFFSET($H$3,0,0,'Données projet'!$E$13+1,1))</f>
        <v>0</v>
      </c>
      <c r="CZ67" s="59">
        <f t="shared" si="42"/>
        <v>0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0</v>
      </c>
      <c r="DG67" s="21">
        <f>EXP(-LN(2)/25)*DG66+(1-EXP(-LN(2)/25))/(LN(2)/25)*Calculateur!DB67*Calculateur!DD67*VLOOKUP('Données projet'!$B$13,Paramètres!$A$1:$I$89,3,0)*0.475*44/12</f>
        <v>0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0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>
        <f>DO67*VLOOKUP('Données projet'!$B$14,Paramètres!$A$1:$I$89,3,0)*VLOOKUP('Données projet'!$B$14,Paramètres!$A$1:$I$89,5,0)</f>
        <v>0</v>
      </c>
      <c r="DQ67" s="13" t="e">
        <f t="shared" si="43"/>
        <v>#NUM!</v>
      </c>
      <c r="DR67" s="20" t="e">
        <f t="shared" si="16"/>
        <v>#NUM!</v>
      </c>
      <c r="DS67" s="59" t="e">
        <f t="shared" si="17"/>
        <v>#NUM!</v>
      </c>
      <c r="DT67" s="59">
        <f ca="1">AVERAGE(OFFSET($DS$3,0,0,'Données projet'!$E$14+1,1))-AVERAGE(OFFSET($H$3,0,0,'Données projet'!$E$14+1,1))</f>
        <v>0</v>
      </c>
      <c r="DU67" s="59">
        <f t="shared" si="44"/>
        <v>0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0</v>
      </c>
      <c r="EB67" s="21">
        <f>EXP(-LN(2)/25)*EB66+(1-EXP(-LN(2)/25))/(LN(2)/25)*Calculateur!DW67*Calculateur!DY67*VLOOKUP('Données projet'!$B$14,Paramètres!$A$1:$I$89,3,0)*0.475*44/12</f>
        <v>0</v>
      </c>
      <c r="EC67" s="21">
        <f>EXP(-LN(2)/2)*EC66+(1-EXP(-LN(2)/2))/(LN(2)/2)*DW67*DZ67*VLOOKUP('Données projet'!$B$14,Paramètres!$A$1:$I$89,3,0)*0.475*44/12</f>
        <v>0</v>
      </c>
      <c r="ED67" s="22">
        <f t="shared" si="18"/>
        <v>0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>
        <f>EJ67*VLOOKUP('Données projet'!$B$15,Paramètres!$A$1:$I$89,3,0)*VLOOKUP('Données projet'!$B$15,Paramètres!$A$1:$I$89,5,0)</f>
        <v>0</v>
      </c>
      <c r="EL67" s="13" t="e">
        <f t="shared" si="45"/>
        <v>#NUM!</v>
      </c>
      <c r="EM67" s="20" t="e">
        <f t="shared" si="19"/>
        <v>#NUM!</v>
      </c>
      <c r="EN67" s="59" t="e">
        <f t="shared" si="20"/>
        <v>#NUM!</v>
      </c>
      <c r="EO67" s="59">
        <f ca="1">AVERAGE(OFFSET($EN$3,0,0,'Données projet'!$E$15+1,1))-AVERAGE(OFFSET($H$3,0,0,'Données projet'!$E$15+1,1))</f>
        <v>0</v>
      </c>
      <c r="EP67" s="59">
        <f t="shared" si="46"/>
        <v>0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>
        <f>EXP(-LN(2)/35)*EV66+(1-EXP(-LN(2)/35))/(LN(2)/35)*ER67*ES67*VLOOKUP('Données projet'!$B$15,Paramètres!$A$1:$I$89,3,0)*0.475*44/12</f>
        <v>0</v>
      </c>
      <c r="EW67" s="21">
        <f>EXP(-LN(2)/25)*EW66+(1-EXP(-LN(2)/25))/(LN(2)/25)*Calculateur!ER67*Calculateur!ET67*VLOOKUP('Données projet'!$B$15,Paramètres!$A$1:$I$89,3,0)*0.475*44/12</f>
        <v>0</v>
      </c>
      <c r="EX67" s="21">
        <f>EXP(-LN(2)/2)*EX66+(1-EXP(-LN(2)/2))/(LN(2)/2)*ER67*EU67*VLOOKUP('Données projet'!$B$15,Paramètres!$A$1:$I$89,3,0)*0.475*44/12</f>
        <v>0</v>
      </c>
      <c r="EY67" s="22">
        <f t="shared" si="21"/>
        <v>0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>
        <f>FE67*VLOOKUP('Données projet'!$B$16,Paramètres!$A$1:$I$89,3,0)*VLOOKUP('Données projet'!$B$16,Paramètres!$A$1:$I$89,5,0)</f>
        <v>0</v>
      </c>
      <c r="FG67" s="13" t="e">
        <f t="shared" si="47"/>
        <v>#NUM!</v>
      </c>
      <c r="FH67" s="20" t="e">
        <f t="shared" si="22"/>
        <v>#NUM!</v>
      </c>
      <c r="FI67" s="59" t="e">
        <f t="shared" si="23"/>
        <v>#NUM!</v>
      </c>
      <c r="FJ67" s="59">
        <f ca="1">AVERAGE(OFFSET($FI$3,0,0,'Données projet'!$E$16+1,1))-AVERAGE(OFFSET($H$3,0,0,'Données projet'!$E$16+1,1))</f>
        <v>0</v>
      </c>
      <c r="FK67" s="59">
        <f t="shared" si="48"/>
        <v>0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>
        <f>EXP(-LN(2)/35)*FQ66+(1-EXP(-LN(2)/35))/(LN(2)/35)*FM67*FN67*VLOOKUP('Données projet'!$B$16,Paramètres!$A$1:$I$89,3,0)*0.475*44/12</f>
        <v>0</v>
      </c>
      <c r="FR67" s="21">
        <f>EXP(-LN(2)/25)*FR66+(1-EXP(-LN(2)/25))/(LN(2)/25)*Calculateur!FM67*Calculateur!FO67*VLOOKUP('Données projet'!$B$16,Paramètres!$A$1:$I$89,3,0)*0.475*44/12</f>
        <v>0</v>
      </c>
      <c r="FS67" s="21">
        <f>EXP(-LN(2)/2)*FS66+(1-EXP(-LN(2)/2))/(LN(2)/2)*FM67*FP67*VLOOKUP('Données projet'!$B$16,Paramètres!$A$1:$I$89,3,0)*0.475*44/12</f>
        <v>0</v>
      </c>
      <c r="FT67" s="22">
        <f t="shared" si="24"/>
        <v>0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ref="H68:H131" si="56">(B68+E68+F68)*44/12+(C68+D68)*0.475*44/12</f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186.90544184210381</v>
      </c>
      <c r="T68" s="59">
        <f t="shared" si="34"/>
        <v>202.05988514450519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107.77427663199454</v>
      </c>
      <c r="AA68" s="21">
        <f>EXP(-LN(2)/25)*AA67+(1-EXP(-LN(2)/25))/(LN(2)/25)*Calculateur!V68*Calculateur!X68*VLOOKUP('Données projet'!$B$9,Paramètres!$A$1:$I$89,3,0)*0.475*44/12</f>
        <v>19.021397176887497</v>
      </c>
      <c r="AB68" s="21">
        <f>EXP(-LN(2)/2)*AB67+(1-EXP(-LN(2)/2))/(LN(2)/2)*V68*Y68*VLOOKUP('Données projet'!$B$9,Paramètres!$A$1:$I$89,3,0)*0.475*44/12</f>
        <v>7.6056021372601696</v>
      </c>
      <c r="AC68" s="22">
        <f t="shared" ref="AC68:AC131" si="57">SUM(Z68:AB68)</f>
        <v>134.40127594614222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>
        <f>AI68*VLOOKUP('Données projet'!$B$10,Paramètres!$A$1:$I$89,3,0)*VLOOKUP('Données projet'!$B$10,Paramètres!$A$1:$I$89,5,0)</f>
        <v>0</v>
      </c>
      <c r="AK68" s="13" t="e">
        <f t="shared" si="35"/>
        <v>#NUM!</v>
      </c>
      <c r="AL68" s="20" t="e">
        <f t="shared" ref="AL68:AL131" si="58">(AJ68+AK68)*0.475*44/12</f>
        <v>#NUM!</v>
      </c>
      <c r="AM68" s="59" t="e">
        <f t="shared" ref="AM68:AM131" si="59">AL68+(AD68+AE68)*44/12</f>
        <v>#NUM!</v>
      </c>
      <c r="AN68" s="59">
        <f ca="1">AVERAGE(OFFSET($AM$3,0,0,'Données projet'!$E$10+1,1))-AVERAGE(OFFSET($H$3,0,0,'Données projet'!$E$10+1,1))</f>
        <v>186.90544184210381</v>
      </c>
      <c r="AO68" s="59">
        <f t="shared" si="36"/>
        <v>202.05988514450519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107.77427663199454</v>
      </c>
      <c r="AV68" s="21">
        <f>EXP(-LN(2)/25)*AV67+(1-EXP(-LN(2)/25))/(LN(2)/25)*Calculateur!AQ68*Calculateur!AS68*VLOOKUP('Données projet'!$B$10,Paramètres!$A$1:$I$89,3,0)*0.475*44/12</f>
        <v>19.021397176887497</v>
      </c>
      <c r="AW68" s="21">
        <f>EXP(-LN(2)/2)*AW67+(1-EXP(-LN(2)/2))/(LN(2)/2)*AQ68*AT68*VLOOKUP('Données projet'!$B$10,Paramètres!$A$1:$I$89,3,0)*0.475*44/12</f>
        <v>7.6056021372601696</v>
      </c>
      <c r="AX68" s="21">
        <f t="shared" ref="AX68:AX131" si="60">SUM(AU68:AW68)</f>
        <v>134.40127594614222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-2.8421709430404007E-14</v>
      </c>
      <c r="BE68" s="13">
        <f>BD68*VLOOKUP('Données projet'!$B$11,Paramètres!$A$1:$I$89,3,0)*VLOOKUP('Données projet'!$B$11,Paramètres!$A$1:$I$89,5,0)</f>
        <v>-2.3055690689943732E-14</v>
      </c>
      <c r="BF68" s="13" t="e">
        <f t="shared" si="37"/>
        <v>#NUM!</v>
      </c>
      <c r="BG68" s="20" t="e">
        <f t="shared" ref="BG68:BG131" si="61">(BE68+BF68)*0.475*44/12</f>
        <v>#NUM!</v>
      </c>
      <c r="BH68" s="59" t="e">
        <f t="shared" ref="BH68:BH131" si="62">BG68+(AY68+AZ68)*44/12</f>
        <v>#NUM!</v>
      </c>
      <c r="BI68" s="59">
        <f ca="1">AVERAGE(OFFSET($BH$3,0,0,'Données projet'!$E$11+1,1))-AVERAGE(OFFSET($H$3,0,0,'Données projet'!$E$11+1,1))</f>
        <v>5.8584049049231908</v>
      </c>
      <c r="BJ68" s="59">
        <f t="shared" si="38"/>
        <v>42.266833200216638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1.7887695487053855E-3</v>
      </c>
      <c r="BS68" s="22">
        <f t="shared" ref="BS68:BS131" si="63">SUM(BP68:BR68)</f>
        <v>1.7887695487053855E-3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>
        <f>BY68*VLOOKUP('Données projet'!$B$12,Paramètres!$A$1:$I$89,3,0)*VLOOKUP('Données projet'!$B$12,Paramètres!$A$1:$I$89,5,0)</f>
        <v>0</v>
      </c>
      <c r="CA68" s="13" t="e">
        <f t="shared" si="39"/>
        <v>#NUM!</v>
      </c>
      <c r="CB68" s="20" t="e">
        <f t="shared" ref="CB68:CB131" si="64">(BZ68+CA68)*0.475*44/12</f>
        <v>#NUM!</v>
      </c>
      <c r="CC68" s="59" t="e">
        <f t="shared" ref="CC68:CC131" si="65">CB68+(BT68+BU68)*44/12</f>
        <v>#NUM!</v>
      </c>
      <c r="CD68" s="59">
        <f ca="1">AVERAGE(OFFSET($CC$3,0,0,'Données projet'!$E$12+1,1))-AVERAGE(OFFSET($H$3,0,0,'Données projet'!$E$12+1,1))</f>
        <v>0</v>
      </c>
      <c r="CE68" s="59">
        <f t="shared" si="40"/>
        <v>0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0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0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>
        <f>CT68*VLOOKUP('Données projet'!$B$13,Paramètres!$A$1:$I$89,3,0)*VLOOKUP('Données projet'!$B$13,Paramètres!$A$1:$I$89,5,0)</f>
        <v>0</v>
      </c>
      <c r="CV68" s="13" t="e">
        <f t="shared" si="41"/>
        <v>#NUM!</v>
      </c>
      <c r="CW68" s="20" t="e">
        <f t="shared" ref="CW68:CW131" si="67">(CU68+CV68)*0.475*44/12</f>
        <v>#NUM!</v>
      </c>
      <c r="CX68" s="59" t="e">
        <f t="shared" ref="CX68:CX131" si="68">CW68+(CO68+CP68)*44/12</f>
        <v>#NUM!</v>
      </c>
      <c r="CY68" s="59">
        <f ca="1">AVERAGE(OFFSET($CX$3,0,0,'Données projet'!$E$13+1,1))-AVERAGE(OFFSET($H$3,0,0,'Données projet'!$E$13+1,1))</f>
        <v>0</v>
      </c>
      <c r="CZ68" s="59">
        <f t="shared" si="42"/>
        <v>0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0</v>
      </c>
      <c r="DG68" s="21">
        <f>EXP(-LN(2)/25)*DG67+(1-EXP(-LN(2)/25))/(LN(2)/25)*Calculateur!DB68*Calculateur!DD68*VLOOKUP('Données projet'!$B$13,Paramètres!$A$1:$I$89,3,0)*0.475*44/12</f>
        <v>0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0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>
        <f>DO68*VLOOKUP('Données projet'!$B$14,Paramètres!$A$1:$I$89,3,0)*VLOOKUP('Données projet'!$B$14,Paramètres!$A$1:$I$89,5,0)</f>
        <v>0</v>
      </c>
      <c r="DQ68" s="13" t="e">
        <f t="shared" si="43"/>
        <v>#NUM!</v>
      </c>
      <c r="DR68" s="20" t="e">
        <f t="shared" ref="DR68:DR131" si="70">(DP68+DQ68)*0.475*44/12</f>
        <v>#NUM!</v>
      </c>
      <c r="DS68" s="59" t="e">
        <f t="shared" ref="DS68:DS131" si="71">DR68+(DJ68+DK68)*44/12</f>
        <v>#NUM!</v>
      </c>
      <c r="DT68" s="59">
        <f ca="1">AVERAGE(OFFSET($DS$3,0,0,'Données projet'!$E$14+1,1))-AVERAGE(OFFSET($H$3,0,0,'Données projet'!$E$14+1,1))</f>
        <v>0</v>
      </c>
      <c r="DU68" s="59">
        <f t="shared" si="44"/>
        <v>0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0</v>
      </c>
      <c r="EB68" s="21">
        <f>EXP(-LN(2)/25)*EB67+(1-EXP(-LN(2)/25))/(LN(2)/25)*Calculateur!DW68*Calculateur!DY68*VLOOKUP('Données projet'!$B$14,Paramètres!$A$1:$I$89,3,0)*0.475*44/12</f>
        <v>0</v>
      </c>
      <c r="EC68" s="21">
        <f>EXP(-LN(2)/2)*EC67+(1-EXP(-LN(2)/2))/(LN(2)/2)*DW68*DZ68*VLOOKUP('Données projet'!$B$14,Paramètres!$A$1:$I$89,3,0)*0.475*44/12</f>
        <v>0</v>
      </c>
      <c r="ED68" s="22">
        <f t="shared" ref="ED68:ED131" si="72">SUM(EA68:EC68)</f>
        <v>0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>
        <f>EJ68*VLOOKUP('Données projet'!$B$15,Paramètres!$A$1:$I$89,3,0)*VLOOKUP('Données projet'!$B$15,Paramètres!$A$1:$I$89,5,0)</f>
        <v>0</v>
      </c>
      <c r="EL68" s="13" t="e">
        <f t="shared" si="45"/>
        <v>#NUM!</v>
      </c>
      <c r="EM68" s="20" t="e">
        <f t="shared" ref="EM68:EM131" si="73">(EK68+EL68)*0.475*44/12</f>
        <v>#NUM!</v>
      </c>
      <c r="EN68" s="59" t="e">
        <f t="shared" ref="EN68:EN131" si="74">EM68+(EE68+EF68)*44/12</f>
        <v>#NUM!</v>
      </c>
      <c r="EO68" s="59">
        <f ca="1">AVERAGE(OFFSET($EN$3,0,0,'Données projet'!$E$15+1,1))-AVERAGE(OFFSET($H$3,0,0,'Données projet'!$E$15+1,1))</f>
        <v>0</v>
      </c>
      <c r="EP68" s="59">
        <f t="shared" si="46"/>
        <v>0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>
        <f>EXP(-LN(2)/35)*EV67+(1-EXP(-LN(2)/35))/(LN(2)/35)*ER68*ES68*VLOOKUP('Données projet'!$B$15,Paramètres!$A$1:$I$89,3,0)*0.475*44/12</f>
        <v>0</v>
      </c>
      <c r="EW68" s="21">
        <f>EXP(-LN(2)/25)*EW67+(1-EXP(-LN(2)/25))/(LN(2)/25)*Calculateur!ER68*Calculateur!ET68*VLOOKUP('Données projet'!$B$15,Paramètres!$A$1:$I$89,3,0)*0.475*44/12</f>
        <v>0</v>
      </c>
      <c r="EX68" s="21">
        <f>EXP(-LN(2)/2)*EX67+(1-EXP(-LN(2)/2))/(LN(2)/2)*ER68*EU68*VLOOKUP('Données projet'!$B$15,Paramètres!$A$1:$I$89,3,0)*0.475*44/12</f>
        <v>0</v>
      </c>
      <c r="EY68" s="22">
        <f t="shared" ref="EY68:EY131" si="75">SUM(EV68:EX68)</f>
        <v>0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>
        <f>FE68*VLOOKUP('Données projet'!$B$16,Paramètres!$A$1:$I$89,3,0)*VLOOKUP('Données projet'!$B$16,Paramètres!$A$1:$I$89,5,0)</f>
        <v>0</v>
      </c>
      <c r="FG68" s="13" t="e">
        <f t="shared" si="47"/>
        <v>#NUM!</v>
      </c>
      <c r="FH68" s="20" t="e">
        <f t="shared" ref="FH68:FH131" si="76">(FF68+FG68)*0.475*44/12</f>
        <v>#NUM!</v>
      </c>
      <c r="FI68" s="59" t="e">
        <f t="shared" ref="FI68:FI131" si="77">FH68+(EZ68+FA68)*44/12</f>
        <v>#NUM!</v>
      </c>
      <c r="FJ68" s="59">
        <f ca="1">AVERAGE(OFFSET($FI$3,0,0,'Données projet'!$E$16+1,1))-AVERAGE(OFFSET($H$3,0,0,'Données projet'!$E$16+1,1))</f>
        <v>0</v>
      </c>
      <c r="FK68" s="59">
        <f t="shared" si="48"/>
        <v>0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>
        <f>EXP(-LN(2)/35)*FQ67+(1-EXP(-LN(2)/35))/(LN(2)/35)*FM68*FN68*VLOOKUP('Données projet'!$B$16,Paramètres!$A$1:$I$89,3,0)*0.475*44/12</f>
        <v>0</v>
      </c>
      <c r="FR68" s="21">
        <f>EXP(-LN(2)/25)*FR67+(1-EXP(-LN(2)/25))/(LN(2)/25)*Calculateur!FM68*Calculateur!FO68*VLOOKUP('Données projet'!$B$16,Paramètres!$A$1:$I$89,3,0)*0.475*44/12</f>
        <v>0</v>
      </c>
      <c r="FS68" s="21">
        <f>EXP(-LN(2)/2)*FS67+(1-EXP(-LN(2)/2))/(LN(2)/2)*FM68*FP68*VLOOKUP('Données projet'!$B$16,Paramètres!$A$1:$I$89,3,0)*0.475*44/12</f>
        <v>0</v>
      </c>
      <c r="FT68" s="22">
        <f t="shared" ref="FT68:FT131" si="78">SUM(FQ68:FS68)</f>
        <v>0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56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186.90544184210381</v>
      </c>
      <c r="T69" s="59">
        <f t="shared" ref="T69:T132" si="88">$T$3</f>
        <v>202.05988514450519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105.660888803059</v>
      </c>
      <c r="AA69" s="21">
        <f>EXP(-LN(2)/25)*AA68+(1-EXP(-LN(2)/25))/(LN(2)/25)*Calculateur!V69*Calculateur!X69*VLOOKUP('Données projet'!$B$9,Paramètres!$A$1:$I$89,3,0)*0.475*44/12</f>
        <v>18.501256070793705</v>
      </c>
      <c r="AB69" s="21">
        <f>EXP(-LN(2)/2)*AB68+(1-EXP(-LN(2)/2))/(LN(2)/2)*V69*Y69*VLOOKUP('Données projet'!$B$9,Paramètres!$A$1:$I$89,3,0)*0.475*44/12</f>
        <v>5.3779728462635656</v>
      </c>
      <c r="AC69" s="22">
        <f t="shared" si="57"/>
        <v>129.54011772011626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>
        <f>AI69*VLOOKUP('Données projet'!$B$10,Paramètres!$A$1:$I$89,3,0)*VLOOKUP('Données projet'!$B$10,Paramètres!$A$1:$I$89,5,0)</f>
        <v>0</v>
      </c>
      <c r="AK69" s="13" t="e">
        <f t="shared" ref="AK69:AK132" si="89">EXP(-1.0587+0.8836*LN(AJ69)+0.284)</f>
        <v>#NUM!</v>
      </c>
      <c r="AL69" s="20" t="e">
        <f t="shared" si="58"/>
        <v>#NUM!</v>
      </c>
      <c r="AM69" s="59" t="e">
        <f t="shared" si="59"/>
        <v>#NUM!</v>
      </c>
      <c r="AN69" s="59">
        <f ca="1">AVERAGE(OFFSET($AM$3,0,0,'Données projet'!$E$10+1,1))-AVERAGE(OFFSET($H$3,0,0,'Données projet'!$E$10+1,1))</f>
        <v>186.90544184210381</v>
      </c>
      <c r="AO69" s="59">
        <f t="shared" ref="AO69:AO132" si="90">$AO$3</f>
        <v>202.05988514450519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105.660888803059</v>
      </c>
      <c r="AV69" s="21">
        <f>EXP(-LN(2)/25)*AV68+(1-EXP(-LN(2)/25))/(LN(2)/25)*Calculateur!AQ69*Calculateur!AS69*VLOOKUP('Données projet'!$B$10,Paramètres!$A$1:$I$89,3,0)*0.475*44/12</f>
        <v>18.501256070793705</v>
      </c>
      <c r="AW69" s="21">
        <f>EXP(-LN(2)/2)*AW68+(1-EXP(-LN(2)/2))/(LN(2)/2)*AQ69*AT69*VLOOKUP('Données projet'!$B$10,Paramètres!$A$1:$I$89,3,0)*0.475*44/12</f>
        <v>5.3779728462635656</v>
      </c>
      <c r="AX69" s="21">
        <f t="shared" si="60"/>
        <v>129.54011772011626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-2.8421709430404007E-14</v>
      </c>
      <c r="BE69" s="13">
        <f>BD69*VLOOKUP('Données projet'!$B$11,Paramètres!$A$1:$I$89,3,0)*VLOOKUP('Données projet'!$B$11,Paramètres!$A$1:$I$89,5,0)</f>
        <v>-2.3055690689943732E-14</v>
      </c>
      <c r="BF69" s="13" t="e">
        <f t="shared" ref="BF69:BF132" si="91">EXP(-1.0587+0.8836*LN(BE69)+0.284)</f>
        <v>#NUM!</v>
      </c>
      <c r="BG69" s="20" t="e">
        <f t="shared" si="61"/>
        <v>#NUM!</v>
      </c>
      <c r="BH69" s="59" t="e">
        <f t="shared" si="62"/>
        <v>#NUM!</v>
      </c>
      <c r="BI69" s="59">
        <f ca="1">AVERAGE(OFFSET($BH$3,0,0,'Données projet'!$E$11+1,1))-AVERAGE(OFFSET($H$3,0,0,'Données projet'!$E$11+1,1))</f>
        <v>5.8584049049231908</v>
      </c>
      <c r="BJ69" s="59">
        <f t="shared" ref="BJ69:BJ132" si="92">$BJ$3</f>
        <v>42.266833200216638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1.2648510778695784E-3</v>
      </c>
      <c r="BS69" s="22">
        <f t="shared" si="63"/>
        <v>1.2648510778695784E-3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>
        <f>BY69*VLOOKUP('Données projet'!$B$12,Paramètres!$A$1:$I$89,3,0)*VLOOKUP('Données projet'!$B$12,Paramètres!$A$1:$I$89,5,0)</f>
        <v>0</v>
      </c>
      <c r="CA69" s="13" t="e">
        <f t="shared" ref="CA69:CA132" si="93">EXP(-1.0587+0.8836*LN(BZ69)+0.284)</f>
        <v>#NUM!</v>
      </c>
      <c r="CB69" s="20" t="e">
        <f t="shared" si="64"/>
        <v>#NUM!</v>
      </c>
      <c r="CC69" s="59" t="e">
        <f t="shared" si="65"/>
        <v>#NUM!</v>
      </c>
      <c r="CD69" s="59">
        <f ca="1">AVERAGE(OFFSET($CC$3,0,0,'Données projet'!$E$12+1,1))-AVERAGE(OFFSET($H$3,0,0,'Données projet'!$E$12+1,1))</f>
        <v>0</v>
      </c>
      <c r="CE69" s="59">
        <f t="shared" ref="CE69:CE132" si="94">$CE$3</f>
        <v>0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0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0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>
        <f>CT69*VLOOKUP('Données projet'!$B$13,Paramètres!$A$1:$I$89,3,0)*VLOOKUP('Données projet'!$B$13,Paramètres!$A$1:$I$89,5,0)</f>
        <v>0</v>
      </c>
      <c r="CV69" s="13" t="e">
        <f t="shared" ref="CV69:CV132" si="95">EXP(-1.0587+0.8836*LN(CU69)+0.284)</f>
        <v>#NUM!</v>
      </c>
      <c r="CW69" s="20" t="e">
        <f t="shared" si="67"/>
        <v>#NUM!</v>
      </c>
      <c r="CX69" s="59" t="e">
        <f t="shared" si="68"/>
        <v>#NUM!</v>
      </c>
      <c r="CY69" s="59">
        <f ca="1">AVERAGE(OFFSET($CX$3,0,0,'Données projet'!$E$13+1,1))-AVERAGE(OFFSET($H$3,0,0,'Données projet'!$E$13+1,1))</f>
        <v>0</v>
      </c>
      <c r="CZ69" s="59">
        <f t="shared" ref="CZ69:CZ132" si="96">$CZ$3</f>
        <v>0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0</v>
      </c>
      <c r="DG69" s="21">
        <f>EXP(-LN(2)/25)*DG68+(1-EXP(-LN(2)/25))/(LN(2)/25)*Calculateur!DB69*Calculateur!DD69*VLOOKUP('Données projet'!$B$13,Paramètres!$A$1:$I$89,3,0)*0.475*44/12</f>
        <v>0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0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>
        <f>DO69*VLOOKUP('Données projet'!$B$14,Paramètres!$A$1:$I$89,3,0)*VLOOKUP('Données projet'!$B$14,Paramètres!$A$1:$I$89,5,0)</f>
        <v>0</v>
      </c>
      <c r="DQ69" s="13" t="e">
        <f t="shared" ref="DQ69:DQ132" si="97">EXP(-1.0587+0.8836*LN(DP69)+0.284)</f>
        <v>#NUM!</v>
      </c>
      <c r="DR69" s="20" t="e">
        <f t="shared" si="70"/>
        <v>#NUM!</v>
      </c>
      <c r="DS69" s="59" t="e">
        <f t="shared" si="71"/>
        <v>#NUM!</v>
      </c>
      <c r="DT69" s="59">
        <f ca="1">AVERAGE(OFFSET($DS$3,0,0,'Données projet'!$E$14+1,1))-AVERAGE(OFFSET($H$3,0,0,'Données projet'!$E$14+1,1))</f>
        <v>0</v>
      </c>
      <c r="DU69" s="59">
        <f t="shared" ref="DU69:DU132" si="98">$DU$3</f>
        <v>0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0</v>
      </c>
      <c r="EB69" s="21">
        <f>EXP(-LN(2)/25)*EB68+(1-EXP(-LN(2)/25))/(LN(2)/25)*Calculateur!DW69*Calculateur!DY69*VLOOKUP('Données projet'!$B$14,Paramètres!$A$1:$I$89,3,0)*0.475*44/12</f>
        <v>0</v>
      </c>
      <c r="EC69" s="21">
        <f>EXP(-LN(2)/2)*EC68+(1-EXP(-LN(2)/2))/(LN(2)/2)*DW69*DZ69*VLOOKUP('Données projet'!$B$14,Paramètres!$A$1:$I$89,3,0)*0.475*44/12</f>
        <v>0</v>
      </c>
      <c r="ED69" s="22">
        <f t="shared" si="72"/>
        <v>0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>
        <f>EJ69*VLOOKUP('Données projet'!$B$15,Paramètres!$A$1:$I$89,3,0)*VLOOKUP('Données projet'!$B$15,Paramètres!$A$1:$I$89,5,0)</f>
        <v>0</v>
      </c>
      <c r="EL69" s="13" t="e">
        <f t="shared" ref="EL69:EL132" si="99">EXP(-1.0587+0.8836*LN(EK69)+0.284)</f>
        <v>#NUM!</v>
      </c>
      <c r="EM69" s="20" t="e">
        <f t="shared" si="73"/>
        <v>#NUM!</v>
      </c>
      <c r="EN69" s="59" t="e">
        <f t="shared" si="74"/>
        <v>#NUM!</v>
      </c>
      <c r="EO69" s="59">
        <f ca="1">AVERAGE(OFFSET($EN$3,0,0,'Données projet'!$E$15+1,1))-AVERAGE(OFFSET($H$3,0,0,'Données projet'!$E$15+1,1))</f>
        <v>0</v>
      </c>
      <c r="EP69" s="59">
        <f t="shared" ref="EP69:EP132" si="100">$EP$3</f>
        <v>0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>
        <f>EXP(-LN(2)/35)*EV68+(1-EXP(-LN(2)/35))/(LN(2)/35)*ER69*ES69*VLOOKUP('Données projet'!$B$15,Paramètres!$A$1:$I$89,3,0)*0.475*44/12</f>
        <v>0</v>
      </c>
      <c r="EW69" s="21">
        <f>EXP(-LN(2)/25)*EW68+(1-EXP(-LN(2)/25))/(LN(2)/25)*Calculateur!ER69*Calculateur!ET69*VLOOKUP('Données projet'!$B$15,Paramètres!$A$1:$I$89,3,0)*0.475*44/12</f>
        <v>0</v>
      </c>
      <c r="EX69" s="21">
        <f>EXP(-LN(2)/2)*EX68+(1-EXP(-LN(2)/2))/(LN(2)/2)*ER69*EU69*VLOOKUP('Données projet'!$B$15,Paramètres!$A$1:$I$89,3,0)*0.475*44/12</f>
        <v>0</v>
      </c>
      <c r="EY69" s="22">
        <f t="shared" si="75"/>
        <v>0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>
        <f>FE69*VLOOKUP('Données projet'!$B$16,Paramètres!$A$1:$I$89,3,0)*VLOOKUP('Données projet'!$B$16,Paramètres!$A$1:$I$89,5,0)</f>
        <v>0</v>
      </c>
      <c r="FG69" s="13" t="e">
        <f t="shared" ref="FG69:FG132" si="101">EXP(-1.0587+0.8836*LN(FF69)+0.284)</f>
        <v>#NUM!</v>
      </c>
      <c r="FH69" s="20" t="e">
        <f t="shared" si="76"/>
        <v>#NUM!</v>
      </c>
      <c r="FI69" s="59" t="e">
        <f t="shared" si="77"/>
        <v>#NUM!</v>
      </c>
      <c r="FJ69" s="59">
        <f ca="1">AVERAGE(OFFSET($FI$3,0,0,'Données projet'!$E$16+1,1))-AVERAGE(OFFSET($H$3,0,0,'Données projet'!$E$16+1,1))</f>
        <v>0</v>
      </c>
      <c r="FK69" s="59">
        <f t="shared" ref="FK69:FK132" si="102">$FK$3</f>
        <v>0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>
        <f>EXP(-LN(2)/35)*FQ68+(1-EXP(-LN(2)/35))/(LN(2)/35)*FM69*FN69*VLOOKUP('Données projet'!$B$16,Paramètres!$A$1:$I$89,3,0)*0.475*44/12</f>
        <v>0</v>
      </c>
      <c r="FR69" s="21">
        <f>EXP(-LN(2)/25)*FR68+(1-EXP(-LN(2)/25))/(LN(2)/25)*Calculateur!FM69*Calculateur!FO69*VLOOKUP('Données projet'!$B$16,Paramètres!$A$1:$I$89,3,0)*0.475*44/12</f>
        <v>0</v>
      </c>
      <c r="FS69" s="21">
        <f>EXP(-LN(2)/2)*FS68+(1-EXP(-LN(2)/2))/(LN(2)/2)*FM69*FP69*VLOOKUP('Données projet'!$B$16,Paramètres!$A$1:$I$89,3,0)*0.475*44/12</f>
        <v>0</v>
      </c>
      <c r="FT69" s="22">
        <f t="shared" si="78"/>
        <v>0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56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186.90544184210381</v>
      </c>
      <c r="T70" s="59">
        <f t="shared" si="88"/>
        <v>202.05988514450519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103.58894322040959</v>
      </c>
      <c r="AA70" s="21">
        <f>EXP(-LN(2)/25)*AA69+(1-EXP(-LN(2)/25))/(LN(2)/25)*Calculateur!V70*Calculateur!X70*VLOOKUP('Données projet'!$B$9,Paramètres!$A$1:$I$89,3,0)*0.475*44/12</f>
        <v>17.99533825059908</v>
      </c>
      <c r="AB70" s="21">
        <f>EXP(-LN(2)/2)*AB69+(1-EXP(-LN(2)/2))/(LN(2)/2)*V70*Y70*VLOOKUP('Données projet'!$B$9,Paramètres!$A$1:$I$89,3,0)*0.475*44/12</f>
        <v>3.8028010686300857</v>
      </c>
      <c r="AC70" s="22">
        <f t="shared" si="57"/>
        <v>125.38708253963875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>
        <f>AI70*VLOOKUP('Données projet'!$B$10,Paramètres!$A$1:$I$89,3,0)*VLOOKUP('Données projet'!$B$10,Paramètres!$A$1:$I$89,5,0)</f>
        <v>0</v>
      </c>
      <c r="AK70" s="13" t="e">
        <f t="shared" si="89"/>
        <v>#NUM!</v>
      </c>
      <c r="AL70" s="20" t="e">
        <f t="shared" si="58"/>
        <v>#NUM!</v>
      </c>
      <c r="AM70" s="59" t="e">
        <f t="shared" si="59"/>
        <v>#NUM!</v>
      </c>
      <c r="AN70" s="59">
        <f ca="1">AVERAGE(OFFSET($AM$3,0,0,'Données projet'!$E$10+1,1))-AVERAGE(OFFSET($H$3,0,0,'Données projet'!$E$10+1,1))</f>
        <v>186.90544184210381</v>
      </c>
      <c r="AO70" s="59">
        <f t="shared" si="90"/>
        <v>202.05988514450519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103.58894322040959</v>
      </c>
      <c r="AV70" s="21">
        <f>EXP(-LN(2)/25)*AV69+(1-EXP(-LN(2)/25))/(LN(2)/25)*Calculateur!AQ70*Calculateur!AS70*VLOOKUP('Données projet'!$B$10,Paramètres!$A$1:$I$89,3,0)*0.475*44/12</f>
        <v>17.99533825059908</v>
      </c>
      <c r="AW70" s="21">
        <f>EXP(-LN(2)/2)*AW69+(1-EXP(-LN(2)/2))/(LN(2)/2)*AQ70*AT70*VLOOKUP('Données projet'!$B$10,Paramètres!$A$1:$I$89,3,0)*0.475*44/12</f>
        <v>3.8028010686300857</v>
      </c>
      <c r="AX70" s="21">
        <f t="shared" si="60"/>
        <v>125.38708253963875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-2.8421709430404007E-14</v>
      </c>
      <c r="BE70" s="13">
        <f>BD70*VLOOKUP('Données projet'!$B$11,Paramètres!$A$1:$I$89,3,0)*VLOOKUP('Données projet'!$B$11,Paramètres!$A$1:$I$89,5,0)</f>
        <v>-2.3055690689943732E-14</v>
      </c>
      <c r="BF70" s="13" t="e">
        <f t="shared" si="91"/>
        <v>#NUM!</v>
      </c>
      <c r="BG70" s="20" t="e">
        <f t="shared" si="61"/>
        <v>#NUM!</v>
      </c>
      <c r="BH70" s="59" t="e">
        <f t="shared" si="62"/>
        <v>#NUM!</v>
      </c>
      <c r="BI70" s="59">
        <f ca="1">AVERAGE(OFFSET($BH$3,0,0,'Données projet'!$E$11+1,1))-AVERAGE(OFFSET($H$3,0,0,'Données projet'!$E$11+1,1))</f>
        <v>5.8584049049231908</v>
      </c>
      <c r="BJ70" s="59">
        <f t="shared" si="92"/>
        <v>42.266833200216638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8.9438477435269277E-4</v>
      </c>
      <c r="BS70" s="22">
        <f t="shared" si="63"/>
        <v>8.9438477435269277E-4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>
        <f>BY70*VLOOKUP('Données projet'!$B$12,Paramètres!$A$1:$I$89,3,0)*VLOOKUP('Données projet'!$B$12,Paramètres!$A$1:$I$89,5,0)</f>
        <v>0</v>
      </c>
      <c r="CA70" s="13" t="e">
        <f t="shared" si="93"/>
        <v>#NUM!</v>
      </c>
      <c r="CB70" s="20" t="e">
        <f t="shared" si="64"/>
        <v>#NUM!</v>
      </c>
      <c r="CC70" s="59" t="e">
        <f t="shared" si="65"/>
        <v>#NUM!</v>
      </c>
      <c r="CD70" s="59">
        <f ca="1">AVERAGE(OFFSET($CC$3,0,0,'Données projet'!$E$12+1,1))-AVERAGE(OFFSET($H$3,0,0,'Données projet'!$E$12+1,1))</f>
        <v>0</v>
      </c>
      <c r="CE70" s="59">
        <f t="shared" si="94"/>
        <v>0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0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0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>
        <f>CT70*VLOOKUP('Données projet'!$B$13,Paramètres!$A$1:$I$89,3,0)*VLOOKUP('Données projet'!$B$13,Paramètres!$A$1:$I$89,5,0)</f>
        <v>0</v>
      </c>
      <c r="CV70" s="13" t="e">
        <f t="shared" si="95"/>
        <v>#NUM!</v>
      </c>
      <c r="CW70" s="20" t="e">
        <f t="shared" si="67"/>
        <v>#NUM!</v>
      </c>
      <c r="CX70" s="59" t="e">
        <f t="shared" si="68"/>
        <v>#NUM!</v>
      </c>
      <c r="CY70" s="59">
        <f ca="1">AVERAGE(OFFSET($CX$3,0,0,'Données projet'!$E$13+1,1))-AVERAGE(OFFSET($H$3,0,0,'Données projet'!$E$13+1,1))</f>
        <v>0</v>
      </c>
      <c r="CZ70" s="59">
        <f t="shared" si="96"/>
        <v>0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0</v>
      </c>
      <c r="DG70" s="21">
        <f>EXP(-LN(2)/25)*DG69+(1-EXP(-LN(2)/25))/(LN(2)/25)*Calculateur!DB70*Calculateur!DD70*VLOOKUP('Données projet'!$B$13,Paramètres!$A$1:$I$89,3,0)*0.475*44/12</f>
        <v>0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0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>
        <f>DO70*VLOOKUP('Données projet'!$B$14,Paramètres!$A$1:$I$89,3,0)*VLOOKUP('Données projet'!$B$14,Paramètres!$A$1:$I$89,5,0)</f>
        <v>0</v>
      </c>
      <c r="DQ70" s="13" t="e">
        <f t="shared" si="97"/>
        <v>#NUM!</v>
      </c>
      <c r="DR70" s="20" t="e">
        <f t="shared" si="70"/>
        <v>#NUM!</v>
      </c>
      <c r="DS70" s="59" t="e">
        <f t="shared" si="71"/>
        <v>#NUM!</v>
      </c>
      <c r="DT70" s="59">
        <f ca="1">AVERAGE(OFFSET($DS$3,0,0,'Données projet'!$E$14+1,1))-AVERAGE(OFFSET($H$3,0,0,'Données projet'!$E$14+1,1))</f>
        <v>0</v>
      </c>
      <c r="DU70" s="59">
        <f t="shared" si="98"/>
        <v>0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0</v>
      </c>
      <c r="EB70" s="21">
        <f>EXP(-LN(2)/25)*EB69+(1-EXP(-LN(2)/25))/(LN(2)/25)*Calculateur!DW70*Calculateur!DY70*VLOOKUP('Données projet'!$B$14,Paramètres!$A$1:$I$89,3,0)*0.475*44/12</f>
        <v>0</v>
      </c>
      <c r="EC70" s="21">
        <f>EXP(-LN(2)/2)*EC69+(1-EXP(-LN(2)/2))/(LN(2)/2)*DW70*DZ70*VLOOKUP('Données projet'!$B$14,Paramètres!$A$1:$I$89,3,0)*0.475*44/12</f>
        <v>0</v>
      </c>
      <c r="ED70" s="22">
        <f t="shared" si="72"/>
        <v>0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>
        <f>EJ70*VLOOKUP('Données projet'!$B$15,Paramètres!$A$1:$I$89,3,0)*VLOOKUP('Données projet'!$B$15,Paramètres!$A$1:$I$89,5,0)</f>
        <v>0</v>
      </c>
      <c r="EL70" s="13" t="e">
        <f t="shared" si="99"/>
        <v>#NUM!</v>
      </c>
      <c r="EM70" s="20" t="e">
        <f t="shared" si="73"/>
        <v>#NUM!</v>
      </c>
      <c r="EN70" s="59" t="e">
        <f t="shared" si="74"/>
        <v>#NUM!</v>
      </c>
      <c r="EO70" s="59">
        <f ca="1">AVERAGE(OFFSET($EN$3,0,0,'Données projet'!$E$15+1,1))-AVERAGE(OFFSET($H$3,0,0,'Données projet'!$E$15+1,1))</f>
        <v>0</v>
      </c>
      <c r="EP70" s="59">
        <f t="shared" si="100"/>
        <v>0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>
        <f>EXP(-LN(2)/35)*EV69+(1-EXP(-LN(2)/35))/(LN(2)/35)*ER70*ES70*VLOOKUP('Données projet'!$B$15,Paramètres!$A$1:$I$89,3,0)*0.475*44/12</f>
        <v>0</v>
      </c>
      <c r="EW70" s="21">
        <f>EXP(-LN(2)/25)*EW69+(1-EXP(-LN(2)/25))/(LN(2)/25)*Calculateur!ER70*Calculateur!ET70*VLOOKUP('Données projet'!$B$15,Paramètres!$A$1:$I$89,3,0)*0.475*44/12</f>
        <v>0</v>
      </c>
      <c r="EX70" s="21">
        <f>EXP(-LN(2)/2)*EX69+(1-EXP(-LN(2)/2))/(LN(2)/2)*ER70*EU70*VLOOKUP('Données projet'!$B$15,Paramètres!$A$1:$I$89,3,0)*0.475*44/12</f>
        <v>0</v>
      </c>
      <c r="EY70" s="22">
        <f t="shared" si="75"/>
        <v>0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>
        <f>FE70*VLOOKUP('Données projet'!$B$16,Paramètres!$A$1:$I$89,3,0)*VLOOKUP('Données projet'!$B$16,Paramètres!$A$1:$I$89,5,0)</f>
        <v>0</v>
      </c>
      <c r="FG70" s="13" t="e">
        <f t="shared" si="101"/>
        <v>#NUM!</v>
      </c>
      <c r="FH70" s="20" t="e">
        <f t="shared" si="76"/>
        <v>#NUM!</v>
      </c>
      <c r="FI70" s="59" t="e">
        <f t="shared" si="77"/>
        <v>#NUM!</v>
      </c>
      <c r="FJ70" s="59">
        <f ca="1">AVERAGE(OFFSET($FI$3,0,0,'Données projet'!$E$16+1,1))-AVERAGE(OFFSET($H$3,0,0,'Données projet'!$E$16+1,1))</f>
        <v>0</v>
      </c>
      <c r="FK70" s="59">
        <f t="shared" si="102"/>
        <v>0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>
        <f>EXP(-LN(2)/35)*FQ69+(1-EXP(-LN(2)/35))/(LN(2)/35)*FM70*FN70*VLOOKUP('Données projet'!$B$16,Paramètres!$A$1:$I$89,3,0)*0.475*44/12</f>
        <v>0</v>
      </c>
      <c r="FR70" s="21">
        <f>EXP(-LN(2)/25)*FR69+(1-EXP(-LN(2)/25))/(LN(2)/25)*Calculateur!FM70*Calculateur!FO70*VLOOKUP('Données projet'!$B$16,Paramètres!$A$1:$I$89,3,0)*0.475*44/12</f>
        <v>0</v>
      </c>
      <c r="FS70" s="21">
        <f>EXP(-LN(2)/2)*FS69+(1-EXP(-LN(2)/2))/(LN(2)/2)*FM70*FP70*VLOOKUP('Données projet'!$B$16,Paramètres!$A$1:$I$89,3,0)*0.475*44/12</f>
        <v>0</v>
      </c>
      <c r="FT70" s="22">
        <f t="shared" si="78"/>
        <v>0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56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186.90544184210381</v>
      </c>
      <c r="T71" s="59">
        <f t="shared" si="88"/>
        <v>202.05988514450519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101.55762722687392</v>
      </c>
      <c r="AA71" s="21">
        <f>EXP(-LN(2)/25)*AA70+(1-EXP(-LN(2)/25))/(LN(2)/25)*Calculateur!V71*Calculateur!X71*VLOOKUP('Données projet'!$B$9,Paramètres!$A$1:$I$89,3,0)*0.475*44/12</f>
        <v>17.503254779802738</v>
      </c>
      <c r="AB71" s="21">
        <f>EXP(-LN(2)/2)*AB70+(1-EXP(-LN(2)/2))/(LN(2)/2)*V71*Y71*VLOOKUP('Données projet'!$B$9,Paramètres!$A$1:$I$89,3,0)*0.475*44/12</f>
        <v>2.6889864231317833</v>
      </c>
      <c r="AC71" s="22">
        <f t="shared" si="57"/>
        <v>121.74986842980843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>
        <f>AI71*VLOOKUP('Données projet'!$B$10,Paramètres!$A$1:$I$89,3,0)*VLOOKUP('Données projet'!$B$10,Paramètres!$A$1:$I$89,5,0)</f>
        <v>0</v>
      </c>
      <c r="AK71" s="13" t="e">
        <f t="shared" si="89"/>
        <v>#NUM!</v>
      </c>
      <c r="AL71" s="20" t="e">
        <f t="shared" si="58"/>
        <v>#NUM!</v>
      </c>
      <c r="AM71" s="59" t="e">
        <f t="shared" si="59"/>
        <v>#NUM!</v>
      </c>
      <c r="AN71" s="59">
        <f ca="1">AVERAGE(OFFSET($AM$3,0,0,'Données projet'!$E$10+1,1))-AVERAGE(OFFSET($H$3,0,0,'Données projet'!$E$10+1,1))</f>
        <v>186.90544184210381</v>
      </c>
      <c r="AO71" s="59">
        <f t="shared" si="90"/>
        <v>202.05988514450519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101.55762722687392</v>
      </c>
      <c r="AV71" s="21">
        <f>EXP(-LN(2)/25)*AV70+(1-EXP(-LN(2)/25))/(LN(2)/25)*Calculateur!AQ71*Calculateur!AS71*VLOOKUP('Données projet'!$B$10,Paramètres!$A$1:$I$89,3,0)*0.475*44/12</f>
        <v>17.503254779802738</v>
      </c>
      <c r="AW71" s="21">
        <f>EXP(-LN(2)/2)*AW70+(1-EXP(-LN(2)/2))/(LN(2)/2)*AQ71*AT71*VLOOKUP('Données projet'!$B$10,Paramètres!$A$1:$I$89,3,0)*0.475*44/12</f>
        <v>2.6889864231317833</v>
      </c>
      <c r="AX71" s="21">
        <f t="shared" si="60"/>
        <v>121.74986842980843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-2.8421709430404007E-14</v>
      </c>
      <c r="BE71" s="13">
        <f>BD71*VLOOKUP('Données projet'!$B$11,Paramètres!$A$1:$I$89,3,0)*VLOOKUP('Données projet'!$B$11,Paramètres!$A$1:$I$89,5,0)</f>
        <v>-2.3055690689943732E-14</v>
      </c>
      <c r="BF71" s="13" t="e">
        <f t="shared" si="91"/>
        <v>#NUM!</v>
      </c>
      <c r="BG71" s="20" t="e">
        <f t="shared" si="61"/>
        <v>#NUM!</v>
      </c>
      <c r="BH71" s="59" t="e">
        <f t="shared" si="62"/>
        <v>#NUM!</v>
      </c>
      <c r="BI71" s="59">
        <f ca="1">AVERAGE(OFFSET($BH$3,0,0,'Données projet'!$E$11+1,1))-AVERAGE(OFFSET($H$3,0,0,'Données projet'!$E$11+1,1))</f>
        <v>5.8584049049231908</v>
      </c>
      <c r="BJ71" s="59">
        <f t="shared" si="92"/>
        <v>42.266833200216638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6.324255389347892E-4</v>
      </c>
      <c r="BS71" s="22">
        <f t="shared" si="63"/>
        <v>6.324255389347892E-4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>
        <f>BY71*VLOOKUP('Données projet'!$B$12,Paramètres!$A$1:$I$89,3,0)*VLOOKUP('Données projet'!$B$12,Paramètres!$A$1:$I$89,5,0)</f>
        <v>0</v>
      </c>
      <c r="CA71" s="13" t="e">
        <f t="shared" si="93"/>
        <v>#NUM!</v>
      </c>
      <c r="CB71" s="20" t="e">
        <f t="shared" si="64"/>
        <v>#NUM!</v>
      </c>
      <c r="CC71" s="59" t="e">
        <f t="shared" si="65"/>
        <v>#NUM!</v>
      </c>
      <c r="CD71" s="59">
        <f ca="1">AVERAGE(OFFSET($CC$3,0,0,'Données projet'!$E$12+1,1))-AVERAGE(OFFSET($H$3,0,0,'Données projet'!$E$12+1,1))</f>
        <v>0</v>
      </c>
      <c r="CE71" s="59">
        <f t="shared" si="94"/>
        <v>0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0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0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>
        <f>CT71*VLOOKUP('Données projet'!$B$13,Paramètres!$A$1:$I$89,3,0)*VLOOKUP('Données projet'!$B$13,Paramètres!$A$1:$I$89,5,0)</f>
        <v>0</v>
      </c>
      <c r="CV71" s="13" t="e">
        <f t="shared" si="95"/>
        <v>#NUM!</v>
      </c>
      <c r="CW71" s="20" t="e">
        <f t="shared" si="67"/>
        <v>#NUM!</v>
      </c>
      <c r="CX71" s="59" t="e">
        <f t="shared" si="68"/>
        <v>#NUM!</v>
      </c>
      <c r="CY71" s="59">
        <f ca="1">AVERAGE(OFFSET($CX$3,0,0,'Données projet'!$E$13+1,1))-AVERAGE(OFFSET($H$3,0,0,'Données projet'!$E$13+1,1))</f>
        <v>0</v>
      </c>
      <c r="CZ71" s="59">
        <f t="shared" si="96"/>
        <v>0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0</v>
      </c>
      <c r="DG71" s="21">
        <f>EXP(-LN(2)/25)*DG70+(1-EXP(-LN(2)/25))/(LN(2)/25)*Calculateur!DB71*Calculateur!DD71*VLOOKUP('Données projet'!$B$13,Paramètres!$A$1:$I$89,3,0)*0.475*44/12</f>
        <v>0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0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>
        <f>DO71*VLOOKUP('Données projet'!$B$14,Paramètres!$A$1:$I$89,3,0)*VLOOKUP('Données projet'!$B$14,Paramètres!$A$1:$I$89,5,0)</f>
        <v>0</v>
      </c>
      <c r="DQ71" s="13" t="e">
        <f t="shared" si="97"/>
        <v>#NUM!</v>
      </c>
      <c r="DR71" s="20" t="e">
        <f t="shared" si="70"/>
        <v>#NUM!</v>
      </c>
      <c r="DS71" s="59" t="e">
        <f t="shared" si="71"/>
        <v>#NUM!</v>
      </c>
      <c r="DT71" s="59">
        <f ca="1">AVERAGE(OFFSET($DS$3,0,0,'Données projet'!$E$14+1,1))-AVERAGE(OFFSET($H$3,0,0,'Données projet'!$E$14+1,1))</f>
        <v>0</v>
      </c>
      <c r="DU71" s="59">
        <f t="shared" si="98"/>
        <v>0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0</v>
      </c>
      <c r="EB71" s="21">
        <f>EXP(-LN(2)/25)*EB70+(1-EXP(-LN(2)/25))/(LN(2)/25)*Calculateur!DW71*Calculateur!DY71*VLOOKUP('Données projet'!$B$14,Paramètres!$A$1:$I$89,3,0)*0.475*44/12</f>
        <v>0</v>
      </c>
      <c r="EC71" s="21">
        <f>EXP(-LN(2)/2)*EC70+(1-EXP(-LN(2)/2))/(LN(2)/2)*DW71*DZ71*VLOOKUP('Données projet'!$B$14,Paramètres!$A$1:$I$89,3,0)*0.475*44/12</f>
        <v>0</v>
      </c>
      <c r="ED71" s="22">
        <f t="shared" si="72"/>
        <v>0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>
        <f>EJ71*VLOOKUP('Données projet'!$B$15,Paramètres!$A$1:$I$89,3,0)*VLOOKUP('Données projet'!$B$15,Paramètres!$A$1:$I$89,5,0)</f>
        <v>0</v>
      </c>
      <c r="EL71" s="13" t="e">
        <f t="shared" si="99"/>
        <v>#NUM!</v>
      </c>
      <c r="EM71" s="20" t="e">
        <f t="shared" si="73"/>
        <v>#NUM!</v>
      </c>
      <c r="EN71" s="59" t="e">
        <f t="shared" si="74"/>
        <v>#NUM!</v>
      </c>
      <c r="EO71" s="59">
        <f ca="1">AVERAGE(OFFSET($EN$3,0,0,'Données projet'!$E$15+1,1))-AVERAGE(OFFSET($H$3,0,0,'Données projet'!$E$15+1,1))</f>
        <v>0</v>
      </c>
      <c r="EP71" s="59">
        <f t="shared" si="100"/>
        <v>0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>
        <f>EXP(-LN(2)/35)*EV70+(1-EXP(-LN(2)/35))/(LN(2)/35)*ER71*ES71*VLOOKUP('Données projet'!$B$15,Paramètres!$A$1:$I$89,3,0)*0.475*44/12</f>
        <v>0</v>
      </c>
      <c r="EW71" s="21">
        <f>EXP(-LN(2)/25)*EW70+(1-EXP(-LN(2)/25))/(LN(2)/25)*Calculateur!ER71*Calculateur!ET71*VLOOKUP('Données projet'!$B$15,Paramètres!$A$1:$I$89,3,0)*0.475*44/12</f>
        <v>0</v>
      </c>
      <c r="EX71" s="21">
        <f>EXP(-LN(2)/2)*EX70+(1-EXP(-LN(2)/2))/(LN(2)/2)*ER71*EU71*VLOOKUP('Données projet'!$B$15,Paramètres!$A$1:$I$89,3,0)*0.475*44/12</f>
        <v>0</v>
      </c>
      <c r="EY71" s="22">
        <f t="shared" si="75"/>
        <v>0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>
        <f>FE71*VLOOKUP('Données projet'!$B$16,Paramètres!$A$1:$I$89,3,0)*VLOOKUP('Données projet'!$B$16,Paramètres!$A$1:$I$89,5,0)</f>
        <v>0</v>
      </c>
      <c r="FG71" s="13" t="e">
        <f t="shared" si="101"/>
        <v>#NUM!</v>
      </c>
      <c r="FH71" s="20" t="e">
        <f t="shared" si="76"/>
        <v>#NUM!</v>
      </c>
      <c r="FI71" s="59" t="e">
        <f t="shared" si="77"/>
        <v>#NUM!</v>
      </c>
      <c r="FJ71" s="59">
        <f ca="1">AVERAGE(OFFSET($FI$3,0,0,'Données projet'!$E$16+1,1))-AVERAGE(OFFSET($H$3,0,0,'Données projet'!$E$16+1,1))</f>
        <v>0</v>
      </c>
      <c r="FK71" s="59">
        <f t="shared" si="102"/>
        <v>0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>
        <f>EXP(-LN(2)/35)*FQ70+(1-EXP(-LN(2)/35))/(LN(2)/35)*FM71*FN71*VLOOKUP('Données projet'!$B$16,Paramètres!$A$1:$I$89,3,0)*0.475*44/12</f>
        <v>0</v>
      </c>
      <c r="FR71" s="21">
        <f>EXP(-LN(2)/25)*FR70+(1-EXP(-LN(2)/25))/(LN(2)/25)*Calculateur!FM71*Calculateur!FO71*VLOOKUP('Données projet'!$B$16,Paramètres!$A$1:$I$89,3,0)*0.475*44/12</f>
        <v>0</v>
      </c>
      <c r="FS71" s="21">
        <f>EXP(-LN(2)/2)*FS70+(1-EXP(-LN(2)/2))/(LN(2)/2)*FM71*FP71*VLOOKUP('Données projet'!$B$16,Paramètres!$A$1:$I$89,3,0)*0.475*44/12</f>
        <v>0</v>
      </c>
      <c r="FT71" s="22">
        <f t="shared" si="78"/>
        <v>0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56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186.90544184210381</v>
      </c>
      <c r="T72" s="59">
        <f t="shared" si="88"/>
        <v>202.05988514450519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99.566144100991067</v>
      </c>
      <c r="AA72" s="21">
        <f>EXP(-LN(2)/25)*AA71+(1-EXP(-LN(2)/25))/(LN(2)/25)*Calculateur!V72*Calculateur!X72*VLOOKUP('Données projet'!$B$9,Paramètres!$A$1:$I$89,3,0)*0.475*44/12</f>
        <v>17.024627357392866</v>
      </c>
      <c r="AB72" s="21">
        <f>EXP(-LN(2)/2)*AB71+(1-EXP(-LN(2)/2))/(LN(2)/2)*V72*Y72*VLOOKUP('Données projet'!$B$9,Paramètres!$A$1:$I$89,3,0)*0.475*44/12</f>
        <v>1.9014005343150431</v>
      </c>
      <c r="AC72" s="22">
        <f t="shared" si="57"/>
        <v>118.49217199269897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>
        <f>AI72*VLOOKUP('Données projet'!$B$10,Paramètres!$A$1:$I$89,3,0)*VLOOKUP('Données projet'!$B$10,Paramètres!$A$1:$I$89,5,0)</f>
        <v>0</v>
      </c>
      <c r="AK72" s="13" t="e">
        <f t="shared" si="89"/>
        <v>#NUM!</v>
      </c>
      <c r="AL72" s="20" t="e">
        <f t="shared" si="58"/>
        <v>#NUM!</v>
      </c>
      <c r="AM72" s="59" t="e">
        <f t="shared" si="59"/>
        <v>#NUM!</v>
      </c>
      <c r="AN72" s="59">
        <f ca="1">AVERAGE(OFFSET($AM$3,0,0,'Données projet'!$E$10+1,1))-AVERAGE(OFFSET($H$3,0,0,'Données projet'!$E$10+1,1))</f>
        <v>186.90544184210381</v>
      </c>
      <c r="AO72" s="59">
        <f t="shared" si="90"/>
        <v>202.05988514450519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99.566144100991067</v>
      </c>
      <c r="AV72" s="21">
        <f>EXP(-LN(2)/25)*AV71+(1-EXP(-LN(2)/25))/(LN(2)/25)*Calculateur!AQ72*Calculateur!AS72*VLOOKUP('Données projet'!$B$10,Paramètres!$A$1:$I$89,3,0)*0.475*44/12</f>
        <v>17.024627357392866</v>
      </c>
      <c r="AW72" s="21">
        <f>EXP(-LN(2)/2)*AW71+(1-EXP(-LN(2)/2))/(LN(2)/2)*AQ72*AT72*VLOOKUP('Données projet'!$B$10,Paramètres!$A$1:$I$89,3,0)*0.475*44/12</f>
        <v>1.9014005343150431</v>
      </c>
      <c r="AX72" s="21">
        <f t="shared" si="60"/>
        <v>118.49217199269897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-2.8421709430404007E-14</v>
      </c>
      <c r="BE72" s="13">
        <f>BD72*VLOOKUP('Données projet'!$B$11,Paramètres!$A$1:$I$89,3,0)*VLOOKUP('Données projet'!$B$11,Paramètres!$A$1:$I$89,5,0)</f>
        <v>-2.3055690689943732E-14</v>
      </c>
      <c r="BF72" s="13" t="e">
        <f t="shared" si="91"/>
        <v>#NUM!</v>
      </c>
      <c r="BG72" s="20" t="e">
        <f t="shared" si="61"/>
        <v>#NUM!</v>
      </c>
      <c r="BH72" s="59" t="e">
        <f t="shared" si="62"/>
        <v>#NUM!</v>
      </c>
      <c r="BI72" s="59">
        <f ca="1">AVERAGE(OFFSET($BH$3,0,0,'Données projet'!$E$11+1,1))-AVERAGE(OFFSET($H$3,0,0,'Données projet'!$E$11+1,1))</f>
        <v>5.8584049049231908</v>
      </c>
      <c r="BJ72" s="59">
        <f t="shared" si="92"/>
        <v>42.266833200216638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4.4719238717634639E-4</v>
      </c>
      <c r="BS72" s="22">
        <f t="shared" si="63"/>
        <v>4.4719238717634639E-4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>
        <f>BY72*VLOOKUP('Données projet'!$B$12,Paramètres!$A$1:$I$89,3,0)*VLOOKUP('Données projet'!$B$12,Paramètres!$A$1:$I$89,5,0)</f>
        <v>0</v>
      </c>
      <c r="CA72" s="13" t="e">
        <f t="shared" si="93"/>
        <v>#NUM!</v>
      </c>
      <c r="CB72" s="20" t="e">
        <f t="shared" si="64"/>
        <v>#NUM!</v>
      </c>
      <c r="CC72" s="59" t="e">
        <f t="shared" si="65"/>
        <v>#NUM!</v>
      </c>
      <c r="CD72" s="59">
        <f ca="1">AVERAGE(OFFSET($CC$3,0,0,'Données projet'!$E$12+1,1))-AVERAGE(OFFSET($H$3,0,0,'Données projet'!$E$12+1,1))</f>
        <v>0</v>
      </c>
      <c r="CE72" s="59">
        <f t="shared" si="94"/>
        <v>0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0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0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>
        <f>CT72*VLOOKUP('Données projet'!$B$13,Paramètres!$A$1:$I$89,3,0)*VLOOKUP('Données projet'!$B$13,Paramètres!$A$1:$I$89,5,0)</f>
        <v>0</v>
      </c>
      <c r="CV72" s="13" t="e">
        <f t="shared" si="95"/>
        <v>#NUM!</v>
      </c>
      <c r="CW72" s="20" t="e">
        <f t="shared" si="67"/>
        <v>#NUM!</v>
      </c>
      <c r="CX72" s="59" t="e">
        <f t="shared" si="68"/>
        <v>#NUM!</v>
      </c>
      <c r="CY72" s="59">
        <f ca="1">AVERAGE(OFFSET($CX$3,0,0,'Données projet'!$E$13+1,1))-AVERAGE(OFFSET($H$3,0,0,'Données projet'!$E$13+1,1))</f>
        <v>0</v>
      </c>
      <c r="CZ72" s="59">
        <f t="shared" si="96"/>
        <v>0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0</v>
      </c>
      <c r="DG72" s="21">
        <f>EXP(-LN(2)/25)*DG71+(1-EXP(-LN(2)/25))/(LN(2)/25)*Calculateur!DB72*Calculateur!DD72*VLOOKUP('Données projet'!$B$13,Paramètres!$A$1:$I$89,3,0)*0.475*44/12</f>
        <v>0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0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>
        <f>DO72*VLOOKUP('Données projet'!$B$14,Paramètres!$A$1:$I$89,3,0)*VLOOKUP('Données projet'!$B$14,Paramètres!$A$1:$I$89,5,0)</f>
        <v>0</v>
      </c>
      <c r="DQ72" s="13" t="e">
        <f t="shared" si="97"/>
        <v>#NUM!</v>
      </c>
      <c r="DR72" s="20" t="e">
        <f t="shared" si="70"/>
        <v>#NUM!</v>
      </c>
      <c r="DS72" s="59" t="e">
        <f t="shared" si="71"/>
        <v>#NUM!</v>
      </c>
      <c r="DT72" s="59">
        <f ca="1">AVERAGE(OFFSET($DS$3,0,0,'Données projet'!$E$14+1,1))-AVERAGE(OFFSET($H$3,0,0,'Données projet'!$E$14+1,1))</f>
        <v>0</v>
      </c>
      <c r="DU72" s="59">
        <f t="shared" si="98"/>
        <v>0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0</v>
      </c>
      <c r="EB72" s="21">
        <f>EXP(-LN(2)/25)*EB71+(1-EXP(-LN(2)/25))/(LN(2)/25)*Calculateur!DW72*Calculateur!DY72*VLOOKUP('Données projet'!$B$14,Paramètres!$A$1:$I$89,3,0)*0.475*44/12</f>
        <v>0</v>
      </c>
      <c r="EC72" s="21">
        <f>EXP(-LN(2)/2)*EC71+(1-EXP(-LN(2)/2))/(LN(2)/2)*DW72*DZ72*VLOOKUP('Données projet'!$B$14,Paramètres!$A$1:$I$89,3,0)*0.475*44/12</f>
        <v>0</v>
      </c>
      <c r="ED72" s="22">
        <f t="shared" si="72"/>
        <v>0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>
        <f>EJ72*VLOOKUP('Données projet'!$B$15,Paramètres!$A$1:$I$89,3,0)*VLOOKUP('Données projet'!$B$15,Paramètres!$A$1:$I$89,5,0)</f>
        <v>0</v>
      </c>
      <c r="EL72" s="13" t="e">
        <f t="shared" si="99"/>
        <v>#NUM!</v>
      </c>
      <c r="EM72" s="20" t="e">
        <f t="shared" si="73"/>
        <v>#NUM!</v>
      </c>
      <c r="EN72" s="59" t="e">
        <f t="shared" si="74"/>
        <v>#NUM!</v>
      </c>
      <c r="EO72" s="59">
        <f ca="1">AVERAGE(OFFSET($EN$3,0,0,'Données projet'!$E$15+1,1))-AVERAGE(OFFSET($H$3,0,0,'Données projet'!$E$15+1,1))</f>
        <v>0</v>
      </c>
      <c r="EP72" s="59">
        <f t="shared" si="100"/>
        <v>0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>
        <f>EXP(-LN(2)/35)*EV71+(1-EXP(-LN(2)/35))/(LN(2)/35)*ER72*ES72*VLOOKUP('Données projet'!$B$15,Paramètres!$A$1:$I$89,3,0)*0.475*44/12</f>
        <v>0</v>
      </c>
      <c r="EW72" s="21">
        <f>EXP(-LN(2)/25)*EW71+(1-EXP(-LN(2)/25))/(LN(2)/25)*Calculateur!ER72*Calculateur!ET72*VLOOKUP('Données projet'!$B$15,Paramètres!$A$1:$I$89,3,0)*0.475*44/12</f>
        <v>0</v>
      </c>
      <c r="EX72" s="21">
        <f>EXP(-LN(2)/2)*EX71+(1-EXP(-LN(2)/2))/(LN(2)/2)*ER72*EU72*VLOOKUP('Données projet'!$B$15,Paramètres!$A$1:$I$89,3,0)*0.475*44/12</f>
        <v>0</v>
      </c>
      <c r="EY72" s="22">
        <f t="shared" si="75"/>
        <v>0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>
        <f>FE72*VLOOKUP('Données projet'!$B$16,Paramètres!$A$1:$I$89,3,0)*VLOOKUP('Données projet'!$B$16,Paramètres!$A$1:$I$89,5,0)</f>
        <v>0</v>
      </c>
      <c r="FG72" s="13" t="e">
        <f t="shared" si="101"/>
        <v>#NUM!</v>
      </c>
      <c r="FH72" s="20" t="e">
        <f t="shared" si="76"/>
        <v>#NUM!</v>
      </c>
      <c r="FI72" s="59" t="e">
        <f t="shared" si="77"/>
        <v>#NUM!</v>
      </c>
      <c r="FJ72" s="59">
        <f ca="1">AVERAGE(OFFSET($FI$3,0,0,'Données projet'!$E$16+1,1))-AVERAGE(OFFSET($H$3,0,0,'Données projet'!$E$16+1,1))</f>
        <v>0</v>
      </c>
      <c r="FK72" s="59">
        <f t="shared" si="102"/>
        <v>0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>
        <f>EXP(-LN(2)/35)*FQ71+(1-EXP(-LN(2)/35))/(LN(2)/35)*FM72*FN72*VLOOKUP('Données projet'!$B$16,Paramètres!$A$1:$I$89,3,0)*0.475*44/12</f>
        <v>0</v>
      </c>
      <c r="FR72" s="21">
        <f>EXP(-LN(2)/25)*FR71+(1-EXP(-LN(2)/25))/(LN(2)/25)*Calculateur!FM72*Calculateur!FO72*VLOOKUP('Données projet'!$B$16,Paramètres!$A$1:$I$89,3,0)*0.475*44/12</f>
        <v>0</v>
      </c>
      <c r="FS72" s="21">
        <f>EXP(-LN(2)/2)*FS71+(1-EXP(-LN(2)/2))/(LN(2)/2)*FM72*FP72*VLOOKUP('Données projet'!$B$16,Paramètres!$A$1:$I$89,3,0)*0.475*44/12</f>
        <v>0</v>
      </c>
      <c r="FT72" s="22">
        <f t="shared" si="78"/>
        <v>0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56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186.90544184210381</v>
      </c>
      <c r="T73" s="59">
        <f t="shared" si="88"/>
        <v>202.05988514450519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97.613712744522005</v>
      </c>
      <c r="AA73" s="21">
        <f>EXP(-LN(2)/25)*AA72+(1-EXP(-LN(2)/25))/(LN(2)/25)*Calculateur!V73*Calculateur!X73*VLOOKUP('Données projet'!$B$9,Paramètres!$A$1:$I$89,3,0)*0.475*44/12</f>
        <v>16.559088027018717</v>
      </c>
      <c r="AB73" s="21">
        <f>EXP(-LN(2)/2)*AB72+(1-EXP(-LN(2)/2))/(LN(2)/2)*V73*Y73*VLOOKUP('Données projet'!$B$9,Paramètres!$A$1:$I$89,3,0)*0.475*44/12</f>
        <v>1.3444932115658919</v>
      </c>
      <c r="AC73" s="22">
        <f t="shared" si="57"/>
        <v>115.51729398310661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>
        <f>AI73*VLOOKUP('Données projet'!$B$10,Paramètres!$A$1:$I$89,3,0)*VLOOKUP('Données projet'!$B$10,Paramètres!$A$1:$I$89,5,0)</f>
        <v>0</v>
      </c>
      <c r="AK73" s="13" t="e">
        <f t="shared" si="89"/>
        <v>#NUM!</v>
      </c>
      <c r="AL73" s="20" t="e">
        <f t="shared" si="58"/>
        <v>#NUM!</v>
      </c>
      <c r="AM73" s="59" t="e">
        <f t="shared" si="59"/>
        <v>#NUM!</v>
      </c>
      <c r="AN73" s="59">
        <f ca="1">AVERAGE(OFFSET($AM$3,0,0,'Données projet'!$E$10+1,1))-AVERAGE(OFFSET($H$3,0,0,'Données projet'!$E$10+1,1))</f>
        <v>186.90544184210381</v>
      </c>
      <c r="AO73" s="59">
        <f t="shared" si="90"/>
        <v>202.05988514450519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97.613712744522005</v>
      </c>
      <c r="AV73" s="21">
        <f>EXP(-LN(2)/25)*AV72+(1-EXP(-LN(2)/25))/(LN(2)/25)*Calculateur!AQ73*Calculateur!AS73*VLOOKUP('Données projet'!$B$10,Paramètres!$A$1:$I$89,3,0)*0.475*44/12</f>
        <v>16.559088027018717</v>
      </c>
      <c r="AW73" s="21">
        <f>EXP(-LN(2)/2)*AW72+(1-EXP(-LN(2)/2))/(LN(2)/2)*AQ73*AT73*VLOOKUP('Données projet'!$B$10,Paramètres!$A$1:$I$89,3,0)*0.475*44/12</f>
        <v>1.3444932115658919</v>
      </c>
      <c r="AX73" s="21">
        <f t="shared" si="60"/>
        <v>115.51729398310661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-2.8421709430404007E-14</v>
      </c>
      <c r="BE73" s="13">
        <f>BD73*VLOOKUP('Données projet'!$B$11,Paramètres!$A$1:$I$89,3,0)*VLOOKUP('Données projet'!$B$11,Paramètres!$A$1:$I$89,5,0)</f>
        <v>-2.3055690689943732E-14</v>
      </c>
      <c r="BF73" s="13" t="e">
        <f t="shared" si="91"/>
        <v>#NUM!</v>
      </c>
      <c r="BG73" s="20" t="e">
        <f t="shared" si="61"/>
        <v>#NUM!</v>
      </c>
      <c r="BH73" s="59" t="e">
        <f t="shared" si="62"/>
        <v>#NUM!</v>
      </c>
      <c r="BI73" s="59">
        <f ca="1">AVERAGE(OFFSET($BH$3,0,0,'Données projet'!$E$11+1,1))-AVERAGE(OFFSET($H$3,0,0,'Données projet'!$E$11+1,1))</f>
        <v>5.8584049049231908</v>
      </c>
      <c r="BJ73" s="59">
        <f t="shared" si="92"/>
        <v>42.266833200216638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3.162127694673946E-4</v>
      </c>
      <c r="BS73" s="22">
        <f t="shared" si="63"/>
        <v>3.162127694673946E-4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>
        <f>BY73*VLOOKUP('Données projet'!$B$12,Paramètres!$A$1:$I$89,3,0)*VLOOKUP('Données projet'!$B$12,Paramètres!$A$1:$I$89,5,0)</f>
        <v>0</v>
      </c>
      <c r="CA73" s="13" t="e">
        <f t="shared" si="93"/>
        <v>#NUM!</v>
      </c>
      <c r="CB73" s="20" t="e">
        <f t="shared" si="64"/>
        <v>#NUM!</v>
      </c>
      <c r="CC73" s="59" t="e">
        <f t="shared" si="65"/>
        <v>#NUM!</v>
      </c>
      <c r="CD73" s="59">
        <f ca="1">AVERAGE(OFFSET($CC$3,0,0,'Données projet'!$E$12+1,1))-AVERAGE(OFFSET($H$3,0,0,'Données projet'!$E$12+1,1))</f>
        <v>0</v>
      </c>
      <c r="CE73" s="59">
        <f t="shared" si="94"/>
        <v>0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0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0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>
        <f>CT73*VLOOKUP('Données projet'!$B$13,Paramètres!$A$1:$I$89,3,0)*VLOOKUP('Données projet'!$B$13,Paramètres!$A$1:$I$89,5,0)</f>
        <v>0</v>
      </c>
      <c r="CV73" s="13" t="e">
        <f t="shared" si="95"/>
        <v>#NUM!</v>
      </c>
      <c r="CW73" s="20" t="e">
        <f t="shared" si="67"/>
        <v>#NUM!</v>
      </c>
      <c r="CX73" s="59" t="e">
        <f t="shared" si="68"/>
        <v>#NUM!</v>
      </c>
      <c r="CY73" s="59">
        <f ca="1">AVERAGE(OFFSET($CX$3,0,0,'Données projet'!$E$13+1,1))-AVERAGE(OFFSET($H$3,0,0,'Données projet'!$E$13+1,1))</f>
        <v>0</v>
      </c>
      <c r="CZ73" s="59">
        <f t="shared" si="96"/>
        <v>0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0</v>
      </c>
      <c r="DG73" s="21">
        <f>EXP(-LN(2)/25)*DG72+(1-EXP(-LN(2)/25))/(LN(2)/25)*Calculateur!DB73*Calculateur!DD73*VLOOKUP('Données projet'!$B$13,Paramètres!$A$1:$I$89,3,0)*0.475*44/12</f>
        <v>0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0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>
        <f>DO73*VLOOKUP('Données projet'!$B$14,Paramètres!$A$1:$I$89,3,0)*VLOOKUP('Données projet'!$B$14,Paramètres!$A$1:$I$89,5,0)</f>
        <v>0</v>
      </c>
      <c r="DQ73" s="13" t="e">
        <f t="shared" si="97"/>
        <v>#NUM!</v>
      </c>
      <c r="DR73" s="20" t="e">
        <f t="shared" si="70"/>
        <v>#NUM!</v>
      </c>
      <c r="DS73" s="59" t="e">
        <f t="shared" si="71"/>
        <v>#NUM!</v>
      </c>
      <c r="DT73" s="59">
        <f ca="1">AVERAGE(OFFSET($DS$3,0,0,'Données projet'!$E$14+1,1))-AVERAGE(OFFSET($H$3,0,0,'Données projet'!$E$14+1,1))</f>
        <v>0</v>
      </c>
      <c r="DU73" s="59">
        <f t="shared" si="98"/>
        <v>0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0</v>
      </c>
      <c r="EB73" s="21">
        <f>EXP(-LN(2)/25)*EB72+(1-EXP(-LN(2)/25))/(LN(2)/25)*Calculateur!DW73*Calculateur!DY73*VLOOKUP('Données projet'!$B$14,Paramètres!$A$1:$I$89,3,0)*0.475*44/12</f>
        <v>0</v>
      </c>
      <c r="EC73" s="21">
        <f>EXP(-LN(2)/2)*EC72+(1-EXP(-LN(2)/2))/(LN(2)/2)*DW73*DZ73*VLOOKUP('Données projet'!$B$14,Paramètres!$A$1:$I$89,3,0)*0.475*44/12</f>
        <v>0</v>
      </c>
      <c r="ED73" s="22">
        <f t="shared" si="72"/>
        <v>0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>
        <f>EJ73*VLOOKUP('Données projet'!$B$15,Paramètres!$A$1:$I$89,3,0)*VLOOKUP('Données projet'!$B$15,Paramètres!$A$1:$I$89,5,0)</f>
        <v>0</v>
      </c>
      <c r="EL73" s="13" t="e">
        <f t="shared" si="99"/>
        <v>#NUM!</v>
      </c>
      <c r="EM73" s="20" t="e">
        <f t="shared" si="73"/>
        <v>#NUM!</v>
      </c>
      <c r="EN73" s="59" t="e">
        <f t="shared" si="74"/>
        <v>#NUM!</v>
      </c>
      <c r="EO73" s="59">
        <f ca="1">AVERAGE(OFFSET($EN$3,0,0,'Données projet'!$E$15+1,1))-AVERAGE(OFFSET($H$3,0,0,'Données projet'!$E$15+1,1))</f>
        <v>0</v>
      </c>
      <c r="EP73" s="59">
        <f t="shared" si="100"/>
        <v>0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>
        <f>EXP(-LN(2)/35)*EV72+(1-EXP(-LN(2)/35))/(LN(2)/35)*ER73*ES73*VLOOKUP('Données projet'!$B$15,Paramètres!$A$1:$I$89,3,0)*0.475*44/12</f>
        <v>0</v>
      </c>
      <c r="EW73" s="21">
        <f>EXP(-LN(2)/25)*EW72+(1-EXP(-LN(2)/25))/(LN(2)/25)*Calculateur!ER73*Calculateur!ET73*VLOOKUP('Données projet'!$B$15,Paramètres!$A$1:$I$89,3,0)*0.475*44/12</f>
        <v>0</v>
      </c>
      <c r="EX73" s="21">
        <f>EXP(-LN(2)/2)*EX72+(1-EXP(-LN(2)/2))/(LN(2)/2)*ER73*EU73*VLOOKUP('Données projet'!$B$15,Paramètres!$A$1:$I$89,3,0)*0.475*44/12</f>
        <v>0</v>
      </c>
      <c r="EY73" s="22">
        <f t="shared" si="75"/>
        <v>0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>
        <f>FE73*VLOOKUP('Données projet'!$B$16,Paramètres!$A$1:$I$89,3,0)*VLOOKUP('Données projet'!$B$16,Paramètres!$A$1:$I$89,5,0)</f>
        <v>0</v>
      </c>
      <c r="FG73" s="13" t="e">
        <f t="shared" si="101"/>
        <v>#NUM!</v>
      </c>
      <c r="FH73" s="20" t="e">
        <f t="shared" si="76"/>
        <v>#NUM!</v>
      </c>
      <c r="FI73" s="59" t="e">
        <f t="shared" si="77"/>
        <v>#NUM!</v>
      </c>
      <c r="FJ73" s="59">
        <f ca="1">AVERAGE(OFFSET($FI$3,0,0,'Données projet'!$E$16+1,1))-AVERAGE(OFFSET($H$3,0,0,'Données projet'!$E$16+1,1))</f>
        <v>0</v>
      </c>
      <c r="FK73" s="59">
        <f t="shared" si="102"/>
        <v>0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>
        <f>EXP(-LN(2)/35)*FQ72+(1-EXP(-LN(2)/35))/(LN(2)/35)*FM73*FN73*VLOOKUP('Données projet'!$B$16,Paramètres!$A$1:$I$89,3,0)*0.475*44/12</f>
        <v>0</v>
      </c>
      <c r="FR73" s="21">
        <f>EXP(-LN(2)/25)*FR72+(1-EXP(-LN(2)/25))/(LN(2)/25)*Calculateur!FM73*Calculateur!FO73*VLOOKUP('Données projet'!$B$16,Paramètres!$A$1:$I$89,3,0)*0.475*44/12</f>
        <v>0</v>
      </c>
      <c r="FS73" s="21">
        <f>EXP(-LN(2)/2)*FS72+(1-EXP(-LN(2)/2))/(LN(2)/2)*FM73*FP73*VLOOKUP('Données projet'!$B$16,Paramètres!$A$1:$I$89,3,0)*0.475*44/12</f>
        <v>0</v>
      </c>
      <c r="FT73" s="22">
        <f t="shared" si="78"/>
        <v>0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56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186.90544184210381</v>
      </c>
      <c r="T74" s="59">
        <f t="shared" si="88"/>
        <v>202.05988514450519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95.699567376087771</v>
      </c>
      <c r="AA74" s="21">
        <f>EXP(-LN(2)/25)*AA73+(1-EXP(-LN(2)/25))/(LN(2)/25)*Calculateur!V74*Calculateur!X74*VLOOKUP('Données projet'!$B$9,Paramètres!$A$1:$I$89,3,0)*0.475*44/12</f>
        <v>16.106278894115299</v>
      </c>
      <c r="AB74" s="21">
        <f>EXP(-LN(2)/2)*AB73+(1-EXP(-LN(2)/2))/(LN(2)/2)*V74*Y74*VLOOKUP('Données projet'!$B$9,Paramètres!$A$1:$I$89,3,0)*0.475*44/12</f>
        <v>0.95070026715752165</v>
      </c>
      <c r="AC74" s="22">
        <f t="shared" si="57"/>
        <v>112.75654653736058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>
        <f>AI74*VLOOKUP('Données projet'!$B$10,Paramètres!$A$1:$I$89,3,0)*VLOOKUP('Données projet'!$B$10,Paramètres!$A$1:$I$89,5,0)</f>
        <v>0</v>
      </c>
      <c r="AK74" s="13" t="e">
        <f t="shared" si="89"/>
        <v>#NUM!</v>
      </c>
      <c r="AL74" s="20" t="e">
        <f t="shared" si="58"/>
        <v>#NUM!</v>
      </c>
      <c r="AM74" s="59" t="e">
        <f t="shared" si="59"/>
        <v>#NUM!</v>
      </c>
      <c r="AN74" s="59">
        <f ca="1">AVERAGE(OFFSET($AM$3,0,0,'Données projet'!$E$10+1,1))-AVERAGE(OFFSET($H$3,0,0,'Données projet'!$E$10+1,1))</f>
        <v>186.90544184210381</v>
      </c>
      <c r="AO74" s="59">
        <f t="shared" si="90"/>
        <v>202.05988514450519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95.699567376087771</v>
      </c>
      <c r="AV74" s="21">
        <f>EXP(-LN(2)/25)*AV73+(1-EXP(-LN(2)/25))/(LN(2)/25)*Calculateur!AQ74*Calculateur!AS74*VLOOKUP('Données projet'!$B$10,Paramètres!$A$1:$I$89,3,0)*0.475*44/12</f>
        <v>16.106278894115299</v>
      </c>
      <c r="AW74" s="21">
        <f>EXP(-LN(2)/2)*AW73+(1-EXP(-LN(2)/2))/(LN(2)/2)*AQ74*AT74*VLOOKUP('Données projet'!$B$10,Paramètres!$A$1:$I$89,3,0)*0.475*44/12</f>
        <v>0.95070026715752165</v>
      </c>
      <c r="AX74" s="21">
        <f t="shared" si="60"/>
        <v>112.75654653736058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-2.8421709430404007E-14</v>
      </c>
      <c r="BE74" s="13">
        <f>BD74*VLOOKUP('Données projet'!$B$11,Paramètres!$A$1:$I$89,3,0)*VLOOKUP('Données projet'!$B$11,Paramètres!$A$1:$I$89,5,0)</f>
        <v>-2.3055690689943732E-14</v>
      </c>
      <c r="BF74" s="13" t="e">
        <f t="shared" si="91"/>
        <v>#NUM!</v>
      </c>
      <c r="BG74" s="20" t="e">
        <f t="shared" si="61"/>
        <v>#NUM!</v>
      </c>
      <c r="BH74" s="59" t="e">
        <f t="shared" si="62"/>
        <v>#NUM!</v>
      </c>
      <c r="BI74" s="59">
        <f ca="1">AVERAGE(OFFSET($BH$3,0,0,'Données projet'!$E$11+1,1))-AVERAGE(OFFSET($H$3,0,0,'Données projet'!$E$11+1,1))</f>
        <v>5.8584049049231908</v>
      </c>
      <c r="BJ74" s="59">
        <f t="shared" si="92"/>
        <v>42.266833200216638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2.2359619358817319E-4</v>
      </c>
      <c r="BS74" s="22">
        <f t="shared" si="63"/>
        <v>2.2359619358817319E-4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>
        <f>BY74*VLOOKUP('Données projet'!$B$12,Paramètres!$A$1:$I$89,3,0)*VLOOKUP('Données projet'!$B$12,Paramètres!$A$1:$I$89,5,0)</f>
        <v>0</v>
      </c>
      <c r="CA74" s="13" t="e">
        <f t="shared" si="93"/>
        <v>#NUM!</v>
      </c>
      <c r="CB74" s="20" t="e">
        <f t="shared" si="64"/>
        <v>#NUM!</v>
      </c>
      <c r="CC74" s="59" t="e">
        <f t="shared" si="65"/>
        <v>#NUM!</v>
      </c>
      <c r="CD74" s="59">
        <f ca="1">AVERAGE(OFFSET($CC$3,0,0,'Données projet'!$E$12+1,1))-AVERAGE(OFFSET($H$3,0,0,'Données projet'!$E$12+1,1))</f>
        <v>0</v>
      </c>
      <c r="CE74" s="59">
        <f t="shared" si="94"/>
        <v>0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0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0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>
        <f>CT74*VLOOKUP('Données projet'!$B$13,Paramètres!$A$1:$I$89,3,0)*VLOOKUP('Données projet'!$B$13,Paramètres!$A$1:$I$89,5,0)</f>
        <v>0</v>
      </c>
      <c r="CV74" s="13" t="e">
        <f t="shared" si="95"/>
        <v>#NUM!</v>
      </c>
      <c r="CW74" s="20" t="e">
        <f t="shared" si="67"/>
        <v>#NUM!</v>
      </c>
      <c r="CX74" s="59" t="e">
        <f t="shared" si="68"/>
        <v>#NUM!</v>
      </c>
      <c r="CY74" s="59">
        <f ca="1">AVERAGE(OFFSET($CX$3,0,0,'Données projet'!$E$13+1,1))-AVERAGE(OFFSET($H$3,0,0,'Données projet'!$E$13+1,1))</f>
        <v>0</v>
      </c>
      <c r="CZ74" s="59">
        <f t="shared" si="96"/>
        <v>0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0</v>
      </c>
      <c r="DG74" s="21">
        <f>EXP(-LN(2)/25)*DG73+(1-EXP(-LN(2)/25))/(LN(2)/25)*Calculateur!DB74*Calculateur!DD74*VLOOKUP('Données projet'!$B$13,Paramètres!$A$1:$I$89,3,0)*0.475*44/12</f>
        <v>0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0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>
        <f>DO74*VLOOKUP('Données projet'!$B$14,Paramètres!$A$1:$I$89,3,0)*VLOOKUP('Données projet'!$B$14,Paramètres!$A$1:$I$89,5,0)</f>
        <v>0</v>
      </c>
      <c r="DQ74" s="13" t="e">
        <f t="shared" si="97"/>
        <v>#NUM!</v>
      </c>
      <c r="DR74" s="20" t="e">
        <f t="shared" si="70"/>
        <v>#NUM!</v>
      </c>
      <c r="DS74" s="59" t="e">
        <f t="shared" si="71"/>
        <v>#NUM!</v>
      </c>
      <c r="DT74" s="59">
        <f ca="1">AVERAGE(OFFSET($DS$3,0,0,'Données projet'!$E$14+1,1))-AVERAGE(OFFSET($H$3,0,0,'Données projet'!$E$14+1,1))</f>
        <v>0</v>
      </c>
      <c r="DU74" s="59">
        <f t="shared" si="98"/>
        <v>0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0</v>
      </c>
      <c r="EB74" s="21">
        <f>EXP(-LN(2)/25)*EB73+(1-EXP(-LN(2)/25))/(LN(2)/25)*Calculateur!DW74*Calculateur!DY74*VLOOKUP('Données projet'!$B$14,Paramètres!$A$1:$I$89,3,0)*0.475*44/12</f>
        <v>0</v>
      </c>
      <c r="EC74" s="21">
        <f>EXP(-LN(2)/2)*EC73+(1-EXP(-LN(2)/2))/(LN(2)/2)*DW74*DZ74*VLOOKUP('Données projet'!$B$14,Paramètres!$A$1:$I$89,3,0)*0.475*44/12</f>
        <v>0</v>
      </c>
      <c r="ED74" s="22">
        <f t="shared" si="72"/>
        <v>0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>
        <f>EJ74*VLOOKUP('Données projet'!$B$15,Paramètres!$A$1:$I$89,3,0)*VLOOKUP('Données projet'!$B$15,Paramètres!$A$1:$I$89,5,0)</f>
        <v>0</v>
      </c>
      <c r="EL74" s="13" t="e">
        <f t="shared" si="99"/>
        <v>#NUM!</v>
      </c>
      <c r="EM74" s="20" t="e">
        <f t="shared" si="73"/>
        <v>#NUM!</v>
      </c>
      <c r="EN74" s="59" t="e">
        <f t="shared" si="74"/>
        <v>#NUM!</v>
      </c>
      <c r="EO74" s="59">
        <f ca="1">AVERAGE(OFFSET($EN$3,0,0,'Données projet'!$E$15+1,1))-AVERAGE(OFFSET($H$3,0,0,'Données projet'!$E$15+1,1))</f>
        <v>0</v>
      </c>
      <c r="EP74" s="59">
        <f t="shared" si="100"/>
        <v>0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>
        <f>EXP(-LN(2)/35)*EV73+(1-EXP(-LN(2)/35))/(LN(2)/35)*ER74*ES74*VLOOKUP('Données projet'!$B$15,Paramètres!$A$1:$I$89,3,0)*0.475*44/12</f>
        <v>0</v>
      </c>
      <c r="EW74" s="21">
        <f>EXP(-LN(2)/25)*EW73+(1-EXP(-LN(2)/25))/(LN(2)/25)*Calculateur!ER74*Calculateur!ET74*VLOOKUP('Données projet'!$B$15,Paramètres!$A$1:$I$89,3,0)*0.475*44/12</f>
        <v>0</v>
      </c>
      <c r="EX74" s="21">
        <f>EXP(-LN(2)/2)*EX73+(1-EXP(-LN(2)/2))/(LN(2)/2)*ER74*EU74*VLOOKUP('Données projet'!$B$15,Paramètres!$A$1:$I$89,3,0)*0.475*44/12</f>
        <v>0</v>
      </c>
      <c r="EY74" s="22">
        <f t="shared" si="75"/>
        <v>0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>
        <f>FE74*VLOOKUP('Données projet'!$B$16,Paramètres!$A$1:$I$89,3,0)*VLOOKUP('Données projet'!$B$16,Paramètres!$A$1:$I$89,5,0)</f>
        <v>0</v>
      </c>
      <c r="FG74" s="13" t="e">
        <f t="shared" si="101"/>
        <v>#NUM!</v>
      </c>
      <c r="FH74" s="20" t="e">
        <f t="shared" si="76"/>
        <v>#NUM!</v>
      </c>
      <c r="FI74" s="59" t="e">
        <f t="shared" si="77"/>
        <v>#NUM!</v>
      </c>
      <c r="FJ74" s="59">
        <f ca="1">AVERAGE(OFFSET($FI$3,0,0,'Données projet'!$E$16+1,1))-AVERAGE(OFFSET($H$3,0,0,'Données projet'!$E$16+1,1))</f>
        <v>0</v>
      </c>
      <c r="FK74" s="59">
        <f t="shared" si="102"/>
        <v>0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>
        <f>EXP(-LN(2)/35)*FQ73+(1-EXP(-LN(2)/35))/(LN(2)/35)*FM74*FN74*VLOOKUP('Données projet'!$B$16,Paramètres!$A$1:$I$89,3,0)*0.475*44/12</f>
        <v>0</v>
      </c>
      <c r="FR74" s="21">
        <f>EXP(-LN(2)/25)*FR73+(1-EXP(-LN(2)/25))/(LN(2)/25)*Calculateur!FM74*Calculateur!FO74*VLOOKUP('Données projet'!$B$16,Paramètres!$A$1:$I$89,3,0)*0.475*44/12</f>
        <v>0</v>
      </c>
      <c r="FS74" s="21">
        <f>EXP(-LN(2)/2)*FS73+(1-EXP(-LN(2)/2))/(LN(2)/2)*FM74*FP74*VLOOKUP('Données projet'!$B$16,Paramètres!$A$1:$I$89,3,0)*0.475*44/12</f>
        <v>0</v>
      </c>
      <c r="FT74" s="22">
        <f t="shared" si="78"/>
        <v>0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56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186.90544184210381</v>
      </c>
      <c r="T75" s="59">
        <f t="shared" si="88"/>
        <v>202.05988514450519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93.822957230815135</v>
      </c>
      <c r="AA75" s="21">
        <f>EXP(-LN(2)/25)*AA74+(1-EXP(-LN(2)/25))/(LN(2)/25)*Calculateur!V75*Calculateur!X75*VLOOKUP('Données projet'!$B$9,Paramètres!$A$1:$I$89,3,0)*0.475*44/12</f>
        <v>15.665851850763321</v>
      </c>
      <c r="AB75" s="21">
        <f>EXP(-LN(2)/2)*AB74+(1-EXP(-LN(2)/2))/(LN(2)/2)*V75*Y75*VLOOKUP('Données projet'!$B$9,Paramètres!$A$1:$I$89,3,0)*0.475*44/12</f>
        <v>0.67224660578294593</v>
      </c>
      <c r="AC75" s="22">
        <f t="shared" si="57"/>
        <v>110.1610556873614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>
        <f>AI75*VLOOKUP('Données projet'!$B$10,Paramètres!$A$1:$I$89,3,0)*VLOOKUP('Données projet'!$B$10,Paramètres!$A$1:$I$89,5,0)</f>
        <v>0</v>
      </c>
      <c r="AK75" s="13" t="e">
        <f t="shared" si="89"/>
        <v>#NUM!</v>
      </c>
      <c r="AL75" s="20" t="e">
        <f t="shared" si="58"/>
        <v>#NUM!</v>
      </c>
      <c r="AM75" s="59" t="e">
        <f t="shared" si="59"/>
        <v>#NUM!</v>
      </c>
      <c r="AN75" s="59">
        <f ca="1">AVERAGE(OFFSET($AM$3,0,0,'Données projet'!$E$10+1,1))-AVERAGE(OFFSET($H$3,0,0,'Données projet'!$E$10+1,1))</f>
        <v>186.90544184210381</v>
      </c>
      <c r="AO75" s="59">
        <f t="shared" si="90"/>
        <v>202.05988514450519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93.822957230815135</v>
      </c>
      <c r="AV75" s="21">
        <f>EXP(-LN(2)/25)*AV74+(1-EXP(-LN(2)/25))/(LN(2)/25)*Calculateur!AQ75*Calculateur!AS75*VLOOKUP('Données projet'!$B$10,Paramètres!$A$1:$I$89,3,0)*0.475*44/12</f>
        <v>15.665851850763321</v>
      </c>
      <c r="AW75" s="21">
        <f>EXP(-LN(2)/2)*AW74+(1-EXP(-LN(2)/2))/(LN(2)/2)*AQ75*AT75*VLOOKUP('Données projet'!$B$10,Paramètres!$A$1:$I$89,3,0)*0.475*44/12</f>
        <v>0.67224660578294593</v>
      </c>
      <c r="AX75" s="21">
        <f t="shared" si="60"/>
        <v>110.1610556873614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-2.8421709430404007E-14</v>
      </c>
      <c r="BE75" s="13">
        <f>BD75*VLOOKUP('Données projet'!$B$11,Paramètres!$A$1:$I$89,3,0)*VLOOKUP('Données projet'!$B$11,Paramètres!$A$1:$I$89,5,0)</f>
        <v>-2.3055690689943732E-14</v>
      </c>
      <c r="BF75" s="13" t="e">
        <f t="shared" si="91"/>
        <v>#NUM!</v>
      </c>
      <c r="BG75" s="20" t="e">
        <f t="shared" si="61"/>
        <v>#NUM!</v>
      </c>
      <c r="BH75" s="59" t="e">
        <f t="shared" si="62"/>
        <v>#NUM!</v>
      </c>
      <c r="BI75" s="59">
        <f ca="1">AVERAGE(OFFSET($BH$3,0,0,'Données projet'!$E$11+1,1))-AVERAGE(OFFSET($H$3,0,0,'Données projet'!$E$11+1,1))</f>
        <v>5.8584049049231908</v>
      </c>
      <c r="BJ75" s="59">
        <f t="shared" si="92"/>
        <v>42.266833200216638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1.581063847336973E-4</v>
      </c>
      <c r="BS75" s="22">
        <f t="shared" si="63"/>
        <v>1.581063847336973E-4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>
        <f>BY75*VLOOKUP('Données projet'!$B$12,Paramètres!$A$1:$I$89,3,0)*VLOOKUP('Données projet'!$B$12,Paramètres!$A$1:$I$89,5,0)</f>
        <v>0</v>
      </c>
      <c r="CA75" s="13" t="e">
        <f t="shared" si="93"/>
        <v>#NUM!</v>
      </c>
      <c r="CB75" s="20" t="e">
        <f t="shared" si="64"/>
        <v>#NUM!</v>
      </c>
      <c r="CC75" s="59" t="e">
        <f t="shared" si="65"/>
        <v>#NUM!</v>
      </c>
      <c r="CD75" s="59">
        <f ca="1">AVERAGE(OFFSET($CC$3,0,0,'Données projet'!$E$12+1,1))-AVERAGE(OFFSET($H$3,0,0,'Données projet'!$E$12+1,1))</f>
        <v>0</v>
      </c>
      <c r="CE75" s="59">
        <f t="shared" si="94"/>
        <v>0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0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0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>
        <f>CT75*VLOOKUP('Données projet'!$B$13,Paramètres!$A$1:$I$89,3,0)*VLOOKUP('Données projet'!$B$13,Paramètres!$A$1:$I$89,5,0)</f>
        <v>0</v>
      </c>
      <c r="CV75" s="13" t="e">
        <f t="shared" si="95"/>
        <v>#NUM!</v>
      </c>
      <c r="CW75" s="20" t="e">
        <f t="shared" si="67"/>
        <v>#NUM!</v>
      </c>
      <c r="CX75" s="59" t="e">
        <f t="shared" si="68"/>
        <v>#NUM!</v>
      </c>
      <c r="CY75" s="59">
        <f ca="1">AVERAGE(OFFSET($CX$3,0,0,'Données projet'!$E$13+1,1))-AVERAGE(OFFSET($H$3,0,0,'Données projet'!$E$13+1,1))</f>
        <v>0</v>
      </c>
      <c r="CZ75" s="59">
        <f t="shared" si="96"/>
        <v>0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0</v>
      </c>
      <c r="DG75" s="21">
        <f>EXP(-LN(2)/25)*DG74+(1-EXP(-LN(2)/25))/(LN(2)/25)*Calculateur!DB75*Calculateur!DD75*VLOOKUP('Données projet'!$B$13,Paramètres!$A$1:$I$89,3,0)*0.475*44/12</f>
        <v>0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0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>
        <f>DO75*VLOOKUP('Données projet'!$B$14,Paramètres!$A$1:$I$89,3,0)*VLOOKUP('Données projet'!$B$14,Paramètres!$A$1:$I$89,5,0)</f>
        <v>0</v>
      </c>
      <c r="DQ75" s="13" t="e">
        <f t="shared" si="97"/>
        <v>#NUM!</v>
      </c>
      <c r="DR75" s="20" t="e">
        <f t="shared" si="70"/>
        <v>#NUM!</v>
      </c>
      <c r="DS75" s="59" t="e">
        <f t="shared" si="71"/>
        <v>#NUM!</v>
      </c>
      <c r="DT75" s="59">
        <f ca="1">AVERAGE(OFFSET($DS$3,0,0,'Données projet'!$E$14+1,1))-AVERAGE(OFFSET($H$3,0,0,'Données projet'!$E$14+1,1))</f>
        <v>0</v>
      </c>
      <c r="DU75" s="59">
        <f t="shared" si="98"/>
        <v>0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0</v>
      </c>
      <c r="EB75" s="21">
        <f>EXP(-LN(2)/25)*EB74+(1-EXP(-LN(2)/25))/(LN(2)/25)*Calculateur!DW75*Calculateur!DY75*VLOOKUP('Données projet'!$B$14,Paramètres!$A$1:$I$89,3,0)*0.475*44/12</f>
        <v>0</v>
      </c>
      <c r="EC75" s="21">
        <f>EXP(-LN(2)/2)*EC74+(1-EXP(-LN(2)/2))/(LN(2)/2)*DW75*DZ75*VLOOKUP('Données projet'!$B$14,Paramètres!$A$1:$I$89,3,0)*0.475*44/12</f>
        <v>0</v>
      </c>
      <c r="ED75" s="22">
        <f t="shared" si="72"/>
        <v>0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>
        <f>EJ75*VLOOKUP('Données projet'!$B$15,Paramètres!$A$1:$I$89,3,0)*VLOOKUP('Données projet'!$B$15,Paramètres!$A$1:$I$89,5,0)</f>
        <v>0</v>
      </c>
      <c r="EL75" s="13" t="e">
        <f t="shared" si="99"/>
        <v>#NUM!</v>
      </c>
      <c r="EM75" s="20" t="e">
        <f t="shared" si="73"/>
        <v>#NUM!</v>
      </c>
      <c r="EN75" s="59" t="e">
        <f t="shared" si="74"/>
        <v>#NUM!</v>
      </c>
      <c r="EO75" s="59">
        <f ca="1">AVERAGE(OFFSET($EN$3,0,0,'Données projet'!$E$15+1,1))-AVERAGE(OFFSET($H$3,0,0,'Données projet'!$E$15+1,1))</f>
        <v>0</v>
      </c>
      <c r="EP75" s="59">
        <f t="shared" si="100"/>
        <v>0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>
        <f>EXP(-LN(2)/35)*EV74+(1-EXP(-LN(2)/35))/(LN(2)/35)*ER75*ES75*VLOOKUP('Données projet'!$B$15,Paramètres!$A$1:$I$89,3,0)*0.475*44/12</f>
        <v>0</v>
      </c>
      <c r="EW75" s="21">
        <f>EXP(-LN(2)/25)*EW74+(1-EXP(-LN(2)/25))/(LN(2)/25)*Calculateur!ER75*Calculateur!ET75*VLOOKUP('Données projet'!$B$15,Paramètres!$A$1:$I$89,3,0)*0.475*44/12</f>
        <v>0</v>
      </c>
      <c r="EX75" s="21">
        <f>EXP(-LN(2)/2)*EX74+(1-EXP(-LN(2)/2))/(LN(2)/2)*ER75*EU75*VLOOKUP('Données projet'!$B$15,Paramètres!$A$1:$I$89,3,0)*0.475*44/12</f>
        <v>0</v>
      </c>
      <c r="EY75" s="22">
        <f t="shared" si="75"/>
        <v>0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>
        <f>FE75*VLOOKUP('Données projet'!$B$16,Paramètres!$A$1:$I$89,3,0)*VLOOKUP('Données projet'!$B$16,Paramètres!$A$1:$I$89,5,0)</f>
        <v>0</v>
      </c>
      <c r="FG75" s="13" t="e">
        <f t="shared" si="101"/>
        <v>#NUM!</v>
      </c>
      <c r="FH75" s="20" t="e">
        <f t="shared" si="76"/>
        <v>#NUM!</v>
      </c>
      <c r="FI75" s="59" t="e">
        <f t="shared" si="77"/>
        <v>#NUM!</v>
      </c>
      <c r="FJ75" s="59">
        <f ca="1">AVERAGE(OFFSET($FI$3,0,0,'Données projet'!$E$16+1,1))-AVERAGE(OFFSET($H$3,0,0,'Données projet'!$E$16+1,1))</f>
        <v>0</v>
      </c>
      <c r="FK75" s="59">
        <f t="shared" si="102"/>
        <v>0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>
        <f>EXP(-LN(2)/35)*FQ74+(1-EXP(-LN(2)/35))/(LN(2)/35)*FM75*FN75*VLOOKUP('Données projet'!$B$16,Paramètres!$A$1:$I$89,3,0)*0.475*44/12</f>
        <v>0</v>
      </c>
      <c r="FR75" s="21">
        <f>EXP(-LN(2)/25)*FR74+(1-EXP(-LN(2)/25))/(LN(2)/25)*Calculateur!FM75*Calculateur!FO75*VLOOKUP('Données projet'!$B$16,Paramètres!$A$1:$I$89,3,0)*0.475*44/12</f>
        <v>0</v>
      </c>
      <c r="FS75" s="21">
        <f>EXP(-LN(2)/2)*FS74+(1-EXP(-LN(2)/2))/(LN(2)/2)*FM75*FP75*VLOOKUP('Données projet'!$B$16,Paramètres!$A$1:$I$89,3,0)*0.475*44/12</f>
        <v>0</v>
      </c>
      <c r="FT75" s="22">
        <f t="shared" si="78"/>
        <v>0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56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186.90544184210381</v>
      </c>
      <c r="T76" s="59">
        <f t="shared" si="88"/>
        <v>202.05988514450519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91.983146265872122</v>
      </c>
      <c r="AA76" s="21">
        <f>EXP(-LN(2)/25)*AA75+(1-EXP(-LN(2)/25))/(LN(2)/25)*Calculateur!V76*Calculateur!X76*VLOOKUP('Données projet'!$B$9,Paramètres!$A$1:$I$89,3,0)*0.475*44/12</f>
        <v>15.237468308072854</v>
      </c>
      <c r="AB76" s="21">
        <f>EXP(-LN(2)/2)*AB75+(1-EXP(-LN(2)/2))/(LN(2)/2)*V76*Y76*VLOOKUP('Données projet'!$B$9,Paramètres!$A$1:$I$89,3,0)*0.475*44/12</f>
        <v>0.47535013357876083</v>
      </c>
      <c r="AC76" s="22">
        <f t="shared" si="57"/>
        <v>107.69596470752373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>
        <f>AI76*VLOOKUP('Données projet'!$B$10,Paramètres!$A$1:$I$89,3,0)*VLOOKUP('Données projet'!$B$10,Paramètres!$A$1:$I$89,5,0)</f>
        <v>0</v>
      </c>
      <c r="AK76" s="13" t="e">
        <f t="shared" si="89"/>
        <v>#NUM!</v>
      </c>
      <c r="AL76" s="20" t="e">
        <f t="shared" si="58"/>
        <v>#NUM!</v>
      </c>
      <c r="AM76" s="59" t="e">
        <f t="shared" si="59"/>
        <v>#NUM!</v>
      </c>
      <c r="AN76" s="59">
        <f ca="1">AVERAGE(OFFSET($AM$3,0,0,'Données projet'!$E$10+1,1))-AVERAGE(OFFSET($H$3,0,0,'Données projet'!$E$10+1,1))</f>
        <v>186.90544184210381</v>
      </c>
      <c r="AO76" s="59">
        <f t="shared" si="90"/>
        <v>202.05988514450519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91.983146265872122</v>
      </c>
      <c r="AV76" s="21">
        <f>EXP(-LN(2)/25)*AV75+(1-EXP(-LN(2)/25))/(LN(2)/25)*Calculateur!AQ76*Calculateur!AS76*VLOOKUP('Données projet'!$B$10,Paramètres!$A$1:$I$89,3,0)*0.475*44/12</f>
        <v>15.237468308072854</v>
      </c>
      <c r="AW76" s="21">
        <f>EXP(-LN(2)/2)*AW75+(1-EXP(-LN(2)/2))/(LN(2)/2)*AQ76*AT76*VLOOKUP('Données projet'!$B$10,Paramètres!$A$1:$I$89,3,0)*0.475*44/12</f>
        <v>0.47535013357876083</v>
      </c>
      <c r="AX76" s="21">
        <f t="shared" si="60"/>
        <v>107.69596470752373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-2.8421709430404007E-14</v>
      </c>
      <c r="BE76" s="13">
        <f>BD76*VLOOKUP('Données projet'!$B$11,Paramètres!$A$1:$I$89,3,0)*VLOOKUP('Données projet'!$B$11,Paramètres!$A$1:$I$89,5,0)</f>
        <v>-2.3055690689943732E-14</v>
      </c>
      <c r="BF76" s="13" t="e">
        <f t="shared" si="91"/>
        <v>#NUM!</v>
      </c>
      <c r="BG76" s="20" t="e">
        <f t="shared" si="61"/>
        <v>#NUM!</v>
      </c>
      <c r="BH76" s="59" t="e">
        <f t="shared" si="62"/>
        <v>#NUM!</v>
      </c>
      <c r="BI76" s="59">
        <f ca="1">AVERAGE(OFFSET($BH$3,0,0,'Données projet'!$E$11+1,1))-AVERAGE(OFFSET($H$3,0,0,'Données projet'!$E$11+1,1))</f>
        <v>5.8584049049231908</v>
      </c>
      <c r="BJ76" s="59">
        <f t="shared" si="92"/>
        <v>42.266833200216638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1.117980967940866E-4</v>
      </c>
      <c r="BS76" s="22">
        <f t="shared" si="63"/>
        <v>1.117980967940866E-4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>
        <f>BY76*VLOOKUP('Données projet'!$B$12,Paramètres!$A$1:$I$89,3,0)*VLOOKUP('Données projet'!$B$12,Paramètres!$A$1:$I$89,5,0)</f>
        <v>0</v>
      </c>
      <c r="CA76" s="13" t="e">
        <f t="shared" si="93"/>
        <v>#NUM!</v>
      </c>
      <c r="CB76" s="20" t="e">
        <f t="shared" si="64"/>
        <v>#NUM!</v>
      </c>
      <c r="CC76" s="59" t="e">
        <f t="shared" si="65"/>
        <v>#NUM!</v>
      </c>
      <c r="CD76" s="59">
        <f ca="1">AVERAGE(OFFSET($CC$3,0,0,'Données projet'!$E$12+1,1))-AVERAGE(OFFSET($H$3,0,0,'Données projet'!$E$12+1,1))</f>
        <v>0</v>
      </c>
      <c r="CE76" s="59">
        <f t="shared" si="94"/>
        <v>0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0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0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>
        <f>CT76*VLOOKUP('Données projet'!$B$13,Paramètres!$A$1:$I$89,3,0)*VLOOKUP('Données projet'!$B$13,Paramètres!$A$1:$I$89,5,0)</f>
        <v>0</v>
      </c>
      <c r="CV76" s="13" t="e">
        <f t="shared" si="95"/>
        <v>#NUM!</v>
      </c>
      <c r="CW76" s="20" t="e">
        <f t="shared" si="67"/>
        <v>#NUM!</v>
      </c>
      <c r="CX76" s="59" t="e">
        <f t="shared" si="68"/>
        <v>#NUM!</v>
      </c>
      <c r="CY76" s="59">
        <f ca="1">AVERAGE(OFFSET($CX$3,0,0,'Données projet'!$E$13+1,1))-AVERAGE(OFFSET($H$3,0,0,'Données projet'!$E$13+1,1))</f>
        <v>0</v>
      </c>
      <c r="CZ76" s="59">
        <f t="shared" si="96"/>
        <v>0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0</v>
      </c>
      <c r="DG76" s="21">
        <f>EXP(-LN(2)/25)*DG75+(1-EXP(-LN(2)/25))/(LN(2)/25)*Calculateur!DB76*Calculateur!DD76*VLOOKUP('Données projet'!$B$13,Paramètres!$A$1:$I$89,3,0)*0.475*44/12</f>
        <v>0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0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>
        <f>DO76*VLOOKUP('Données projet'!$B$14,Paramètres!$A$1:$I$89,3,0)*VLOOKUP('Données projet'!$B$14,Paramètres!$A$1:$I$89,5,0)</f>
        <v>0</v>
      </c>
      <c r="DQ76" s="13" t="e">
        <f t="shared" si="97"/>
        <v>#NUM!</v>
      </c>
      <c r="DR76" s="20" t="e">
        <f t="shared" si="70"/>
        <v>#NUM!</v>
      </c>
      <c r="DS76" s="59" t="e">
        <f t="shared" si="71"/>
        <v>#NUM!</v>
      </c>
      <c r="DT76" s="59">
        <f ca="1">AVERAGE(OFFSET($DS$3,0,0,'Données projet'!$E$14+1,1))-AVERAGE(OFFSET($H$3,0,0,'Données projet'!$E$14+1,1))</f>
        <v>0</v>
      </c>
      <c r="DU76" s="59">
        <f t="shared" si="98"/>
        <v>0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0</v>
      </c>
      <c r="EB76" s="21">
        <f>EXP(-LN(2)/25)*EB75+(1-EXP(-LN(2)/25))/(LN(2)/25)*Calculateur!DW76*Calculateur!DY76*VLOOKUP('Données projet'!$B$14,Paramètres!$A$1:$I$89,3,0)*0.475*44/12</f>
        <v>0</v>
      </c>
      <c r="EC76" s="21">
        <f>EXP(-LN(2)/2)*EC75+(1-EXP(-LN(2)/2))/(LN(2)/2)*DW76*DZ76*VLOOKUP('Données projet'!$B$14,Paramètres!$A$1:$I$89,3,0)*0.475*44/12</f>
        <v>0</v>
      </c>
      <c r="ED76" s="22">
        <f t="shared" si="72"/>
        <v>0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>
        <f>EJ76*VLOOKUP('Données projet'!$B$15,Paramètres!$A$1:$I$89,3,0)*VLOOKUP('Données projet'!$B$15,Paramètres!$A$1:$I$89,5,0)</f>
        <v>0</v>
      </c>
      <c r="EL76" s="13" t="e">
        <f t="shared" si="99"/>
        <v>#NUM!</v>
      </c>
      <c r="EM76" s="20" t="e">
        <f t="shared" si="73"/>
        <v>#NUM!</v>
      </c>
      <c r="EN76" s="59" t="e">
        <f t="shared" si="74"/>
        <v>#NUM!</v>
      </c>
      <c r="EO76" s="59">
        <f ca="1">AVERAGE(OFFSET($EN$3,0,0,'Données projet'!$E$15+1,1))-AVERAGE(OFFSET($H$3,0,0,'Données projet'!$E$15+1,1))</f>
        <v>0</v>
      </c>
      <c r="EP76" s="59">
        <f t="shared" si="100"/>
        <v>0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>
        <f>EXP(-LN(2)/35)*EV75+(1-EXP(-LN(2)/35))/(LN(2)/35)*ER76*ES76*VLOOKUP('Données projet'!$B$15,Paramètres!$A$1:$I$89,3,0)*0.475*44/12</f>
        <v>0</v>
      </c>
      <c r="EW76" s="21">
        <f>EXP(-LN(2)/25)*EW75+(1-EXP(-LN(2)/25))/(LN(2)/25)*Calculateur!ER76*Calculateur!ET76*VLOOKUP('Données projet'!$B$15,Paramètres!$A$1:$I$89,3,0)*0.475*44/12</f>
        <v>0</v>
      </c>
      <c r="EX76" s="21">
        <f>EXP(-LN(2)/2)*EX75+(1-EXP(-LN(2)/2))/(LN(2)/2)*ER76*EU76*VLOOKUP('Données projet'!$B$15,Paramètres!$A$1:$I$89,3,0)*0.475*44/12</f>
        <v>0</v>
      </c>
      <c r="EY76" s="22">
        <f t="shared" si="75"/>
        <v>0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>
        <f>FE76*VLOOKUP('Données projet'!$B$16,Paramètres!$A$1:$I$89,3,0)*VLOOKUP('Données projet'!$B$16,Paramètres!$A$1:$I$89,5,0)</f>
        <v>0</v>
      </c>
      <c r="FG76" s="13" t="e">
        <f t="shared" si="101"/>
        <v>#NUM!</v>
      </c>
      <c r="FH76" s="20" t="e">
        <f t="shared" si="76"/>
        <v>#NUM!</v>
      </c>
      <c r="FI76" s="59" t="e">
        <f t="shared" si="77"/>
        <v>#NUM!</v>
      </c>
      <c r="FJ76" s="59">
        <f ca="1">AVERAGE(OFFSET($FI$3,0,0,'Données projet'!$E$16+1,1))-AVERAGE(OFFSET($H$3,0,0,'Données projet'!$E$16+1,1))</f>
        <v>0</v>
      </c>
      <c r="FK76" s="59">
        <f t="shared" si="102"/>
        <v>0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>
        <f>EXP(-LN(2)/35)*FQ75+(1-EXP(-LN(2)/35))/(LN(2)/35)*FM76*FN76*VLOOKUP('Données projet'!$B$16,Paramètres!$A$1:$I$89,3,0)*0.475*44/12</f>
        <v>0</v>
      </c>
      <c r="FR76" s="21">
        <f>EXP(-LN(2)/25)*FR75+(1-EXP(-LN(2)/25))/(LN(2)/25)*Calculateur!FM76*Calculateur!FO76*VLOOKUP('Données projet'!$B$16,Paramètres!$A$1:$I$89,3,0)*0.475*44/12</f>
        <v>0</v>
      </c>
      <c r="FS76" s="21">
        <f>EXP(-LN(2)/2)*FS75+(1-EXP(-LN(2)/2))/(LN(2)/2)*FM76*FP76*VLOOKUP('Données projet'!$B$16,Paramètres!$A$1:$I$89,3,0)*0.475*44/12</f>
        <v>0</v>
      </c>
      <c r="FT76" s="22">
        <f t="shared" si="78"/>
        <v>0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56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186.90544184210381</v>
      </c>
      <c r="T77" s="59">
        <f t="shared" si="88"/>
        <v>202.05988514450519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90.179412871777771</v>
      </c>
      <c r="AA77" s="21">
        <f>EXP(-LN(2)/25)*AA76+(1-EXP(-LN(2)/25))/(LN(2)/25)*Calculateur!V77*Calculateur!X77*VLOOKUP('Données projet'!$B$9,Paramètres!$A$1:$I$89,3,0)*0.475*44/12</f>
        <v>14.820798935884969</v>
      </c>
      <c r="AB77" s="21">
        <f>EXP(-LN(2)/2)*AB76+(1-EXP(-LN(2)/2))/(LN(2)/2)*V77*Y77*VLOOKUP('Données projet'!$B$9,Paramètres!$A$1:$I$89,3,0)*0.475*44/12</f>
        <v>0.33612330289147296</v>
      </c>
      <c r="AC77" s="22">
        <f t="shared" si="57"/>
        <v>105.33633511055422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>
        <f>AI77*VLOOKUP('Données projet'!$B$10,Paramètres!$A$1:$I$89,3,0)*VLOOKUP('Données projet'!$B$10,Paramètres!$A$1:$I$89,5,0)</f>
        <v>0</v>
      </c>
      <c r="AK77" s="13" t="e">
        <f t="shared" si="89"/>
        <v>#NUM!</v>
      </c>
      <c r="AL77" s="20" t="e">
        <f t="shared" si="58"/>
        <v>#NUM!</v>
      </c>
      <c r="AM77" s="59" t="e">
        <f t="shared" si="59"/>
        <v>#NUM!</v>
      </c>
      <c r="AN77" s="59">
        <f ca="1">AVERAGE(OFFSET($AM$3,0,0,'Données projet'!$E$10+1,1))-AVERAGE(OFFSET($H$3,0,0,'Données projet'!$E$10+1,1))</f>
        <v>186.90544184210381</v>
      </c>
      <c r="AO77" s="59">
        <f t="shared" si="90"/>
        <v>202.05988514450519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90.179412871777771</v>
      </c>
      <c r="AV77" s="21">
        <f>EXP(-LN(2)/25)*AV76+(1-EXP(-LN(2)/25))/(LN(2)/25)*Calculateur!AQ77*Calculateur!AS77*VLOOKUP('Données projet'!$B$10,Paramètres!$A$1:$I$89,3,0)*0.475*44/12</f>
        <v>14.820798935884969</v>
      </c>
      <c r="AW77" s="21">
        <f>EXP(-LN(2)/2)*AW76+(1-EXP(-LN(2)/2))/(LN(2)/2)*AQ77*AT77*VLOOKUP('Données projet'!$B$10,Paramètres!$A$1:$I$89,3,0)*0.475*44/12</f>
        <v>0.33612330289147296</v>
      </c>
      <c r="AX77" s="21">
        <f t="shared" si="60"/>
        <v>105.33633511055422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-2.8421709430404007E-14</v>
      </c>
      <c r="BE77" s="13">
        <f>BD77*VLOOKUP('Données projet'!$B$11,Paramètres!$A$1:$I$89,3,0)*VLOOKUP('Données projet'!$B$11,Paramètres!$A$1:$I$89,5,0)</f>
        <v>-2.3055690689943732E-14</v>
      </c>
      <c r="BF77" s="13" t="e">
        <f t="shared" si="91"/>
        <v>#NUM!</v>
      </c>
      <c r="BG77" s="20" t="e">
        <f t="shared" si="61"/>
        <v>#NUM!</v>
      </c>
      <c r="BH77" s="59" t="e">
        <f t="shared" si="62"/>
        <v>#NUM!</v>
      </c>
      <c r="BI77" s="59">
        <f ca="1">AVERAGE(OFFSET($BH$3,0,0,'Données projet'!$E$11+1,1))-AVERAGE(OFFSET($H$3,0,0,'Données projet'!$E$11+1,1))</f>
        <v>5.8584049049231908</v>
      </c>
      <c r="BJ77" s="59">
        <f t="shared" si="92"/>
        <v>42.266833200216638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7.905319236684865E-5</v>
      </c>
      <c r="BS77" s="22">
        <f t="shared" si="63"/>
        <v>7.905319236684865E-5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>
        <f>BY77*VLOOKUP('Données projet'!$B$12,Paramètres!$A$1:$I$89,3,0)*VLOOKUP('Données projet'!$B$12,Paramètres!$A$1:$I$89,5,0)</f>
        <v>0</v>
      </c>
      <c r="CA77" s="13" t="e">
        <f t="shared" si="93"/>
        <v>#NUM!</v>
      </c>
      <c r="CB77" s="20" t="e">
        <f t="shared" si="64"/>
        <v>#NUM!</v>
      </c>
      <c r="CC77" s="59" t="e">
        <f t="shared" si="65"/>
        <v>#NUM!</v>
      </c>
      <c r="CD77" s="59">
        <f ca="1">AVERAGE(OFFSET($CC$3,0,0,'Données projet'!$E$12+1,1))-AVERAGE(OFFSET($H$3,0,0,'Données projet'!$E$12+1,1))</f>
        <v>0</v>
      </c>
      <c r="CE77" s="59">
        <f t="shared" si="94"/>
        <v>0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0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0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>
        <f>CT77*VLOOKUP('Données projet'!$B$13,Paramètres!$A$1:$I$89,3,0)*VLOOKUP('Données projet'!$B$13,Paramètres!$A$1:$I$89,5,0)</f>
        <v>0</v>
      </c>
      <c r="CV77" s="13" t="e">
        <f t="shared" si="95"/>
        <v>#NUM!</v>
      </c>
      <c r="CW77" s="20" t="e">
        <f t="shared" si="67"/>
        <v>#NUM!</v>
      </c>
      <c r="CX77" s="59" t="e">
        <f t="shared" si="68"/>
        <v>#NUM!</v>
      </c>
      <c r="CY77" s="59">
        <f ca="1">AVERAGE(OFFSET($CX$3,0,0,'Données projet'!$E$13+1,1))-AVERAGE(OFFSET($H$3,0,0,'Données projet'!$E$13+1,1))</f>
        <v>0</v>
      </c>
      <c r="CZ77" s="59">
        <f t="shared" si="96"/>
        <v>0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0</v>
      </c>
      <c r="DG77" s="21">
        <f>EXP(-LN(2)/25)*DG76+(1-EXP(-LN(2)/25))/(LN(2)/25)*Calculateur!DB77*Calculateur!DD77*VLOOKUP('Données projet'!$B$13,Paramètres!$A$1:$I$89,3,0)*0.475*44/12</f>
        <v>0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0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>
        <f>DO77*VLOOKUP('Données projet'!$B$14,Paramètres!$A$1:$I$89,3,0)*VLOOKUP('Données projet'!$B$14,Paramètres!$A$1:$I$89,5,0)</f>
        <v>0</v>
      </c>
      <c r="DQ77" s="13" t="e">
        <f t="shared" si="97"/>
        <v>#NUM!</v>
      </c>
      <c r="DR77" s="20" t="e">
        <f t="shared" si="70"/>
        <v>#NUM!</v>
      </c>
      <c r="DS77" s="59" t="e">
        <f t="shared" si="71"/>
        <v>#NUM!</v>
      </c>
      <c r="DT77" s="59">
        <f ca="1">AVERAGE(OFFSET($DS$3,0,0,'Données projet'!$E$14+1,1))-AVERAGE(OFFSET($H$3,0,0,'Données projet'!$E$14+1,1))</f>
        <v>0</v>
      </c>
      <c r="DU77" s="59">
        <f t="shared" si="98"/>
        <v>0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0</v>
      </c>
      <c r="EB77" s="21">
        <f>EXP(-LN(2)/25)*EB76+(1-EXP(-LN(2)/25))/(LN(2)/25)*Calculateur!DW77*Calculateur!DY77*VLOOKUP('Données projet'!$B$14,Paramètres!$A$1:$I$89,3,0)*0.475*44/12</f>
        <v>0</v>
      </c>
      <c r="EC77" s="21">
        <f>EXP(-LN(2)/2)*EC76+(1-EXP(-LN(2)/2))/(LN(2)/2)*DW77*DZ77*VLOOKUP('Données projet'!$B$14,Paramètres!$A$1:$I$89,3,0)*0.475*44/12</f>
        <v>0</v>
      </c>
      <c r="ED77" s="22">
        <f t="shared" si="72"/>
        <v>0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>
        <f>EJ77*VLOOKUP('Données projet'!$B$15,Paramètres!$A$1:$I$89,3,0)*VLOOKUP('Données projet'!$B$15,Paramètres!$A$1:$I$89,5,0)</f>
        <v>0</v>
      </c>
      <c r="EL77" s="13" t="e">
        <f t="shared" si="99"/>
        <v>#NUM!</v>
      </c>
      <c r="EM77" s="20" t="e">
        <f t="shared" si="73"/>
        <v>#NUM!</v>
      </c>
      <c r="EN77" s="59" t="e">
        <f t="shared" si="74"/>
        <v>#NUM!</v>
      </c>
      <c r="EO77" s="59">
        <f ca="1">AVERAGE(OFFSET($EN$3,0,0,'Données projet'!$E$15+1,1))-AVERAGE(OFFSET($H$3,0,0,'Données projet'!$E$15+1,1))</f>
        <v>0</v>
      </c>
      <c r="EP77" s="59">
        <f t="shared" si="100"/>
        <v>0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>
        <f>EXP(-LN(2)/35)*EV76+(1-EXP(-LN(2)/35))/(LN(2)/35)*ER77*ES77*VLOOKUP('Données projet'!$B$15,Paramètres!$A$1:$I$89,3,0)*0.475*44/12</f>
        <v>0</v>
      </c>
      <c r="EW77" s="21">
        <f>EXP(-LN(2)/25)*EW76+(1-EXP(-LN(2)/25))/(LN(2)/25)*Calculateur!ER77*Calculateur!ET77*VLOOKUP('Données projet'!$B$15,Paramètres!$A$1:$I$89,3,0)*0.475*44/12</f>
        <v>0</v>
      </c>
      <c r="EX77" s="21">
        <f>EXP(-LN(2)/2)*EX76+(1-EXP(-LN(2)/2))/(LN(2)/2)*ER77*EU77*VLOOKUP('Données projet'!$B$15,Paramètres!$A$1:$I$89,3,0)*0.475*44/12</f>
        <v>0</v>
      </c>
      <c r="EY77" s="22">
        <f t="shared" si="75"/>
        <v>0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>
        <f>FE77*VLOOKUP('Données projet'!$B$16,Paramètres!$A$1:$I$89,3,0)*VLOOKUP('Données projet'!$B$16,Paramètres!$A$1:$I$89,5,0)</f>
        <v>0</v>
      </c>
      <c r="FG77" s="13" t="e">
        <f t="shared" si="101"/>
        <v>#NUM!</v>
      </c>
      <c r="FH77" s="20" t="e">
        <f t="shared" si="76"/>
        <v>#NUM!</v>
      </c>
      <c r="FI77" s="59" t="e">
        <f t="shared" si="77"/>
        <v>#NUM!</v>
      </c>
      <c r="FJ77" s="59">
        <f ca="1">AVERAGE(OFFSET($FI$3,0,0,'Données projet'!$E$16+1,1))-AVERAGE(OFFSET($H$3,0,0,'Données projet'!$E$16+1,1))</f>
        <v>0</v>
      </c>
      <c r="FK77" s="59">
        <f t="shared" si="102"/>
        <v>0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>
        <f>EXP(-LN(2)/35)*FQ76+(1-EXP(-LN(2)/35))/(LN(2)/35)*FM77*FN77*VLOOKUP('Données projet'!$B$16,Paramètres!$A$1:$I$89,3,0)*0.475*44/12</f>
        <v>0</v>
      </c>
      <c r="FR77" s="21">
        <f>EXP(-LN(2)/25)*FR76+(1-EXP(-LN(2)/25))/(LN(2)/25)*Calculateur!FM77*Calculateur!FO77*VLOOKUP('Données projet'!$B$16,Paramètres!$A$1:$I$89,3,0)*0.475*44/12</f>
        <v>0</v>
      </c>
      <c r="FS77" s="21">
        <f>EXP(-LN(2)/2)*FS76+(1-EXP(-LN(2)/2))/(LN(2)/2)*FM77*FP77*VLOOKUP('Données projet'!$B$16,Paramètres!$A$1:$I$89,3,0)*0.475*44/12</f>
        <v>0</v>
      </c>
      <c r="FT77" s="22">
        <f t="shared" si="78"/>
        <v>0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56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186.90544184210381</v>
      </c>
      <c r="T78" s="59">
        <f t="shared" si="88"/>
        <v>202.05988514450519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88.411049589372865</v>
      </c>
      <c r="AA78" s="21">
        <f>EXP(-LN(2)/25)*AA77+(1-EXP(-LN(2)/25))/(LN(2)/25)*Calculateur!V78*Calculateur!X78*VLOOKUP('Données projet'!$B$9,Paramètres!$A$1:$I$89,3,0)*0.475*44/12</f>
        <v>14.415523409591252</v>
      </c>
      <c r="AB78" s="21">
        <f>EXP(-LN(2)/2)*AB77+(1-EXP(-LN(2)/2))/(LN(2)/2)*V78*Y78*VLOOKUP('Données projet'!$B$9,Paramètres!$A$1:$I$89,3,0)*0.475*44/12</f>
        <v>0.23767506678938041</v>
      </c>
      <c r="AC78" s="22">
        <f t="shared" si="57"/>
        <v>103.06424806575349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>
        <f>AI78*VLOOKUP('Données projet'!$B$10,Paramètres!$A$1:$I$89,3,0)*VLOOKUP('Données projet'!$B$10,Paramètres!$A$1:$I$89,5,0)</f>
        <v>0</v>
      </c>
      <c r="AK78" s="13" t="e">
        <f t="shared" si="89"/>
        <v>#NUM!</v>
      </c>
      <c r="AL78" s="20" t="e">
        <f t="shared" si="58"/>
        <v>#NUM!</v>
      </c>
      <c r="AM78" s="59" t="e">
        <f t="shared" si="59"/>
        <v>#NUM!</v>
      </c>
      <c r="AN78" s="59">
        <f ca="1">AVERAGE(OFFSET($AM$3,0,0,'Données projet'!$E$10+1,1))-AVERAGE(OFFSET($H$3,0,0,'Données projet'!$E$10+1,1))</f>
        <v>186.90544184210381</v>
      </c>
      <c r="AO78" s="59">
        <f t="shared" si="90"/>
        <v>202.05988514450519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88.411049589372865</v>
      </c>
      <c r="AV78" s="21">
        <f>EXP(-LN(2)/25)*AV77+(1-EXP(-LN(2)/25))/(LN(2)/25)*Calculateur!AQ78*Calculateur!AS78*VLOOKUP('Données projet'!$B$10,Paramètres!$A$1:$I$89,3,0)*0.475*44/12</f>
        <v>14.415523409591252</v>
      </c>
      <c r="AW78" s="21">
        <f>EXP(-LN(2)/2)*AW77+(1-EXP(-LN(2)/2))/(LN(2)/2)*AQ78*AT78*VLOOKUP('Données projet'!$B$10,Paramètres!$A$1:$I$89,3,0)*0.475*44/12</f>
        <v>0.23767506678938041</v>
      </c>
      <c r="AX78" s="21">
        <f t="shared" si="60"/>
        <v>103.06424806575349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-2.8421709430404007E-14</v>
      </c>
      <c r="BE78" s="13">
        <f>BD78*VLOOKUP('Données projet'!$B$11,Paramètres!$A$1:$I$89,3,0)*VLOOKUP('Données projet'!$B$11,Paramètres!$A$1:$I$89,5,0)</f>
        <v>-2.3055690689943732E-14</v>
      </c>
      <c r="BF78" s="13" t="e">
        <f t="shared" si="91"/>
        <v>#NUM!</v>
      </c>
      <c r="BG78" s="20" t="e">
        <f t="shared" si="61"/>
        <v>#NUM!</v>
      </c>
      <c r="BH78" s="59" t="e">
        <f t="shared" si="62"/>
        <v>#NUM!</v>
      </c>
      <c r="BI78" s="59">
        <f ca="1">AVERAGE(OFFSET($BH$3,0,0,'Données projet'!$E$11+1,1))-AVERAGE(OFFSET($H$3,0,0,'Données projet'!$E$11+1,1))</f>
        <v>5.8584049049231908</v>
      </c>
      <c r="BJ78" s="59">
        <f t="shared" si="92"/>
        <v>42.266833200216638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5.5899048397043298E-5</v>
      </c>
      <c r="BS78" s="22">
        <f t="shared" si="63"/>
        <v>5.5899048397043298E-5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>
        <f>BY78*VLOOKUP('Données projet'!$B$12,Paramètres!$A$1:$I$89,3,0)*VLOOKUP('Données projet'!$B$12,Paramètres!$A$1:$I$89,5,0)</f>
        <v>0</v>
      </c>
      <c r="CA78" s="13" t="e">
        <f t="shared" si="93"/>
        <v>#NUM!</v>
      </c>
      <c r="CB78" s="20" t="e">
        <f t="shared" si="64"/>
        <v>#NUM!</v>
      </c>
      <c r="CC78" s="59" t="e">
        <f t="shared" si="65"/>
        <v>#NUM!</v>
      </c>
      <c r="CD78" s="59">
        <f ca="1">AVERAGE(OFFSET($CC$3,0,0,'Données projet'!$E$12+1,1))-AVERAGE(OFFSET($H$3,0,0,'Données projet'!$E$12+1,1))</f>
        <v>0</v>
      </c>
      <c r="CE78" s="59">
        <f t="shared" si="94"/>
        <v>0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0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0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>
        <f>CT78*VLOOKUP('Données projet'!$B$13,Paramètres!$A$1:$I$89,3,0)*VLOOKUP('Données projet'!$B$13,Paramètres!$A$1:$I$89,5,0)</f>
        <v>0</v>
      </c>
      <c r="CV78" s="13" t="e">
        <f t="shared" si="95"/>
        <v>#NUM!</v>
      </c>
      <c r="CW78" s="20" t="e">
        <f t="shared" si="67"/>
        <v>#NUM!</v>
      </c>
      <c r="CX78" s="59" t="e">
        <f t="shared" si="68"/>
        <v>#NUM!</v>
      </c>
      <c r="CY78" s="59">
        <f ca="1">AVERAGE(OFFSET($CX$3,0,0,'Données projet'!$E$13+1,1))-AVERAGE(OFFSET($H$3,0,0,'Données projet'!$E$13+1,1))</f>
        <v>0</v>
      </c>
      <c r="CZ78" s="59">
        <f t="shared" si="96"/>
        <v>0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0</v>
      </c>
      <c r="DG78" s="21">
        <f>EXP(-LN(2)/25)*DG77+(1-EXP(-LN(2)/25))/(LN(2)/25)*Calculateur!DB78*Calculateur!DD78*VLOOKUP('Données projet'!$B$13,Paramètres!$A$1:$I$89,3,0)*0.475*44/12</f>
        <v>0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0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>
        <f>DO78*VLOOKUP('Données projet'!$B$14,Paramètres!$A$1:$I$89,3,0)*VLOOKUP('Données projet'!$B$14,Paramètres!$A$1:$I$89,5,0)</f>
        <v>0</v>
      </c>
      <c r="DQ78" s="13" t="e">
        <f t="shared" si="97"/>
        <v>#NUM!</v>
      </c>
      <c r="DR78" s="20" t="e">
        <f t="shared" si="70"/>
        <v>#NUM!</v>
      </c>
      <c r="DS78" s="59" t="e">
        <f t="shared" si="71"/>
        <v>#NUM!</v>
      </c>
      <c r="DT78" s="59">
        <f ca="1">AVERAGE(OFFSET($DS$3,0,0,'Données projet'!$E$14+1,1))-AVERAGE(OFFSET($H$3,0,0,'Données projet'!$E$14+1,1))</f>
        <v>0</v>
      </c>
      <c r="DU78" s="59">
        <f t="shared" si="98"/>
        <v>0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0</v>
      </c>
      <c r="EB78" s="21">
        <f>EXP(-LN(2)/25)*EB77+(1-EXP(-LN(2)/25))/(LN(2)/25)*Calculateur!DW78*Calculateur!DY78*VLOOKUP('Données projet'!$B$14,Paramètres!$A$1:$I$89,3,0)*0.475*44/12</f>
        <v>0</v>
      </c>
      <c r="EC78" s="21">
        <f>EXP(-LN(2)/2)*EC77+(1-EXP(-LN(2)/2))/(LN(2)/2)*DW78*DZ78*VLOOKUP('Données projet'!$B$14,Paramètres!$A$1:$I$89,3,0)*0.475*44/12</f>
        <v>0</v>
      </c>
      <c r="ED78" s="22">
        <f t="shared" si="72"/>
        <v>0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>
        <f>EJ78*VLOOKUP('Données projet'!$B$15,Paramètres!$A$1:$I$89,3,0)*VLOOKUP('Données projet'!$B$15,Paramètres!$A$1:$I$89,5,0)</f>
        <v>0</v>
      </c>
      <c r="EL78" s="13" t="e">
        <f t="shared" si="99"/>
        <v>#NUM!</v>
      </c>
      <c r="EM78" s="20" t="e">
        <f t="shared" si="73"/>
        <v>#NUM!</v>
      </c>
      <c r="EN78" s="59" t="e">
        <f t="shared" si="74"/>
        <v>#NUM!</v>
      </c>
      <c r="EO78" s="59">
        <f ca="1">AVERAGE(OFFSET($EN$3,0,0,'Données projet'!$E$15+1,1))-AVERAGE(OFFSET($H$3,0,0,'Données projet'!$E$15+1,1))</f>
        <v>0</v>
      </c>
      <c r="EP78" s="59">
        <f t="shared" si="100"/>
        <v>0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>
        <f>EXP(-LN(2)/35)*EV77+(1-EXP(-LN(2)/35))/(LN(2)/35)*ER78*ES78*VLOOKUP('Données projet'!$B$15,Paramètres!$A$1:$I$89,3,0)*0.475*44/12</f>
        <v>0</v>
      </c>
      <c r="EW78" s="21">
        <f>EXP(-LN(2)/25)*EW77+(1-EXP(-LN(2)/25))/(LN(2)/25)*Calculateur!ER78*Calculateur!ET78*VLOOKUP('Données projet'!$B$15,Paramètres!$A$1:$I$89,3,0)*0.475*44/12</f>
        <v>0</v>
      </c>
      <c r="EX78" s="21">
        <f>EXP(-LN(2)/2)*EX77+(1-EXP(-LN(2)/2))/(LN(2)/2)*ER78*EU78*VLOOKUP('Données projet'!$B$15,Paramètres!$A$1:$I$89,3,0)*0.475*44/12</f>
        <v>0</v>
      </c>
      <c r="EY78" s="22">
        <f t="shared" si="75"/>
        <v>0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>
        <f>FE78*VLOOKUP('Données projet'!$B$16,Paramètres!$A$1:$I$89,3,0)*VLOOKUP('Données projet'!$B$16,Paramètres!$A$1:$I$89,5,0)</f>
        <v>0</v>
      </c>
      <c r="FG78" s="13" t="e">
        <f t="shared" si="101"/>
        <v>#NUM!</v>
      </c>
      <c r="FH78" s="20" t="e">
        <f t="shared" si="76"/>
        <v>#NUM!</v>
      </c>
      <c r="FI78" s="59" t="e">
        <f t="shared" si="77"/>
        <v>#NUM!</v>
      </c>
      <c r="FJ78" s="59">
        <f ca="1">AVERAGE(OFFSET($FI$3,0,0,'Données projet'!$E$16+1,1))-AVERAGE(OFFSET($H$3,0,0,'Données projet'!$E$16+1,1))</f>
        <v>0</v>
      </c>
      <c r="FK78" s="59">
        <f t="shared" si="102"/>
        <v>0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>
        <f>EXP(-LN(2)/35)*FQ77+(1-EXP(-LN(2)/35))/(LN(2)/35)*FM78*FN78*VLOOKUP('Données projet'!$B$16,Paramètres!$A$1:$I$89,3,0)*0.475*44/12</f>
        <v>0</v>
      </c>
      <c r="FR78" s="21">
        <f>EXP(-LN(2)/25)*FR77+(1-EXP(-LN(2)/25))/(LN(2)/25)*Calculateur!FM78*Calculateur!FO78*VLOOKUP('Données projet'!$B$16,Paramètres!$A$1:$I$89,3,0)*0.475*44/12</f>
        <v>0</v>
      </c>
      <c r="FS78" s="21">
        <f>EXP(-LN(2)/2)*FS77+(1-EXP(-LN(2)/2))/(LN(2)/2)*FM78*FP78*VLOOKUP('Données projet'!$B$16,Paramètres!$A$1:$I$89,3,0)*0.475*44/12</f>
        <v>0</v>
      </c>
      <c r="FT78" s="22">
        <f t="shared" si="78"/>
        <v>0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56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186.90544184210381</v>
      </c>
      <c r="T79" s="59">
        <f t="shared" si="88"/>
        <v>202.05988514450519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86.677362832340819</v>
      </c>
      <c r="AA79" s="21">
        <f>EXP(-LN(2)/25)*AA78+(1-EXP(-LN(2)/25))/(LN(2)/25)*Calculateur!V79*Calculateur!X79*VLOOKUP('Données projet'!$B$9,Paramètres!$A$1:$I$89,3,0)*0.475*44/12</f>
        <v>14.02133016387655</v>
      </c>
      <c r="AB79" s="21">
        <f>EXP(-LN(2)/2)*AB78+(1-EXP(-LN(2)/2))/(LN(2)/2)*V79*Y79*VLOOKUP('Données projet'!$B$9,Paramètres!$A$1:$I$89,3,0)*0.475*44/12</f>
        <v>0.16806165144573648</v>
      </c>
      <c r="AC79" s="22">
        <f t="shared" si="57"/>
        <v>100.86675464766311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>
        <f>AI79*VLOOKUP('Données projet'!$B$10,Paramètres!$A$1:$I$89,3,0)*VLOOKUP('Données projet'!$B$10,Paramètres!$A$1:$I$89,5,0)</f>
        <v>0</v>
      </c>
      <c r="AK79" s="13" t="e">
        <f t="shared" si="89"/>
        <v>#NUM!</v>
      </c>
      <c r="AL79" s="20" t="e">
        <f t="shared" si="58"/>
        <v>#NUM!</v>
      </c>
      <c r="AM79" s="59" t="e">
        <f t="shared" si="59"/>
        <v>#NUM!</v>
      </c>
      <c r="AN79" s="59">
        <f ca="1">AVERAGE(OFFSET($AM$3,0,0,'Données projet'!$E$10+1,1))-AVERAGE(OFFSET($H$3,0,0,'Données projet'!$E$10+1,1))</f>
        <v>186.90544184210381</v>
      </c>
      <c r="AO79" s="59">
        <f t="shared" si="90"/>
        <v>202.05988514450519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86.677362832340819</v>
      </c>
      <c r="AV79" s="21">
        <f>EXP(-LN(2)/25)*AV78+(1-EXP(-LN(2)/25))/(LN(2)/25)*Calculateur!AQ79*Calculateur!AS79*VLOOKUP('Données projet'!$B$10,Paramètres!$A$1:$I$89,3,0)*0.475*44/12</f>
        <v>14.02133016387655</v>
      </c>
      <c r="AW79" s="21">
        <f>EXP(-LN(2)/2)*AW78+(1-EXP(-LN(2)/2))/(LN(2)/2)*AQ79*AT79*VLOOKUP('Données projet'!$B$10,Paramètres!$A$1:$I$89,3,0)*0.475*44/12</f>
        <v>0.16806165144573648</v>
      </c>
      <c r="AX79" s="21">
        <f t="shared" si="60"/>
        <v>100.86675464766311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-2.8421709430404007E-14</v>
      </c>
      <c r="BE79" s="13">
        <f>BD79*VLOOKUP('Données projet'!$B$11,Paramètres!$A$1:$I$89,3,0)*VLOOKUP('Données projet'!$B$11,Paramètres!$A$1:$I$89,5,0)</f>
        <v>-2.3055690689943732E-14</v>
      </c>
      <c r="BF79" s="13" t="e">
        <f t="shared" si="91"/>
        <v>#NUM!</v>
      </c>
      <c r="BG79" s="20" t="e">
        <f t="shared" si="61"/>
        <v>#NUM!</v>
      </c>
      <c r="BH79" s="59" t="e">
        <f t="shared" si="62"/>
        <v>#NUM!</v>
      </c>
      <c r="BI79" s="59">
        <f ca="1">AVERAGE(OFFSET($BH$3,0,0,'Données projet'!$E$11+1,1))-AVERAGE(OFFSET($H$3,0,0,'Données projet'!$E$11+1,1))</f>
        <v>5.8584049049231908</v>
      </c>
      <c r="BJ79" s="59">
        <f t="shared" si="92"/>
        <v>42.266833200216638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3.9526596183424325E-5</v>
      </c>
      <c r="BS79" s="22">
        <f t="shared" si="63"/>
        <v>3.9526596183424325E-5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>
        <f>BY79*VLOOKUP('Données projet'!$B$12,Paramètres!$A$1:$I$89,3,0)*VLOOKUP('Données projet'!$B$12,Paramètres!$A$1:$I$89,5,0)</f>
        <v>0</v>
      </c>
      <c r="CA79" s="13" t="e">
        <f t="shared" si="93"/>
        <v>#NUM!</v>
      </c>
      <c r="CB79" s="20" t="e">
        <f t="shared" si="64"/>
        <v>#NUM!</v>
      </c>
      <c r="CC79" s="59" t="e">
        <f t="shared" si="65"/>
        <v>#NUM!</v>
      </c>
      <c r="CD79" s="59">
        <f ca="1">AVERAGE(OFFSET($CC$3,0,0,'Données projet'!$E$12+1,1))-AVERAGE(OFFSET($H$3,0,0,'Données projet'!$E$12+1,1))</f>
        <v>0</v>
      </c>
      <c r="CE79" s="59">
        <f t="shared" si="94"/>
        <v>0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0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0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>
        <f>CT79*VLOOKUP('Données projet'!$B$13,Paramètres!$A$1:$I$89,3,0)*VLOOKUP('Données projet'!$B$13,Paramètres!$A$1:$I$89,5,0)</f>
        <v>0</v>
      </c>
      <c r="CV79" s="13" t="e">
        <f t="shared" si="95"/>
        <v>#NUM!</v>
      </c>
      <c r="CW79" s="20" t="e">
        <f t="shared" si="67"/>
        <v>#NUM!</v>
      </c>
      <c r="CX79" s="59" t="e">
        <f t="shared" si="68"/>
        <v>#NUM!</v>
      </c>
      <c r="CY79" s="59">
        <f ca="1">AVERAGE(OFFSET($CX$3,0,0,'Données projet'!$E$13+1,1))-AVERAGE(OFFSET($H$3,0,0,'Données projet'!$E$13+1,1))</f>
        <v>0</v>
      </c>
      <c r="CZ79" s="59">
        <f t="shared" si="96"/>
        <v>0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0</v>
      </c>
      <c r="DG79" s="21">
        <f>EXP(-LN(2)/25)*DG78+(1-EXP(-LN(2)/25))/(LN(2)/25)*Calculateur!DB79*Calculateur!DD79*VLOOKUP('Données projet'!$B$13,Paramètres!$A$1:$I$89,3,0)*0.475*44/12</f>
        <v>0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0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>
        <f>DO79*VLOOKUP('Données projet'!$B$14,Paramètres!$A$1:$I$89,3,0)*VLOOKUP('Données projet'!$B$14,Paramètres!$A$1:$I$89,5,0)</f>
        <v>0</v>
      </c>
      <c r="DQ79" s="13" t="e">
        <f t="shared" si="97"/>
        <v>#NUM!</v>
      </c>
      <c r="DR79" s="20" t="e">
        <f t="shared" si="70"/>
        <v>#NUM!</v>
      </c>
      <c r="DS79" s="59" t="e">
        <f t="shared" si="71"/>
        <v>#NUM!</v>
      </c>
      <c r="DT79" s="59">
        <f ca="1">AVERAGE(OFFSET($DS$3,0,0,'Données projet'!$E$14+1,1))-AVERAGE(OFFSET($H$3,0,0,'Données projet'!$E$14+1,1))</f>
        <v>0</v>
      </c>
      <c r="DU79" s="59">
        <f t="shared" si="98"/>
        <v>0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0</v>
      </c>
      <c r="EB79" s="21">
        <f>EXP(-LN(2)/25)*EB78+(1-EXP(-LN(2)/25))/(LN(2)/25)*Calculateur!DW79*Calculateur!DY79*VLOOKUP('Données projet'!$B$14,Paramètres!$A$1:$I$89,3,0)*0.475*44/12</f>
        <v>0</v>
      </c>
      <c r="EC79" s="21">
        <f>EXP(-LN(2)/2)*EC78+(1-EXP(-LN(2)/2))/(LN(2)/2)*DW79*DZ79*VLOOKUP('Données projet'!$B$14,Paramètres!$A$1:$I$89,3,0)*0.475*44/12</f>
        <v>0</v>
      </c>
      <c r="ED79" s="22">
        <f t="shared" si="72"/>
        <v>0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>
        <f>EJ79*VLOOKUP('Données projet'!$B$15,Paramètres!$A$1:$I$89,3,0)*VLOOKUP('Données projet'!$B$15,Paramètres!$A$1:$I$89,5,0)</f>
        <v>0</v>
      </c>
      <c r="EL79" s="13" t="e">
        <f t="shared" si="99"/>
        <v>#NUM!</v>
      </c>
      <c r="EM79" s="20" t="e">
        <f t="shared" si="73"/>
        <v>#NUM!</v>
      </c>
      <c r="EN79" s="59" t="e">
        <f t="shared" si="74"/>
        <v>#NUM!</v>
      </c>
      <c r="EO79" s="59">
        <f ca="1">AVERAGE(OFFSET($EN$3,0,0,'Données projet'!$E$15+1,1))-AVERAGE(OFFSET($H$3,0,0,'Données projet'!$E$15+1,1))</f>
        <v>0</v>
      </c>
      <c r="EP79" s="59">
        <f t="shared" si="100"/>
        <v>0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>
        <f>EXP(-LN(2)/35)*EV78+(1-EXP(-LN(2)/35))/(LN(2)/35)*ER79*ES79*VLOOKUP('Données projet'!$B$15,Paramètres!$A$1:$I$89,3,0)*0.475*44/12</f>
        <v>0</v>
      </c>
      <c r="EW79" s="21">
        <f>EXP(-LN(2)/25)*EW78+(1-EXP(-LN(2)/25))/(LN(2)/25)*Calculateur!ER79*Calculateur!ET79*VLOOKUP('Données projet'!$B$15,Paramètres!$A$1:$I$89,3,0)*0.475*44/12</f>
        <v>0</v>
      </c>
      <c r="EX79" s="21">
        <f>EXP(-LN(2)/2)*EX78+(1-EXP(-LN(2)/2))/(LN(2)/2)*ER79*EU79*VLOOKUP('Données projet'!$B$15,Paramètres!$A$1:$I$89,3,0)*0.475*44/12</f>
        <v>0</v>
      </c>
      <c r="EY79" s="22">
        <f t="shared" si="75"/>
        <v>0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>
        <f>FE79*VLOOKUP('Données projet'!$B$16,Paramètres!$A$1:$I$89,3,0)*VLOOKUP('Données projet'!$B$16,Paramètres!$A$1:$I$89,5,0)</f>
        <v>0</v>
      </c>
      <c r="FG79" s="13" t="e">
        <f t="shared" si="101"/>
        <v>#NUM!</v>
      </c>
      <c r="FH79" s="20" t="e">
        <f t="shared" si="76"/>
        <v>#NUM!</v>
      </c>
      <c r="FI79" s="59" t="e">
        <f t="shared" si="77"/>
        <v>#NUM!</v>
      </c>
      <c r="FJ79" s="59">
        <f ca="1">AVERAGE(OFFSET($FI$3,0,0,'Données projet'!$E$16+1,1))-AVERAGE(OFFSET($H$3,0,0,'Données projet'!$E$16+1,1))</f>
        <v>0</v>
      </c>
      <c r="FK79" s="59">
        <f t="shared" si="102"/>
        <v>0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>
        <f>EXP(-LN(2)/35)*FQ78+(1-EXP(-LN(2)/35))/(LN(2)/35)*FM79*FN79*VLOOKUP('Données projet'!$B$16,Paramètres!$A$1:$I$89,3,0)*0.475*44/12</f>
        <v>0</v>
      </c>
      <c r="FR79" s="21">
        <f>EXP(-LN(2)/25)*FR78+(1-EXP(-LN(2)/25))/(LN(2)/25)*Calculateur!FM79*Calculateur!FO79*VLOOKUP('Données projet'!$B$16,Paramètres!$A$1:$I$89,3,0)*0.475*44/12</f>
        <v>0</v>
      </c>
      <c r="FS79" s="21">
        <f>EXP(-LN(2)/2)*FS78+(1-EXP(-LN(2)/2))/(LN(2)/2)*FM79*FP79*VLOOKUP('Données projet'!$B$16,Paramètres!$A$1:$I$89,3,0)*0.475*44/12</f>
        <v>0</v>
      </c>
      <c r="FT79" s="22">
        <f t="shared" si="78"/>
        <v>0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56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186.90544184210381</v>
      </c>
      <c r="T80" s="59">
        <f t="shared" si="88"/>
        <v>202.05988514450519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84.977672615169666</v>
      </c>
      <c r="AA80" s="21">
        <f>EXP(-LN(2)/25)*AA79+(1-EXP(-LN(2)/25))/(LN(2)/25)*Calculateur!V80*Calculateur!X80*VLOOKUP('Données projet'!$B$9,Paramètres!$A$1:$I$89,3,0)*0.475*44/12</f>
        <v>13.63791615319564</v>
      </c>
      <c r="AB80" s="21">
        <f>EXP(-LN(2)/2)*AB79+(1-EXP(-LN(2)/2))/(LN(2)/2)*V80*Y80*VLOOKUP('Données projet'!$B$9,Paramètres!$A$1:$I$89,3,0)*0.475*44/12</f>
        <v>0.11883753339469021</v>
      </c>
      <c r="AC80" s="22">
        <f t="shared" si="57"/>
        <v>98.73442630176001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>
        <f>AI80*VLOOKUP('Données projet'!$B$10,Paramètres!$A$1:$I$89,3,0)*VLOOKUP('Données projet'!$B$10,Paramètres!$A$1:$I$89,5,0)</f>
        <v>0</v>
      </c>
      <c r="AK80" s="13" t="e">
        <f t="shared" si="89"/>
        <v>#NUM!</v>
      </c>
      <c r="AL80" s="20" t="e">
        <f t="shared" si="58"/>
        <v>#NUM!</v>
      </c>
      <c r="AM80" s="59" t="e">
        <f t="shared" si="59"/>
        <v>#NUM!</v>
      </c>
      <c r="AN80" s="59">
        <f ca="1">AVERAGE(OFFSET($AM$3,0,0,'Données projet'!$E$10+1,1))-AVERAGE(OFFSET($H$3,0,0,'Données projet'!$E$10+1,1))</f>
        <v>186.90544184210381</v>
      </c>
      <c r="AO80" s="59">
        <f t="shared" si="90"/>
        <v>202.05988514450519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84.977672615169666</v>
      </c>
      <c r="AV80" s="21">
        <f>EXP(-LN(2)/25)*AV79+(1-EXP(-LN(2)/25))/(LN(2)/25)*Calculateur!AQ80*Calculateur!AS80*VLOOKUP('Données projet'!$B$10,Paramètres!$A$1:$I$89,3,0)*0.475*44/12</f>
        <v>13.63791615319564</v>
      </c>
      <c r="AW80" s="21">
        <f>EXP(-LN(2)/2)*AW79+(1-EXP(-LN(2)/2))/(LN(2)/2)*AQ80*AT80*VLOOKUP('Données projet'!$B$10,Paramètres!$A$1:$I$89,3,0)*0.475*44/12</f>
        <v>0.11883753339469021</v>
      </c>
      <c r="AX80" s="21">
        <f t="shared" si="60"/>
        <v>98.73442630176001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-2.8421709430404007E-14</v>
      </c>
      <c r="BE80" s="13">
        <f>BD80*VLOOKUP('Données projet'!$B$11,Paramètres!$A$1:$I$89,3,0)*VLOOKUP('Données projet'!$B$11,Paramètres!$A$1:$I$89,5,0)</f>
        <v>-2.3055690689943732E-14</v>
      </c>
      <c r="BF80" s="13" t="e">
        <f t="shared" si="91"/>
        <v>#NUM!</v>
      </c>
      <c r="BG80" s="20" t="e">
        <f t="shared" si="61"/>
        <v>#NUM!</v>
      </c>
      <c r="BH80" s="59" t="e">
        <f t="shared" si="62"/>
        <v>#NUM!</v>
      </c>
      <c r="BI80" s="59">
        <f ca="1">AVERAGE(OFFSET($BH$3,0,0,'Données projet'!$E$11+1,1))-AVERAGE(OFFSET($H$3,0,0,'Données projet'!$E$11+1,1))</f>
        <v>5.8584049049231908</v>
      </c>
      <c r="BJ80" s="59">
        <f t="shared" si="92"/>
        <v>42.266833200216638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2.7949524198521649E-5</v>
      </c>
      <c r="BS80" s="22">
        <f t="shared" si="63"/>
        <v>2.7949524198521649E-5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>
        <f>BY80*VLOOKUP('Données projet'!$B$12,Paramètres!$A$1:$I$89,3,0)*VLOOKUP('Données projet'!$B$12,Paramètres!$A$1:$I$89,5,0)</f>
        <v>0</v>
      </c>
      <c r="CA80" s="13" t="e">
        <f t="shared" si="93"/>
        <v>#NUM!</v>
      </c>
      <c r="CB80" s="20" t="e">
        <f t="shared" si="64"/>
        <v>#NUM!</v>
      </c>
      <c r="CC80" s="59" t="e">
        <f t="shared" si="65"/>
        <v>#NUM!</v>
      </c>
      <c r="CD80" s="59">
        <f ca="1">AVERAGE(OFFSET($CC$3,0,0,'Données projet'!$E$12+1,1))-AVERAGE(OFFSET($H$3,0,0,'Données projet'!$E$12+1,1))</f>
        <v>0</v>
      </c>
      <c r="CE80" s="59">
        <f t="shared" si="94"/>
        <v>0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0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0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>
        <f>CT80*VLOOKUP('Données projet'!$B$13,Paramètres!$A$1:$I$89,3,0)*VLOOKUP('Données projet'!$B$13,Paramètres!$A$1:$I$89,5,0)</f>
        <v>0</v>
      </c>
      <c r="CV80" s="13" t="e">
        <f t="shared" si="95"/>
        <v>#NUM!</v>
      </c>
      <c r="CW80" s="20" t="e">
        <f t="shared" si="67"/>
        <v>#NUM!</v>
      </c>
      <c r="CX80" s="59" t="e">
        <f t="shared" si="68"/>
        <v>#NUM!</v>
      </c>
      <c r="CY80" s="59">
        <f ca="1">AVERAGE(OFFSET($CX$3,0,0,'Données projet'!$E$13+1,1))-AVERAGE(OFFSET($H$3,0,0,'Données projet'!$E$13+1,1))</f>
        <v>0</v>
      </c>
      <c r="CZ80" s="59">
        <f t="shared" si="96"/>
        <v>0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0</v>
      </c>
      <c r="DG80" s="21">
        <f>EXP(-LN(2)/25)*DG79+(1-EXP(-LN(2)/25))/(LN(2)/25)*Calculateur!DB80*Calculateur!DD80*VLOOKUP('Données projet'!$B$13,Paramètres!$A$1:$I$89,3,0)*0.475*44/12</f>
        <v>0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0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>
        <f>DO80*VLOOKUP('Données projet'!$B$14,Paramètres!$A$1:$I$89,3,0)*VLOOKUP('Données projet'!$B$14,Paramètres!$A$1:$I$89,5,0)</f>
        <v>0</v>
      </c>
      <c r="DQ80" s="13" t="e">
        <f t="shared" si="97"/>
        <v>#NUM!</v>
      </c>
      <c r="DR80" s="20" t="e">
        <f t="shared" si="70"/>
        <v>#NUM!</v>
      </c>
      <c r="DS80" s="59" t="e">
        <f t="shared" si="71"/>
        <v>#NUM!</v>
      </c>
      <c r="DT80" s="59">
        <f ca="1">AVERAGE(OFFSET($DS$3,0,0,'Données projet'!$E$14+1,1))-AVERAGE(OFFSET($H$3,0,0,'Données projet'!$E$14+1,1))</f>
        <v>0</v>
      </c>
      <c r="DU80" s="59">
        <f t="shared" si="98"/>
        <v>0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0</v>
      </c>
      <c r="EB80" s="21">
        <f>EXP(-LN(2)/25)*EB79+(1-EXP(-LN(2)/25))/(LN(2)/25)*Calculateur!DW80*Calculateur!DY80*VLOOKUP('Données projet'!$B$14,Paramètres!$A$1:$I$89,3,0)*0.475*44/12</f>
        <v>0</v>
      </c>
      <c r="EC80" s="21">
        <f>EXP(-LN(2)/2)*EC79+(1-EXP(-LN(2)/2))/(LN(2)/2)*DW80*DZ80*VLOOKUP('Données projet'!$B$14,Paramètres!$A$1:$I$89,3,0)*0.475*44/12</f>
        <v>0</v>
      </c>
      <c r="ED80" s="22">
        <f t="shared" si="72"/>
        <v>0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>
        <f>EJ80*VLOOKUP('Données projet'!$B$15,Paramètres!$A$1:$I$89,3,0)*VLOOKUP('Données projet'!$B$15,Paramètres!$A$1:$I$89,5,0)</f>
        <v>0</v>
      </c>
      <c r="EL80" s="13" t="e">
        <f t="shared" si="99"/>
        <v>#NUM!</v>
      </c>
      <c r="EM80" s="20" t="e">
        <f t="shared" si="73"/>
        <v>#NUM!</v>
      </c>
      <c r="EN80" s="59" t="e">
        <f t="shared" si="74"/>
        <v>#NUM!</v>
      </c>
      <c r="EO80" s="59">
        <f ca="1">AVERAGE(OFFSET($EN$3,0,0,'Données projet'!$E$15+1,1))-AVERAGE(OFFSET($H$3,0,0,'Données projet'!$E$15+1,1))</f>
        <v>0</v>
      </c>
      <c r="EP80" s="59">
        <f t="shared" si="100"/>
        <v>0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>
        <f>EXP(-LN(2)/35)*EV79+(1-EXP(-LN(2)/35))/(LN(2)/35)*ER80*ES80*VLOOKUP('Données projet'!$B$15,Paramètres!$A$1:$I$89,3,0)*0.475*44/12</f>
        <v>0</v>
      </c>
      <c r="EW80" s="21">
        <f>EXP(-LN(2)/25)*EW79+(1-EXP(-LN(2)/25))/(LN(2)/25)*Calculateur!ER80*Calculateur!ET80*VLOOKUP('Données projet'!$B$15,Paramètres!$A$1:$I$89,3,0)*0.475*44/12</f>
        <v>0</v>
      </c>
      <c r="EX80" s="21">
        <f>EXP(-LN(2)/2)*EX79+(1-EXP(-LN(2)/2))/(LN(2)/2)*ER80*EU80*VLOOKUP('Données projet'!$B$15,Paramètres!$A$1:$I$89,3,0)*0.475*44/12</f>
        <v>0</v>
      </c>
      <c r="EY80" s="22">
        <f t="shared" si="75"/>
        <v>0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>
        <f>FE80*VLOOKUP('Données projet'!$B$16,Paramètres!$A$1:$I$89,3,0)*VLOOKUP('Données projet'!$B$16,Paramètres!$A$1:$I$89,5,0)</f>
        <v>0</v>
      </c>
      <c r="FG80" s="13" t="e">
        <f t="shared" si="101"/>
        <v>#NUM!</v>
      </c>
      <c r="FH80" s="20" t="e">
        <f t="shared" si="76"/>
        <v>#NUM!</v>
      </c>
      <c r="FI80" s="59" t="e">
        <f t="shared" si="77"/>
        <v>#NUM!</v>
      </c>
      <c r="FJ80" s="59">
        <f ca="1">AVERAGE(OFFSET($FI$3,0,0,'Données projet'!$E$16+1,1))-AVERAGE(OFFSET($H$3,0,0,'Données projet'!$E$16+1,1))</f>
        <v>0</v>
      </c>
      <c r="FK80" s="59">
        <f t="shared" si="102"/>
        <v>0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>
        <f>EXP(-LN(2)/35)*FQ79+(1-EXP(-LN(2)/35))/(LN(2)/35)*FM80*FN80*VLOOKUP('Données projet'!$B$16,Paramètres!$A$1:$I$89,3,0)*0.475*44/12</f>
        <v>0</v>
      </c>
      <c r="FR80" s="21">
        <f>EXP(-LN(2)/25)*FR79+(1-EXP(-LN(2)/25))/(LN(2)/25)*Calculateur!FM80*Calculateur!FO80*VLOOKUP('Données projet'!$B$16,Paramètres!$A$1:$I$89,3,0)*0.475*44/12</f>
        <v>0</v>
      </c>
      <c r="FS80" s="21">
        <f>EXP(-LN(2)/2)*FS79+(1-EXP(-LN(2)/2))/(LN(2)/2)*FM80*FP80*VLOOKUP('Données projet'!$B$16,Paramètres!$A$1:$I$89,3,0)*0.475*44/12</f>
        <v>0</v>
      </c>
      <c r="FT80" s="22">
        <f t="shared" si="78"/>
        <v>0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56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186.90544184210381</v>
      </c>
      <c r="T81" s="59">
        <f t="shared" si="88"/>
        <v>202.05988514450519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83.311312286448569</v>
      </c>
      <c r="AA81" s="21">
        <f>EXP(-LN(2)/25)*AA80+(1-EXP(-LN(2)/25))/(LN(2)/25)*Calculateur!V81*Calculateur!X81*VLOOKUP('Données projet'!$B$9,Paramètres!$A$1:$I$89,3,0)*0.475*44/12</f>
        <v>13.264986618799664</v>
      </c>
      <c r="AB81" s="21">
        <f>EXP(-LN(2)/2)*AB80+(1-EXP(-LN(2)/2))/(LN(2)/2)*V81*Y81*VLOOKUP('Données projet'!$B$9,Paramètres!$A$1:$I$89,3,0)*0.475*44/12</f>
        <v>8.4030825722868241E-2</v>
      </c>
      <c r="AC81" s="22">
        <f t="shared" si="57"/>
        <v>96.6603297309711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>
        <f>AI81*VLOOKUP('Données projet'!$B$10,Paramètres!$A$1:$I$89,3,0)*VLOOKUP('Données projet'!$B$10,Paramètres!$A$1:$I$89,5,0)</f>
        <v>0</v>
      </c>
      <c r="AK81" s="13" t="e">
        <f t="shared" si="89"/>
        <v>#NUM!</v>
      </c>
      <c r="AL81" s="20" t="e">
        <f t="shared" si="58"/>
        <v>#NUM!</v>
      </c>
      <c r="AM81" s="59" t="e">
        <f t="shared" si="59"/>
        <v>#NUM!</v>
      </c>
      <c r="AN81" s="59">
        <f ca="1">AVERAGE(OFFSET($AM$3,0,0,'Données projet'!$E$10+1,1))-AVERAGE(OFFSET($H$3,0,0,'Données projet'!$E$10+1,1))</f>
        <v>186.90544184210381</v>
      </c>
      <c r="AO81" s="59">
        <f t="shared" si="90"/>
        <v>202.05988514450519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83.311312286448569</v>
      </c>
      <c r="AV81" s="21">
        <f>EXP(-LN(2)/25)*AV80+(1-EXP(-LN(2)/25))/(LN(2)/25)*Calculateur!AQ81*Calculateur!AS81*VLOOKUP('Données projet'!$B$10,Paramètres!$A$1:$I$89,3,0)*0.475*44/12</f>
        <v>13.264986618799664</v>
      </c>
      <c r="AW81" s="21">
        <f>EXP(-LN(2)/2)*AW80+(1-EXP(-LN(2)/2))/(LN(2)/2)*AQ81*AT81*VLOOKUP('Données projet'!$B$10,Paramètres!$A$1:$I$89,3,0)*0.475*44/12</f>
        <v>8.4030825722868241E-2</v>
      </c>
      <c r="AX81" s="21">
        <f t="shared" si="60"/>
        <v>96.6603297309711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-2.8421709430404007E-14</v>
      </c>
      <c r="BE81" s="13">
        <f>BD81*VLOOKUP('Données projet'!$B$11,Paramètres!$A$1:$I$89,3,0)*VLOOKUP('Données projet'!$B$11,Paramètres!$A$1:$I$89,5,0)</f>
        <v>-2.3055690689943732E-14</v>
      </c>
      <c r="BF81" s="13" t="e">
        <f t="shared" si="91"/>
        <v>#NUM!</v>
      </c>
      <c r="BG81" s="20" t="e">
        <f t="shared" si="61"/>
        <v>#NUM!</v>
      </c>
      <c r="BH81" s="59" t="e">
        <f t="shared" si="62"/>
        <v>#NUM!</v>
      </c>
      <c r="BI81" s="59">
        <f ca="1">AVERAGE(OFFSET($BH$3,0,0,'Données projet'!$E$11+1,1))-AVERAGE(OFFSET($H$3,0,0,'Données projet'!$E$11+1,1))</f>
        <v>5.8584049049231908</v>
      </c>
      <c r="BJ81" s="59">
        <f t="shared" si="92"/>
        <v>42.266833200216638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1.9763298091712163E-5</v>
      </c>
      <c r="BS81" s="22">
        <f t="shared" si="63"/>
        <v>1.9763298091712163E-5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>
        <f>BY81*VLOOKUP('Données projet'!$B$12,Paramètres!$A$1:$I$89,3,0)*VLOOKUP('Données projet'!$B$12,Paramètres!$A$1:$I$89,5,0)</f>
        <v>0</v>
      </c>
      <c r="CA81" s="13" t="e">
        <f t="shared" si="93"/>
        <v>#NUM!</v>
      </c>
      <c r="CB81" s="20" t="e">
        <f t="shared" si="64"/>
        <v>#NUM!</v>
      </c>
      <c r="CC81" s="59" t="e">
        <f t="shared" si="65"/>
        <v>#NUM!</v>
      </c>
      <c r="CD81" s="59">
        <f ca="1">AVERAGE(OFFSET($CC$3,0,0,'Données projet'!$E$12+1,1))-AVERAGE(OFFSET($H$3,0,0,'Données projet'!$E$12+1,1))</f>
        <v>0</v>
      </c>
      <c r="CE81" s="59">
        <f t="shared" si="94"/>
        <v>0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0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0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>
        <f>CT81*VLOOKUP('Données projet'!$B$13,Paramètres!$A$1:$I$89,3,0)*VLOOKUP('Données projet'!$B$13,Paramètres!$A$1:$I$89,5,0)</f>
        <v>0</v>
      </c>
      <c r="CV81" s="13" t="e">
        <f t="shared" si="95"/>
        <v>#NUM!</v>
      </c>
      <c r="CW81" s="20" t="e">
        <f t="shared" si="67"/>
        <v>#NUM!</v>
      </c>
      <c r="CX81" s="59" t="e">
        <f t="shared" si="68"/>
        <v>#NUM!</v>
      </c>
      <c r="CY81" s="59">
        <f ca="1">AVERAGE(OFFSET($CX$3,0,0,'Données projet'!$E$13+1,1))-AVERAGE(OFFSET($H$3,0,0,'Données projet'!$E$13+1,1))</f>
        <v>0</v>
      </c>
      <c r="CZ81" s="59">
        <f t="shared" si="96"/>
        <v>0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0</v>
      </c>
      <c r="DG81" s="21">
        <f>EXP(-LN(2)/25)*DG80+(1-EXP(-LN(2)/25))/(LN(2)/25)*Calculateur!DB81*Calculateur!DD81*VLOOKUP('Données projet'!$B$13,Paramètres!$A$1:$I$89,3,0)*0.475*44/12</f>
        <v>0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0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>
        <f>DO81*VLOOKUP('Données projet'!$B$14,Paramètres!$A$1:$I$89,3,0)*VLOOKUP('Données projet'!$B$14,Paramètres!$A$1:$I$89,5,0)</f>
        <v>0</v>
      </c>
      <c r="DQ81" s="13" t="e">
        <f t="shared" si="97"/>
        <v>#NUM!</v>
      </c>
      <c r="DR81" s="20" t="e">
        <f t="shared" si="70"/>
        <v>#NUM!</v>
      </c>
      <c r="DS81" s="59" t="e">
        <f t="shared" si="71"/>
        <v>#NUM!</v>
      </c>
      <c r="DT81" s="59">
        <f ca="1">AVERAGE(OFFSET($DS$3,0,0,'Données projet'!$E$14+1,1))-AVERAGE(OFFSET($H$3,0,0,'Données projet'!$E$14+1,1))</f>
        <v>0</v>
      </c>
      <c r="DU81" s="59">
        <f t="shared" si="98"/>
        <v>0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0</v>
      </c>
      <c r="EB81" s="21">
        <f>EXP(-LN(2)/25)*EB80+(1-EXP(-LN(2)/25))/(LN(2)/25)*Calculateur!DW81*Calculateur!DY81*VLOOKUP('Données projet'!$B$14,Paramètres!$A$1:$I$89,3,0)*0.475*44/12</f>
        <v>0</v>
      </c>
      <c r="EC81" s="21">
        <f>EXP(-LN(2)/2)*EC80+(1-EXP(-LN(2)/2))/(LN(2)/2)*DW81*DZ81*VLOOKUP('Données projet'!$B$14,Paramètres!$A$1:$I$89,3,0)*0.475*44/12</f>
        <v>0</v>
      </c>
      <c r="ED81" s="22">
        <f t="shared" si="72"/>
        <v>0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>
        <f>EJ81*VLOOKUP('Données projet'!$B$15,Paramètres!$A$1:$I$89,3,0)*VLOOKUP('Données projet'!$B$15,Paramètres!$A$1:$I$89,5,0)</f>
        <v>0</v>
      </c>
      <c r="EL81" s="13" t="e">
        <f t="shared" si="99"/>
        <v>#NUM!</v>
      </c>
      <c r="EM81" s="20" t="e">
        <f t="shared" si="73"/>
        <v>#NUM!</v>
      </c>
      <c r="EN81" s="59" t="e">
        <f t="shared" si="74"/>
        <v>#NUM!</v>
      </c>
      <c r="EO81" s="59">
        <f ca="1">AVERAGE(OFFSET($EN$3,0,0,'Données projet'!$E$15+1,1))-AVERAGE(OFFSET($H$3,0,0,'Données projet'!$E$15+1,1))</f>
        <v>0</v>
      </c>
      <c r="EP81" s="59">
        <f t="shared" si="100"/>
        <v>0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>
        <f>EXP(-LN(2)/35)*EV80+(1-EXP(-LN(2)/35))/(LN(2)/35)*ER81*ES81*VLOOKUP('Données projet'!$B$15,Paramètres!$A$1:$I$89,3,0)*0.475*44/12</f>
        <v>0</v>
      </c>
      <c r="EW81" s="21">
        <f>EXP(-LN(2)/25)*EW80+(1-EXP(-LN(2)/25))/(LN(2)/25)*Calculateur!ER81*Calculateur!ET81*VLOOKUP('Données projet'!$B$15,Paramètres!$A$1:$I$89,3,0)*0.475*44/12</f>
        <v>0</v>
      </c>
      <c r="EX81" s="21">
        <f>EXP(-LN(2)/2)*EX80+(1-EXP(-LN(2)/2))/(LN(2)/2)*ER81*EU81*VLOOKUP('Données projet'!$B$15,Paramètres!$A$1:$I$89,3,0)*0.475*44/12</f>
        <v>0</v>
      </c>
      <c r="EY81" s="22">
        <f t="shared" si="75"/>
        <v>0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>
        <f>FE81*VLOOKUP('Données projet'!$B$16,Paramètres!$A$1:$I$89,3,0)*VLOOKUP('Données projet'!$B$16,Paramètres!$A$1:$I$89,5,0)</f>
        <v>0</v>
      </c>
      <c r="FG81" s="13" t="e">
        <f t="shared" si="101"/>
        <v>#NUM!</v>
      </c>
      <c r="FH81" s="20" t="e">
        <f t="shared" si="76"/>
        <v>#NUM!</v>
      </c>
      <c r="FI81" s="59" t="e">
        <f t="shared" si="77"/>
        <v>#NUM!</v>
      </c>
      <c r="FJ81" s="59">
        <f ca="1">AVERAGE(OFFSET($FI$3,0,0,'Données projet'!$E$16+1,1))-AVERAGE(OFFSET($H$3,0,0,'Données projet'!$E$16+1,1))</f>
        <v>0</v>
      </c>
      <c r="FK81" s="59">
        <f t="shared" si="102"/>
        <v>0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>
        <f>EXP(-LN(2)/35)*FQ80+(1-EXP(-LN(2)/35))/(LN(2)/35)*FM81*FN81*VLOOKUP('Données projet'!$B$16,Paramètres!$A$1:$I$89,3,0)*0.475*44/12</f>
        <v>0</v>
      </c>
      <c r="FR81" s="21">
        <f>EXP(-LN(2)/25)*FR80+(1-EXP(-LN(2)/25))/(LN(2)/25)*Calculateur!FM81*Calculateur!FO81*VLOOKUP('Données projet'!$B$16,Paramètres!$A$1:$I$89,3,0)*0.475*44/12</f>
        <v>0</v>
      </c>
      <c r="FS81" s="21">
        <f>EXP(-LN(2)/2)*FS80+(1-EXP(-LN(2)/2))/(LN(2)/2)*FM81*FP81*VLOOKUP('Données projet'!$B$16,Paramètres!$A$1:$I$89,3,0)*0.475*44/12</f>
        <v>0</v>
      </c>
      <c r="FT81" s="22">
        <f t="shared" si="78"/>
        <v>0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56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186.90544184210381</v>
      </c>
      <c r="T82" s="59">
        <f t="shared" si="88"/>
        <v>202.05988514450519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81.677628267394255</v>
      </c>
      <c r="AA82" s="21">
        <f>EXP(-LN(2)/25)*AA81+(1-EXP(-LN(2)/25))/(LN(2)/25)*Calculateur!V82*Calculateur!X82*VLOOKUP('Données projet'!$B$9,Paramètres!$A$1:$I$89,3,0)*0.475*44/12</f>
        <v>12.902254862133258</v>
      </c>
      <c r="AB82" s="21">
        <f>EXP(-LN(2)/2)*AB81+(1-EXP(-LN(2)/2))/(LN(2)/2)*V82*Y82*VLOOKUP('Données projet'!$B$9,Paramètres!$A$1:$I$89,3,0)*0.475*44/12</f>
        <v>5.9418766697345103E-2</v>
      </c>
      <c r="AC82" s="22">
        <f t="shared" si="57"/>
        <v>94.639301896224865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>
        <f>AI82*VLOOKUP('Données projet'!$B$10,Paramètres!$A$1:$I$89,3,0)*VLOOKUP('Données projet'!$B$10,Paramètres!$A$1:$I$89,5,0)</f>
        <v>0</v>
      </c>
      <c r="AK82" s="13" t="e">
        <f t="shared" si="89"/>
        <v>#NUM!</v>
      </c>
      <c r="AL82" s="20" t="e">
        <f t="shared" si="58"/>
        <v>#NUM!</v>
      </c>
      <c r="AM82" s="59" t="e">
        <f t="shared" si="59"/>
        <v>#NUM!</v>
      </c>
      <c r="AN82" s="59">
        <f ca="1">AVERAGE(OFFSET($AM$3,0,0,'Données projet'!$E$10+1,1))-AVERAGE(OFFSET($H$3,0,0,'Données projet'!$E$10+1,1))</f>
        <v>186.90544184210381</v>
      </c>
      <c r="AO82" s="59">
        <f t="shared" si="90"/>
        <v>202.05988514450519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81.677628267394255</v>
      </c>
      <c r="AV82" s="21">
        <f>EXP(-LN(2)/25)*AV81+(1-EXP(-LN(2)/25))/(LN(2)/25)*Calculateur!AQ82*Calculateur!AS82*VLOOKUP('Données projet'!$B$10,Paramètres!$A$1:$I$89,3,0)*0.475*44/12</f>
        <v>12.902254862133258</v>
      </c>
      <c r="AW82" s="21">
        <f>EXP(-LN(2)/2)*AW81+(1-EXP(-LN(2)/2))/(LN(2)/2)*AQ82*AT82*VLOOKUP('Données projet'!$B$10,Paramètres!$A$1:$I$89,3,0)*0.475*44/12</f>
        <v>5.9418766697345103E-2</v>
      </c>
      <c r="AX82" s="21">
        <f t="shared" si="60"/>
        <v>94.639301896224865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-2.8421709430404007E-14</v>
      </c>
      <c r="BE82" s="13">
        <f>BD82*VLOOKUP('Données projet'!$B$11,Paramètres!$A$1:$I$89,3,0)*VLOOKUP('Données projet'!$B$11,Paramètres!$A$1:$I$89,5,0)</f>
        <v>-2.3055690689943732E-14</v>
      </c>
      <c r="BF82" s="13" t="e">
        <f t="shared" si="91"/>
        <v>#NUM!</v>
      </c>
      <c r="BG82" s="20" t="e">
        <f t="shared" si="61"/>
        <v>#NUM!</v>
      </c>
      <c r="BH82" s="59" t="e">
        <f t="shared" si="62"/>
        <v>#NUM!</v>
      </c>
      <c r="BI82" s="59">
        <f ca="1">AVERAGE(OFFSET($BH$3,0,0,'Données projet'!$E$11+1,1))-AVERAGE(OFFSET($H$3,0,0,'Données projet'!$E$11+1,1))</f>
        <v>5.8584049049231908</v>
      </c>
      <c r="BJ82" s="59">
        <f t="shared" si="92"/>
        <v>42.266833200216638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1.3974762099260825E-5</v>
      </c>
      <c r="BS82" s="22">
        <f t="shared" si="63"/>
        <v>1.3974762099260825E-5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>
        <f>BY82*VLOOKUP('Données projet'!$B$12,Paramètres!$A$1:$I$89,3,0)*VLOOKUP('Données projet'!$B$12,Paramètres!$A$1:$I$89,5,0)</f>
        <v>0</v>
      </c>
      <c r="CA82" s="13" t="e">
        <f t="shared" si="93"/>
        <v>#NUM!</v>
      </c>
      <c r="CB82" s="20" t="e">
        <f t="shared" si="64"/>
        <v>#NUM!</v>
      </c>
      <c r="CC82" s="59" t="e">
        <f t="shared" si="65"/>
        <v>#NUM!</v>
      </c>
      <c r="CD82" s="59">
        <f ca="1">AVERAGE(OFFSET($CC$3,0,0,'Données projet'!$E$12+1,1))-AVERAGE(OFFSET($H$3,0,0,'Données projet'!$E$12+1,1))</f>
        <v>0</v>
      </c>
      <c r="CE82" s="59">
        <f t="shared" si="94"/>
        <v>0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0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0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>
        <f>CT82*VLOOKUP('Données projet'!$B$13,Paramètres!$A$1:$I$89,3,0)*VLOOKUP('Données projet'!$B$13,Paramètres!$A$1:$I$89,5,0)</f>
        <v>0</v>
      </c>
      <c r="CV82" s="13" t="e">
        <f t="shared" si="95"/>
        <v>#NUM!</v>
      </c>
      <c r="CW82" s="20" t="e">
        <f t="shared" si="67"/>
        <v>#NUM!</v>
      </c>
      <c r="CX82" s="59" t="e">
        <f t="shared" si="68"/>
        <v>#NUM!</v>
      </c>
      <c r="CY82" s="59">
        <f ca="1">AVERAGE(OFFSET($CX$3,0,0,'Données projet'!$E$13+1,1))-AVERAGE(OFFSET($H$3,0,0,'Données projet'!$E$13+1,1))</f>
        <v>0</v>
      </c>
      <c r="CZ82" s="59">
        <f t="shared" si="96"/>
        <v>0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0</v>
      </c>
      <c r="DG82" s="21">
        <f>EXP(-LN(2)/25)*DG81+(1-EXP(-LN(2)/25))/(LN(2)/25)*Calculateur!DB82*Calculateur!DD82*VLOOKUP('Données projet'!$B$13,Paramètres!$A$1:$I$89,3,0)*0.475*44/12</f>
        <v>0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0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>
        <f>DO82*VLOOKUP('Données projet'!$B$14,Paramètres!$A$1:$I$89,3,0)*VLOOKUP('Données projet'!$B$14,Paramètres!$A$1:$I$89,5,0)</f>
        <v>0</v>
      </c>
      <c r="DQ82" s="13" t="e">
        <f t="shared" si="97"/>
        <v>#NUM!</v>
      </c>
      <c r="DR82" s="20" t="e">
        <f t="shared" si="70"/>
        <v>#NUM!</v>
      </c>
      <c r="DS82" s="59" t="e">
        <f t="shared" si="71"/>
        <v>#NUM!</v>
      </c>
      <c r="DT82" s="59">
        <f ca="1">AVERAGE(OFFSET($DS$3,0,0,'Données projet'!$E$14+1,1))-AVERAGE(OFFSET($H$3,0,0,'Données projet'!$E$14+1,1))</f>
        <v>0</v>
      </c>
      <c r="DU82" s="59">
        <f t="shared" si="98"/>
        <v>0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0</v>
      </c>
      <c r="EB82" s="21">
        <f>EXP(-LN(2)/25)*EB81+(1-EXP(-LN(2)/25))/(LN(2)/25)*Calculateur!DW82*Calculateur!DY82*VLOOKUP('Données projet'!$B$14,Paramètres!$A$1:$I$89,3,0)*0.475*44/12</f>
        <v>0</v>
      </c>
      <c r="EC82" s="21">
        <f>EXP(-LN(2)/2)*EC81+(1-EXP(-LN(2)/2))/(LN(2)/2)*DW82*DZ82*VLOOKUP('Données projet'!$B$14,Paramètres!$A$1:$I$89,3,0)*0.475*44/12</f>
        <v>0</v>
      </c>
      <c r="ED82" s="22">
        <f t="shared" si="72"/>
        <v>0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>
        <f>EJ82*VLOOKUP('Données projet'!$B$15,Paramètres!$A$1:$I$89,3,0)*VLOOKUP('Données projet'!$B$15,Paramètres!$A$1:$I$89,5,0)</f>
        <v>0</v>
      </c>
      <c r="EL82" s="13" t="e">
        <f t="shared" si="99"/>
        <v>#NUM!</v>
      </c>
      <c r="EM82" s="20" t="e">
        <f t="shared" si="73"/>
        <v>#NUM!</v>
      </c>
      <c r="EN82" s="59" t="e">
        <f t="shared" si="74"/>
        <v>#NUM!</v>
      </c>
      <c r="EO82" s="59">
        <f ca="1">AVERAGE(OFFSET($EN$3,0,0,'Données projet'!$E$15+1,1))-AVERAGE(OFFSET($H$3,0,0,'Données projet'!$E$15+1,1))</f>
        <v>0</v>
      </c>
      <c r="EP82" s="59">
        <f t="shared" si="100"/>
        <v>0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>
        <f>EXP(-LN(2)/35)*EV81+(1-EXP(-LN(2)/35))/(LN(2)/35)*ER82*ES82*VLOOKUP('Données projet'!$B$15,Paramètres!$A$1:$I$89,3,0)*0.475*44/12</f>
        <v>0</v>
      </c>
      <c r="EW82" s="21">
        <f>EXP(-LN(2)/25)*EW81+(1-EXP(-LN(2)/25))/(LN(2)/25)*Calculateur!ER82*Calculateur!ET82*VLOOKUP('Données projet'!$B$15,Paramètres!$A$1:$I$89,3,0)*0.475*44/12</f>
        <v>0</v>
      </c>
      <c r="EX82" s="21">
        <f>EXP(-LN(2)/2)*EX81+(1-EXP(-LN(2)/2))/(LN(2)/2)*ER82*EU82*VLOOKUP('Données projet'!$B$15,Paramètres!$A$1:$I$89,3,0)*0.475*44/12</f>
        <v>0</v>
      </c>
      <c r="EY82" s="22">
        <f t="shared" si="75"/>
        <v>0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>
        <f>FE82*VLOOKUP('Données projet'!$B$16,Paramètres!$A$1:$I$89,3,0)*VLOOKUP('Données projet'!$B$16,Paramètres!$A$1:$I$89,5,0)</f>
        <v>0</v>
      </c>
      <c r="FG82" s="13" t="e">
        <f t="shared" si="101"/>
        <v>#NUM!</v>
      </c>
      <c r="FH82" s="20" t="e">
        <f t="shared" si="76"/>
        <v>#NUM!</v>
      </c>
      <c r="FI82" s="59" t="e">
        <f t="shared" si="77"/>
        <v>#NUM!</v>
      </c>
      <c r="FJ82" s="59">
        <f ca="1">AVERAGE(OFFSET($FI$3,0,0,'Données projet'!$E$16+1,1))-AVERAGE(OFFSET($H$3,0,0,'Données projet'!$E$16+1,1))</f>
        <v>0</v>
      </c>
      <c r="FK82" s="59">
        <f t="shared" si="102"/>
        <v>0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>
        <f>EXP(-LN(2)/35)*FQ81+(1-EXP(-LN(2)/35))/(LN(2)/35)*FM82*FN82*VLOOKUP('Données projet'!$B$16,Paramètres!$A$1:$I$89,3,0)*0.475*44/12</f>
        <v>0</v>
      </c>
      <c r="FR82" s="21">
        <f>EXP(-LN(2)/25)*FR81+(1-EXP(-LN(2)/25))/(LN(2)/25)*Calculateur!FM82*Calculateur!FO82*VLOOKUP('Données projet'!$B$16,Paramètres!$A$1:$I$89,3,0)*0.475*44/12</f>
        <v>0</v>
      </c>
      <c r="FS82" s="21">
        <f>EXP(-LN(2)/2)*FS81+(1-EXP(-LN(2)/2))/(LN(2)/2)*FM82*FP82*VLOOKUP('Données projet'!$B$16,Paramètres!$A$1:$I$89,3,0)*0.475*44/12</f>
        <v>0</v>
      </c>
      <c r="FT82" s="22">
        <f t="shared" si="78"/>
        <v>0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56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186.90544184210381</v>
      </c>
      <c r="T83" s="59">
        <f t="shared" si="88"/>
        <v>202.05988514450519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80.075979795504736</v>
      </c>
      <c r="AA83" s="21">
        <f>EXP(-LN(2)/25)*AA82+(1-EXP(-LN(2)/25))/(LN(2)/25)*Calculateur!V83*Calculateur!X83*VLOOKUP('Données projet'!$B$9,Paramètres!$A$1:$I$89,3,0)*0.475*44/12</f>
        <v>12.54944202442813</v>
      </c>
      <c r="AB83" s="21">
        <f>EXP(-LN(2)/2)*AB82+(1-EXP(-LN(2)/2))/(LN(2)/2)*V83*Y83*VLOOKUP('Données projet'!$B$9,Paramètres!$A$1:$I$89,3,0)*0.475*44/12</f>
        <v>4.201541286143412E-2</v>
      </c>
      <c r="AC83" s="22">
        <f t="shared" si="57"/>
        <v>92.667437232794299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>
        <f>AI83*VLOOKUP('Données projet'!$B$10,Paramètres!$A$1:$I$89,3,0)*VLOOKUP('Données projet'!$B$10,Paramètres!$A$1:$I$89,5,0)</f>
        <v>0</v>
      </c>
      <c r="AK83" s="13" t="e">
        <f t="shared" si="89"/>
        <v>#NUM!</v>
      </c>
      <c r="AL83" s="20" t="e">
        <f t="shared" si="58"/>
        <v>#NUM!</v>
      </c>
      <c r="AM83" s="59" t="e">
        <f t="shared" si="59"/>
        <v>#NUM!</v>
      </c>
      <c r="AN83" s="59">
        <f ca="1">AVERAGE(OFFSET($AM$3,0,0,'Données projet'!$E$10+1,1))-AVERAGE(OFFSET($H$3,0,0,'Données projet'!$E$10+1,1))</f>
        <v>186.90544184210381</v>
      </c>
      <c r="AO83" s="59">
        <f t="shared" si="90"/>
        <v>202.05988514450519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80.075979795504736</v>
      </c>
      <c r="AV83" s="21">
        <f>EXP(-LN(2)/25)*AV82+(1-EXP(-LN(2)/25))/(LN(2)/25)*Calculateur!AQ83*Calculateur!AS83*VLOOKUP('Données projet'!$B$10,Paramètres!$A$1:$I$89,3,0)*0.475*44/12</f>
        <v>12.54944202442813</v>
      </c>
      <c r="AW83" s="21">
        <f>EXP(-LN(2)/2)*AW82+(1-EXP(-LN(2)/2))/(LN(2)/2)*AQ83*AT83*VLOOKUP('Données projet'!$B$10,Paramètres!$A$1:$I$89,3,0)*0.475*44/12</f>
        <v>4.201541286143412E-2</v>
      </c>
      <c r="AX83" s="21">
        <f t="shared" si="60"/>
        <v>92.667437232794299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-2.8421709430404007E-14</v>
      </c>
      <c r="BE83" s="13">
        <f>BD83*VLOOKUP('Données projet'!$B$11,Paramètres!$A$1:$I$89,3,0)*VLOOKUP('Données projet'!$B$11,Paramètres!$A$1:$I$89,5,0)</f>
        <v>-2.3055690689943732E-14</v>
      </c>
      <c r="BF83" s="13" t="e">
        <f t="shared" si="91"/>
        <v>#NUM!</v>
      </c>
      <c r="BG83" s="20" t="e">
        <f t="shared" si="61"/>
        <v>#NUM!</v>
      </c>
      <c r="BH83" s="59" t="e">
        <f t="shared" si="62"/>
        <v>#NUM!</v>
      </c>
      <c r="BI83" s="59">
        <f ca="1">AVERAGE(OFFSET($BH$3,0,0,'Données projet'!$E$11+1,1))-AVERAGE(OFFSET($H$3,0,0,'Données projet'!$E$11+1,1))</f>
        <v>5.8584049049231908</v>
      </c>
      <c r="BJ83" s="59">
        <f t="shared" si="92"/>
        <v>42.266833200216638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9.8816490458560813E-6</v>
      </c>
      <c r="BS83" s="22">
        <f t="shared" si="63"/>
        <v>9.8816490458560813E-6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>
        <f>BY83*VLOOKUP('Données projet'!$B$12,Paramètres!$A$1:$I$89,3,0)*VLOOKUP('Données projet'!$B$12,Paramètres!$A$1:$I$89,5,0)</f>
        <v>0</v>
      </c>
      <c r="CA83" s="13" t="e">
        <f t="shared" si="93"/>
        <v>#NUM!</v>
      </c>
      <c r="CB83" s="20" t="e">
        <f t="shared" si="64"/>
        <v>#NUM!</v>
      </c>
      <c r="CC83" s="59" t="e">
        <f t="shared" si="65"/>
        <v>#NUM!</v>
      </c>
      <c r="CD83" s="59">
        <f ca="1">AVERAGE(OFFSET($CC$3,0,0,'Données projet'!$E$12+1,1))-AVERAGE(OFFSET($H$3,0,0,'Données projet'!$E$12+1,1))</f>
        <v>0</v>
      </c>
      <c r="CE83" s="59">
        <f t="shared" si="94"/>
        <v>0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0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0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>
        <f>CT83*VLOOKUP('Données projet'!$B$13,Paramètres!$A$1:$I$89,3,0)*VLOOKUP('Données projet'!$B$13,Paramètres!$A$1:$I$89,5,0)</f>
        <v>0</v>
      </c>
      <c r="CV83" s="13" t="e">
        <f t="shared" si="95"/>
        <v>#NUM!</v>
      </c>
      <c r="CW83" s="20" t="e">
        <f t="shared" si="67"/>
        <v>#NUM!</v>
      </c>
      <c r="CX83" s="59" t="e">
        <f t="shared" si="68"/>
        <v>#NUM!</v>
      </c>
      <c r="CY83" s="59">
        <f ca="1">AVERAGE(OFFSET($CX$3,0,0,'Données projet'!$E$13+1,1))-AVERAGE(OFFSET($H$3,0,0,'Données projet'!$E$13+1,1))</f>
        <v>0</v>
      </c>
      <c r="CZ83" s="59">
        <f t="shared" si="96"/>
        <v>0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0</v>
      </c>
      <c r="DG83" s="21">
        <f>EXP(-LN(2)/25)*DG82+(1-EXP(-LN(2)/25))/(LN(2)/25)*Calculateur!DB83*Calculateur!DD83*VLOOKUP('Données projet'!$B$13,Paramètres!$A$1:$I$89,3,0)*0.475*44/12</f>
        <v>0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0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>
        <f>DO83*VLOOKUP('Données projet'!$B$14,Paramètres!$A$1:$I$89,3,0)*VLOOKUP('Données projet'!$B$14,Paramètres!$A$1:$I$89,5,0)</f>
        <v>0</v>
      </c>
      <c r="DQ83" s="13" t="e">
        <f t="shared" si="97"/>
        <v>#NUM!</v>
      </c>
      <c r="DR83" s="20" t="e">
        <f t="shared" si="70"/>
        <v>#NUM!</v>
      </c>
      <c r="DS83" s="59" t="e">
        <f t="shared" si="71"/>
        <v>#NUM!</v>
      </c>
      <c r="DT83" s="59">
        <f ca="1">AVERAGE(OFFSET($DS$3,0,0,'Données projet'!$E$14+1,1))-AVERAGE(OFFSET($H$3,0,0,'Données projet'!$E$14+1,1))</f>
        <v>0</v>
      </c>
      <c r="DU83" s="59">
        <f t="shared" si="98"/>
        <v>0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0</v>
      </c>
      <c r="EB83" s="21">
        <f>EXP(-LN(2)/25)*EB82+(1-EXP(-LN(2)/25))/(LN(2)/25)*Calculateur!DW83*Calculateur!DY83*VLOOKUP('Données projet'!$B$14,Paramètres!$A$1:$I$89,3,0)*0.475*44/12</f>
        <v>0</v>
      </c>
      <c r="EC83" s="21">
        <f>EXP(-LN(2)/2)*EC82+(1-EXP(-LN(2)/2))/(LN(2)/2)*DW83*DZ83*VLOOKUP('Données projet'!$B$14,Paramètres!$A$1:$I$89,3,0)*0.475*44/12</f>
        <v>0</v>
      </c>
      <c r="ED83" s="22">
        <f t="shared" si="72"/>
        <v>0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>
        <f>EJ83*VLOOKUP('Données projet'!$B$15,Paramètres!$A$1:$I$89,3,0)*VLOOKUP('Données projet'!$B$15,Paramètres!$A$1:$I$89,5,0)</f>
        <v>0</v>
      </c>
      <c r="EL83" s="13" t="e">
        <f t="shared" si="99"/>
        <v>#NUM!</v>
      </c>
      <c r="EM83" s="20" t="e">
        <f t="shared" si="73"/>
        <v>#NUM!</v>
      </c>
      <c r="EN83" s="59" t="e">
        <f t="shared" si="74"/>
        <v>#NUM!</v>
      </c>
      <c r="EO83" s="59">
        <f ca="1">AVERAGE(OFFSET($EN$3,0,0,'Données projet'!$E$15+1,1))-AVERAGE(OFFSET($H$3,0,0,'Données projet'!$E$15+1,1))</f>
        <v>0</v>
      </c>
      <c r="EP83" s="59">
        <f t="shared" si="100"/>
        <v>0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>
        <f>EXP(-LN(2)/35)*EV82+(1-EXP(-LN(2)/35))/(LN(2)/35)*ER83*ES83*VLOOKUP('Données projet'!$B$15,Paramètres!$A$1:$I$89,3,0)*0.475*44/12</f>
        <v>0</v>
      </c>
      <c r="EW83" s="21">
        <f>EXP(-LN(2)/25)*EW82+(1-EXP(-LN(2)/25))/(LN(2)/25)*Calculateur!ER83*Calculateur!ET83*VLOOKUP('Données projet'!$B$15,Paramètres!$A$1:$I$89,3,0)*0.475*44/12</f>
        <v>0</v>
      </c>
      <c r="EX83" s="21">
        <f>EXP(-LN(2)/2)*EX82+(1-EXP(-LN(2)/2))/(LN(2)/2)*ER83*EU83*VLOOKUP('Données projet'!$B$15,Paramètres!$A$1:$I$89,3,0)*0.475*44/12</f>
        <v>0</v>
      </c>
      <c r="EY83" s="22">
        <f t="shared" si="75"/>
        <v>0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>
        <f>FE83*VLOOKUP('Données projet'!$B$16,Paramètres!$A$1:$I$89,3,0)*VLOOKUP('Données projet'!$B$16,Paramètres!$A$1:$I$89,5,0)</f>
        <v>0</v>
      </c>
      <c r="FG83" s="13" t="e">
        <f t="shared" si="101"/>
        <v>#NUM!</v>
      </c>
      <c r="FH83" s="20" t="e">
        <f t="shared" si="76"/>
        <v>#NUM!</v>
      </c>
      <c r="FI83" s="59" t="e">
        <f t="shared" si="77"/>
        <v>#NUM!</v>
      </c>
      <c r="FJ83" s="59">
        <f ca="1">AVERAGE(OFFSET($FI$3,0,0,'Données projet'!$E$16+1,1))-AVERAGE(OFFSET($H$3,0,0,'Données projet'!$E$16+1,1))</f>
        <v>0</v>
      </c>
      <c r="FK83" s="59">
        <f t="shared" si="102"/>
        <v>0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>
        <f>EXP(-LN(2)/35)*FQ82+(1-EXP(-LN(2)/35))/(LN(2)/35)*FM83*FN83*VLOOKUP('Données projet'!$B$16,Paramètres!$A$1:$I$89,3,0)*0.475*44/12</f>
        <v>0</v>
      </c>
      <c r="FR83" s="21">
        <f>EXP(-LN(2)/25)*FR82+(1-EXP(-LN(2)/25))/(LN(2)/25)*Calculateur!FM83*Calculateur!FO83*VLOOKUP('Données projet'!$B$16,Paramètres!$A$1:$I$89,3,0)*0.475*44/12</f>
        <v>0</v>
      </c>
      <c r="FS83" s="21">
        <f>EXP(-LN(2)/2)*FS82+(1-EXP(-LN(2)/2))/(LN(2)/2)*FM83*FP83*VLOOKUP('Données projet'!$B$16,Paramètres!$A$1:$I$89,3,0)*0.475*44/12</f>
        <v>0</v>
      </c>
      <c r="FT83" s="22">
        <f t="shared" si="78"/>
        <v>0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56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186.90544184210381</v>
      </c>
      <c r="T84" s="59">
        <f t="shared" si="88"/>
        <v>202.05988514450519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78.505738673239861</v>
      </c>
      <c r="AA84" s="21">
        <f>EXP(-LN(2)/25)*AA83+(1-EXP(-LN(2)/25))/(LN(2)/25)*Calculateur!V84*Calculateur!X84*VLOOKUP('Données projet'!$B$9,Paramètres!$A$1:$I$89,3,0)*0.475*44/12</f>
        <v>12.206276872323668</v>
      </c>
      <c r="AB84" s="21">
        <f>EXP(-LN(2)/2)*AB83+(1-EXP(-LN(2)/2))/(LN(2)/2)*V84*Y84*VLOOKUP('Données projet'!$B$9,Paramètres!$A$1:$I$89,3,0)*0.475*44/12</f>
        <v>2.9709383348672552E-2</v>
      </c>
      <c r="AC84" s="22">
        <f t="shared" si="57"/>
        <v>90.741724928912205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>
        <f>AI84*VLOOKUP('Données projet'!$B$10,Paramètres!$A$1:$I$89,3,0)*VLOOKUP('Données projet'!$B$10,Paramètres!$A$1:$I$89,5,0)</f>
        <v>0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186.90544184210381</v>
      </c>
      <c r="AO84" s="59">
        <f t="shared" si="90"/>
        <v>202.05988514450519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78.505738673239861</v>
      </c>
      <c r="AV84" s="21">
        <f>EXP(-LN(2)/25)*AV83+(1-EXP(-LN(2)/25))/(LN(2)/25)*Calculateur!AQ84*Calculateur!AS84*VLOOKUP('Données projet'!$B$10,Paramètres!$A$1:$I$89,3,0)*0.475*44/12</f>
        <v>12.206276872323668</v>
      </c>
      <c r="AW84" s="21">
        <f>EXP(-LN(2)/2)*AW83+(1-EXP(-LN(2)/2))/(LN(2)/2)*AQ84*AT84*VLOOKUP('Données projet'!$B$10,Paramètres!$A$1:$I$89,3,0)*0.475*44/12</f>
        <v>2.9709383348672552E-2</v>
      </c>
      <c r="AX84" s="21">
        <f t="shared" si="60"/>
        <v>90.741724928912205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-2.8421709430404007E-14</v>
      </c>
      <c r="BE84" s="13">
        <f>BD84*VLOOKUP('Données projet'!$B$11,Paramètres!$A$1:$I$89,3,0)*VLOOKUP('Données projet'!$B$11,Paramètres!$A$1:$I$89,5,0)</f>
        <v>-2.3055690689943732E-14</v>
      </c>
      <c r="BF84" s="13" t="e">
        <f t="shared" si="91"/>
        <v>#NUM!</v>
      </c>
      <c r="BG84" s="20" t="e">
        <f t="shared" si="61"/>
        <v>#NUM!</v>
      </c>
      <c r="BH84" s="59" t="e">
        <f t="shared" si="62"/>
        <v>#NUM!</v>
      </c>
      <c r="BI84" s="59">
        <f ca="1">AVERAGE(OFFSET($BH$3,0,0,'Données projet'!$E$11+1,1))-AVERAGE(OFFSET($H$3,0,0,'Données projet'!$E$11+1,1))</f>
        <v>5.8584049049231908</v>
      </c>
      <c r="BJ84" s="59">
        <f t="shared" si="92"/>
        <v>42.266833200216638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6.9873810496304123E-6</v>
      </c>
      <c r="BS84" s="22">
        <f t="shared" si="63"/>
        <v>6.9873810496304123E-6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>
        <f>BY84*VLOOKUP('Données projet'!$B$12,Paramètres!$A$1:$I$89,3,0)*VLOOKUP('Données projet'!$B$12,Paramètres!$A$1:$I$89,5,0)</f>
        <v>0</v>
      </c>
      <c r="CA84" s="13" t="e">
        <f t="shared" si="93"/>
        <v>#NUM!</v>
      </c>
      <c r="CB84" s="20" t="e">
        <f t="shared" si="64"/>
        <v>#NUM!</v>
      </c>
      <c r="CC84" s="59" t="e">
        <f t="shared" si="65"/>
        <v>#NUM!</v>
      </c>
      <c r="CD84" s="59">
        <f ca="1">AVERAGE(OFFSET($CC$3,0,0,'Données projet'!$E$12+1,1))-AVERAGE(OFFSET($H$3,0,0,'Données projet'!$E$12+1,1))</f>
        <v>0</v>
      </c>
      <c r="CE84" s="59">
        <f t="shared" si="94"/>
        <v>0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0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0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>
        <f>CT84*VLOOKUP('Données projet'!$B$13,Paramètres!$A$1:$I$89,3,0)*VLOOKUP('Données projet'!$B$13,Paramètres!$A$1:$I$89,5,0)</f>
        <v>0</v>
      </c>
      <c r="CV84" s="13" t="e">
        <f t="shared" si="95"/>
        <v>#NUM!</v>
      </c>
      <c r="CW84" s="20" t="e">
        <f t="shared" si="67"/>
        <v>#NUM!</v>
      </c>
      <c r="CX84" s="59" t="e">
        <f t="shared" si="68"/>
        <v>#NUM!</v>
      </c>
      <c r="CY84" s="59">
        <f ca="1">AVERAGE(OFFSET($CX$3,0,0,'Données projet'!$E$13+1,1))-AVERAGE(OFFSET($H$3,0,0,'Données projet'!$E$13+1,1))</f>
        <v>0</v>
      </c>
      <c r="CZ84" s="59">
        <f t="shared" si="96"/>
        <v>0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0</v>
      </c>
      <c r="DG84" s="21">
        <f>EXP(-LN(2)/25)*DG83+(1-EXP(-LN(2)/25))/(LN(2)/25)*Calculateur!DB84*Calculateur!DD84*VLOOKUP('Données projet'!$B$13,Paramètres!$A$1:$I$89,3,0)*0.475*44/12</f>
        <v>0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0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>
        <f>DO84*VLOOKUP('Données projet'!$B$14,Paramètres!$A$1:$I$89,3,0)*VLOOKUP('Données projet'!$B$14,Paramètres!$A$1:$I$89,5,0)</f>
        <v>0</v>
      </c>
      <c r="DQ84" s="13" t="e">
        <f t="shared" si="97"/>
        <v>#NUM!</v>
      </c>
      <c r="DR84" s="20" t="e">
        <f t="shared" si="70"/>
        <v>#NUM!</v>
      </c>
      <c r="DS84" s="59" t="e">
        <f t="shared" si="71"/>
        <v>#NUM!</v>
      </c>
      <c r="DT84" s="59">
        <f ca="1">AVERAGE(OFFSET($DS$3,0,0,'Données projet'!$E$14+1,1))-AVERAGE(OFFSET($H$3,0,0,'Données projet'!$E$14+1,1))</f>
        <v>0</v>
      </c>
      <c r="DU84" s="59">
        <f t="shared" si="98"/>
        <v>0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0</v>
      </c>
      <c r="EB84" s="21">
        <f>EXP(-LN(2)/25)*EB83+(1-EXP(-LN(2)/25))/(LN(2)/25)*Calculateur!DW84*Calculateur!DY84*VLOOKUP('Données projet'!$B$14,Paramètres!$A$1:$I$89,3,0)*0.475*44/12</f>
        <v>0</v>
      </c>
      <c r="EC84" s="21">
        <f>EXP(-LN(2)/2)*EC83+(1-EXP(-LN(2)/2))/(LN(2)/2)*DW84*DZ84*VLOOKUP('Données projet'!$B$14,Paramètres!$A$1:$I$89,3,0)*0.475*44/12</f>
        <v>0</v>
      </c>
      <c r="ED84" s="22">
        <f t="shared" si="72"/>
        <v>0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>
        <f>EJ84*VLOOKUP('Données projet'!$B$15,Paramètres!$A$1:$I$89,3,0)*VLOOKUP('Données projet'!$B$15,Paramètres!$A$1:$I$89,5,0)</f>
        <v>0</v>
      </c>
      <c r="EL84" s="13" t="e">
        <f t="shared" si="99"/>
        <v>#NUM!</v>
      </c>
      <c r="EM84" s="20" t="e">
        <f t="shared" si="73"/>
        <v>#NUM!</v>
      </c>
      <c r="EN84" s="59" t="e">
        <f t="shared" si="74"/>
        <v>#NUM!</v>
      </c>
      <c r="EO84" s="59">
        <f ca="1">AVERAGE(OFFSET($EN$3,0,0,'Données projet'!$E$15+1,1))-AVERAGE(OFFSET($H$3,0,0,'Données projet'!$E$15+1,1))</f>
        <v>0</v>
      </c>
      <c r="EP84" s="59">
        <f t="shared" si="100"/>
        <v>0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>
        <f>EXP(-LN(2)/35)*EV83+(1-EXP(-LN(2)/35))/(LN(2)/35)*ER84*ES84*VLOOKUP('Données projet'!$B$15,Paramètres!$A$1:$I$89,3,0)*0.475*44/12</f>
        <v>0</v>
      </c>
      <c r="EW84" s="21">
        <f>EXP(-LN(2)/25)*EW83+(1-EXP(-LN(2)/25))/(LN(2)/25)*Calculateur!ER84*Calculateur!ET84*VLOOKUP('Données projet'!$B$15,Paramètres!$A$1:$I$89,3,0)*0.475*44/12</f>
        <v>0</v>
      </c>
      <c r="EX84" s="21">
        <f>EXP(-LN(2)/2)*EX83+(1-EXP(-LN(2)/2))/(LN(2)/2)*ER84*EU84*VLOOKUP('Données projet'!$B$15,Paramètres!$A$1:$I$89,3,0)*0.475*44/12</f>
        <v>0</v>
      </c>
      <c r="EY84" s="22">
        <f t="shared" si="75"/>
        <v>0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>
        <f>FE84*VLOOKUP('Données projet'!$B$16,Paramètres!$A$1:$I$89,3,0)*VLOOKUP('Données projet'!$B$16,Paramètres!$A$1:$I$89,5,0)</f>
        <v>0</v>
      </c>
      <c r="FG84" s="13" t="e">
        <f t="shared" si="101"/>
        <v>#NUM!</v>
      </c>
      <c r="FH84" s="20" t="e">
        <f t="shared" si="76"/>
        <v>#NUM!</v>
      </c>
      <c r="FI84" s="59" t="e">
        <f t="shared" si="77"/>
        <v>#NUM!</v>
      </c>
      <c r="FJ84" s="59">
        <f ca="1">AVERAGE(OFFSET($FI$3,0,0,'Données projet'!$E$16+1,1))-AVERAGE(OFFSET($H$3,0,0,'Données projet'!$E$16+1,1))</f>
        <v>0</v>
      </c>
      <c r="FK84" s="59">
        <f t="shared" si="102"/>
        <v>0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>
        <f>EXP(-LN(2)/35)*FQ83+(1-EXP(-LN(2)/35))/(LN(2)/35)*FM84*FN84*VLOOKUP('Données projet'!$B$16,Paramètres!$A$1:$I$89,3,0)*0.475*44/12</f>
        <v>0</v>
      </c>
      <c r="FR84" s="21">
        <f>EXP(-LN(2)/25)*FR83+(1-EXP(-LN(2)/25))/(LN(2)/25)*Calculateur!FM84*Calculateur!FO84*VLOOKUP('Données projet'!$B$16,Paramètres!$A$1:$I$89,3,0)*0.475*44/12</f>
        <v>0</v>
      </c>
      <c r="FS84" s="21">
        <f>EXP(-LN(2)/2)*FS83+(1-EXP(-LN(2)/2))/(LN(2)/2)*FM84*FP84*VLOOKUP('Données projet'!$B$16,Paramètres!$A$1:$I$89,3,0)*0.475*44/12</f>
        <v>0</v>
      </c>
      <c r="FT84" s="22">
        <f t="shared" si="78"/>
        <v>0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56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186.90544184210381</v>
      </c>
      <c r="T85" s="59">
        <f t="shared" si="88"/>
        <v>202.05988514450519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76.966289021630089</v>
      </c>
      <c r="AA85" s="21">
        <f>EXP(-LN(2)/25)*AA84+(1-EXP(-LN(2)/25))/(LN(2)/25)*Calculateur!V85*Calculateur!X85*VLOOKUP('Données projet'!$B$9,Paramètres!$A$1:$I$89,3,0)*0.475*44/12</f>
        <v>11.872495589349775</v>
      </c>
      <c r="AB85" s="21">
        <f>EXP(-LN(2)/2)*AB84+(1-EXP(-LN(2)/2))/(LN(2)/2)*V85*Y85*VLOOKUP('Données projet'!$B$9,Paramètres!$A$1:$I$89,3,0)*0.475*44/12</f>
        <v>2.100770643071706E-2</v>
      </c>
      <c r="AC85" s="22">
        <f t="shared" si="57"/>
        <v>88.859792317410594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>
        <f>AI85*VLOOKUP('Données projet'!$B$10,Paramètres!$A$1:$I$89,3,0)*VLOOKUP('Données projet'!$B$10,Paramètres!$A$1:$I$89,5,0)</f>
        <v>0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186.90544184210381</v>
      </c>
      <c r="AO85" s="59">
        <f t="shared" si="90"/>
        <v>202.05988514450519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76.966289021630089</v>
      </c>
      <c r="AV85" s="21">
        <f>EXP(-LN(2)/25)*AV84+(1-EXP(-LN(2)/25))/(LN(2)/25)*Calculateur!AQ85*Calculateur!AS85*VLOOKUP('Données projet'!$B$10,Paramètres!$A$1:$I$89,3,0)*0.475*44/12</f>
        <v>11.872495589349775</v>
      </c>
      <c r="AW85" s="21">
        <f>EXP(-LN(2)/2)*AW84+(1-EXP(-LN(2)/2))/(LN(2)/2)*AQ85*AT85*VLOOKUP('Données projet'!$B$10,Paramètres!$A$1:$I$89,3,0)*0.475*44/12</f>
        <v>2.100770643071706E-2</v>
      </c>
      <c r="AX85" s="21">
        <f t="shared" si="60"/>
        <v>88.859792317410594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-2.8421709430404007E-14</v>
      </c>
      <c r="BE85" s="13">
        <f>BD85*VLOOKUP('Données projet'!$B$11,Paramètres!$A$1:$I$89,3,0)*VLOOKUP('Données projet'!$B$11,Paramètres!$A$1:$I$89,5,0)</f>
        <v>-2.3055690689943732E-14</v>
      </c>
      <c r="BF85" s="13" t="e">
        <f t="shared" si="91"/>
        <v>#NUM!</v>
      </c>
      <c r="BG85" s="20" t="e">
        <f t="shared" si="61"/>
        <v>#NUM!</v>
      </c>
      <c r="BH85" s="59" t="e">
        <f t="shared" si="62"/>
        <v>#NUM!</v>
      </c>
      <c r="BI85" s="59">
        <f ca="1">AVERAGE(OFFSET($BH$3,0,0,'Données projet'!$E$11+1,1))-AVERAGE(OFFSET($H$3,0,0,'Données projet'!$E$11+1,1))</f>
        <v>5.8584049049231908</v>
      </c>
      <c r="BJ85" s="59">
        <f t="shared" si="92"/>
        <v>42.266833200216638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4.9408245229280406E-6</v>
      </c>
      <c r="BS85" s="22">
        <f t="shared" si="63"/>
        <v>4.9408245229280406E-6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>
        <f>BY85*VLOOKUP('Données projet'!$B$12,Paramètres!$A$1:$I$89,3,0)*VLOOKUP('Données projet'!$B$12,Paramètres!$A$1:$I$89,5,0)</f>
        <v>0</v>
      </c>
      <c r="CA85" s="13" t="e">
        <f t="shared" si="93"/>
        <v>#NUM!</v>
      </c>
      <c r="CB85" s="20" t="e">
        <f t="shared" si="64"/>
        <v>#NUM!</v>
      </c>
      <c r="CC85" s="59" t="e">
        <f t="shared" si="65"/>
        <v>#NUM!</v>
      </c>
      <c r="CD85" s="59">
        <f ca="1">AVERAGE(OFFSET($CC$3,0,0,'Données projet'!$E$12+1,1))-AVERAGE(OFFSET($H$3,0,0,'Données projet'!$E$12+1,1))</f>
        <v>0</v>
      </c>
      <c r="CE85" s="59">
        <f t="shared" si="94"/>
        <v>0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0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0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>
        <f>CT85*VLOOKUP('Données projet'!$B$13,Paramètres!$A$1:$I$89,3,0)*VLOOKUP('Données projet'!$B$13,Paramètres!$A$1:$I$89,5,0)</f>
        <v>0</v>
      </c>
      <c r="CV85" s="13" t="e">
        <f t="shared" si="95"/>
        <v>#NUM!</v>
      </c>
      <c r="CW85" s="20" t="e">
        <f t="shared" si="67"/>
        <v>#NUM!</v>
      </c>
      <c r="CX85" s="59" t="e">
        <f t="shared" si="68"/>
        <v>#NUM!</v>
      </c>
      <c r="CY85" s="59">
        <f ca="1">AVERAGE(OFFSET($CX$3,0,0,'Données projet'!$E$13+1,1))-AVERAGE(OFFSET($H$3,0,0,'Données projet'!$E$13+1,1))</f>
        <v>0</v>
      </c>
      <c r="CZ85" s="59">
        <f t="shared" si="96"/>
        <v>0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0</v>
      </c>
      <c r="DG85" s="21">
        <f>EXP(-LN(2)/25)*DG84+(1-EXP(-LN(2)/25))/(LN(2)/25)*Calculateur!DB85*Calculateur!DD85*VLOOKUP('Données projet'!$B$13,Paramètres!$A$1:$I$89,3,0)*0.475*44/12</f>
        <v>0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0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>
        <f>DO85*VLOOKUP('Données projet'!$B$14,Paramètres!$A$1:$I$89,3,0)*VLOOKUP('Données projet'!$B$14,Paramètres!$A$1:$I$89,5,0)</f>
        <v>0</v>
      </c>
      <c r="DQ85" s="13" t="e">
        <f t="shared" si="97"/>
        <v>#NUM!</v>
      </c>
      <c r="DR85" s="20" t="e">
        <f t="shared" si="70"/>
        <v>#NUM!</v>
      </c>
      <c r="DS85" s="59" t="e">
        <f t="shared" si="71"/>
        <v>#NUM!</v>
      </c>
      <c r="DT85" s="59">
        <f ca="1">AVERAGE(OFFSET($DS$3,0,0,'Données projet'!$E$14+1,1))-AVERAGE(OFFSET($H$3,0,0,'Données projet'!$E$14+1,1))</f>
        <v>0</v>
      </c>
      <c r="DU85" s="59">
        <f t="shared" si="98"/>
        <v>0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0</v>
      </c>
      <c r="EB85" s="21">
        <f>EXP(-LN(2)/25)*EB84+(1-EXP(-LN(2)/25))/(LN(2)/25)*Calculateur!DW85*Calculateur!DY85*VLOOKUP('Données projet'!$B$14,Paramètres!$A$1:$I$89,3,0)*0.475*44/12</f>
        <v>0</v>
      </c>
      <c r="EC85" s="21">
        <f>EXP(-LN(2)/2)*EC84+(1-EXP(-LN(2)/2))/(LN(2)/2)*DW85*DZ85*VLOOKUP('Données projet'!$B$14,Paramètres!$A$1:$I$89,3,0)*0.475*44/12</f>
        <v>0</v>
      </c>
      <c r="ED85" s="22">
        <f t="shared" si="72"/>
        <v>0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>
        <f>EJ85*VLOOKUP('Données projet'!$B$15,Paramètres!$A$1:$I$89,3,0)*VLOOKUP('Données projet'!$B$15,Paramètres!$A$1:$I$89,5,0)</f>
        <v>0</v>
      </c>
      <c r="EL85" s="13" t="e">
        <f t="shared" si="99"/>
        <v>#NUM!</v>
      </c>
      <c r="EM85" s="20" t="e">
        <f t="shared" si="73"/>
        <v>#NUM!</v>
      </c>
      <c r="EN85" s="59" t="e">
        <f t="shared" si="74"/>
        <v>#NUM!</v>
      </c>
      <c r="EO85" s="59">
        <f ca="1">AVERAGE(OFFSET($EN$3,0,0,'Données projet'!$E$15+1,1))-AVERAGE(OFFSET($H$3,0,0,'Données projet'!$E$15+1,1))</f>
        <v>0</v>
      </c>
      <c r="EP85" s="59">
        <f t="shared" si="100"/>
        <v>0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>
        <f>EXP(-LN(2)/35)*EV84+(1-EXP(-LN(2)/35))/(LN(2)/35)*ER85*ES85*VLOOKUP('Données projet'!$B$15,Paramètres!$A$1:$I$89,3,0)*0.475*44/12</f>
        <v>0</v>
      </c>
      <c r="EW85" s="21">
        <f>EXP(-LN(2)/25)*EW84+(1-EXP(-LN(2)/25))/(LN(2)/25)*Calculateur!ER85*Calculateur!ET85*VLOOKUP('Données projet'!$B$15,Paramètres!$A$1:$I$89,3,0)*0.475*44/12</f>
        <v>0</v>
      </c>
      <c r="EX85" s="21">
        <f>EXP(-LN(2)/2)*EX84+(1-EXP(-LN(2)/2))/(LN(2)/2)*ER85*EU85*VLOOKUP('Données projet'!$B$15,Paramètres!$A$1:$I$89,3,0)*0.475*44/12</f>
        <v>0</v>
      </c>
      <c r="EY85" s="22">
        <f t="shared" si="75"/>
        <v>0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>
        <f>FE85*VLOOKUP('Données projet'!$B$16,Paramètres!$A$1:$I$89,3,0)*VLOOKUP('Données projet'!$B$16,Paramètres!$A$1:$I$89,5,0)</f>
        <v>0</v>
      </c>
      <c r="FG85" s="13" t="e">
        <f t="shared" si="101"/>
        <v>#NUM!</v>
      </c>
      <c r="FH85" s="20" t="e">
        <f t="shared" si="76"/>
        <v>#NUM!</v>
      </c>
      <c r="FI85" s="59" t="e">
        <f t="shared" si="77"/>
        <v>#NUM!</v>
      </c>
      <c r="FJ85" s="59">
        <f ca="1">AVERAGE(OFFSET($FI$3,0,0,'Données projet'!$E$16+1,1))-AVERAGE(OFFSET($H$3,0,0,'Données projet'!$E$16+1,1))</f>
        <v>0</v>
      </c>
      <c r="FK85" s="59">
        <f t="shared" si="102"/>
        <v>0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>
        <f>EXP(-LN(2)/35)*FQ84+(1-EXP(-LN(2)/35))/(LN(2)/35)*FM85*FN85*VLOOKUP('Données projet'!$B$16,Paramètres!$A$1:$I$89,3,0)*0.475*44/12</f>
        <v>0</v>
      </c>
      <c r="FR85" s="21">
        <f>EXP(-LN(2)/25)*FR84+(1-EXP(-LN(2)/25))/(LN(2)/25)*Calculateur!FM85*Calculateur!FO85*VLOOKUP('Données projet'!$B$16,Paramètres!$A$1:$I$89,3,0)*0.475*44/12</f>
        <v>0</v>
      </c>
      <c r="FS85" s="21">
        <f>EXP(-LN(2)/2)*FS84+(1-EXP(-LN(2)/2))/(LN(2)/2)*FM85*FP85*VLOOKUP('Données projet'!$B$16,Paramètres!$A$1:$I$89,3,0)*0.475*44/12</f>
        <v>0</v>
      </c>
      <c r="FT85" s="22">
        <f t="shared" si="78"/>
        <v>0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56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186.90544184210381</v>
      </c>
      <c r="T86" s="59">
        <f t="shared" si="88"/>
        <v>202.05988514450519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75.457027038716816</v>
      </c>
      <c r="AA86" s="21">
        <f>EXP(-LN(2)/25)*AA85+(1-EXP(-LN(2)/25))/(LN(2)/25)*Calculateur!V86*Calculateur!X86*VLOOKUP('Données projet'!$B$9,Paramètres!$A$1:$I$89,3,0)*0.475*44/12</f>
        <v>11.547841573111597</v>
      </c>
      <c r="AB86" s="21">
        <f>EXP(-LN(2)/2)*AB85+(1-EXP(-LN(2)/2))/(LN(2)/2)*V86*Y86*VLOOKUP('Données projet'!$B$9,Paramètres!$A$1:$I$89,3,0)*0.475*44/12</f>
        <v>1.4854691674336276E-2</v>
      </c>
      <c r="AC86" s="22">
        <f t="shared" si="57"/>
        <v>87.019723303502744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>
        <f>AI86*VLOOKUP('Données projet'!$B$10,Paramètres!$A$1:$I$89,3,0)*VLOOKUP('Données projet'!$B$10,Paramètres!$A$1:$I$89,5,0)</f>
        <v>0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186.90544184210381</v>
      </c>
      <c r="AO86" s="59">
        <f t="shared" si="90"/>
        <v>202.05988514450519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75.457027038716816</v>
      </c>
      <c r="AV86" s="21">
        <f>EXP(-LN(2)/25)*AV85+(1-EXP(-LN(2)/25))/(LN(2)/25)*Calculateur!AQ86*Calculateur!AS86*VLOOKUP('Données projet'!$B$10,Paramètres!$A$1:$I$89,3,0)*0.475*44/12</f>
        <v>11.547841573111597</v>
      </c>
      <c r="AW86" s="21">
        <f>EXP(-LN(2)/2)*AW85+(1-EXP(-LN(2)/2))/(LN(2)/2)*AQ86*AT86*VLOOKUP('Données projet'!$B$10,Paramètres!$A$1:$I$89,3,0)*0.475*44/12</f>
        <v>1.4854691674336276E-2</v>
      </c>
      <c r="AX86" s="21">
        <f t="shared" si="60"/>
        <v>87.019723303502744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-2.8421709430404007E-14</v>
      </c>
      <c r="BE86" s="13">
        <f>BD86*VLOOKUP('Données projet'!$B$11,Paramètres!$A$1:$I$89,3,0)*VLOOKUP('Données projet'!$B$11,Paramètres!$A$1:$I$89,5,0)</f>
        <v>-2.3055690689943732E-14</v>
      </c>
      <c r="BF86" s="13" t="e">
        <f t="shared" si="91"/>
        <v>#NUM!</v>
      </c>
      <c r="BG86" s="20" t="e">
        <f t="shared" si="61"/>
        <v>#NUM!</v>
      </c>
      <c r="BH86" s="59" t="e">
        <f t="shared" si="62"/>
        <v>#NUM!</v>
      </c>
      <c r="BI86" s="59">
        <f ca="1">AVERAGE(OFFSET($BH$3,0,0,'Données projet'!$E$11+1,1))-AVERAGE(OFFSET($H$3,0,0,'Données projet'!$E$11+1,1))</f>
        <v>5.8584049049231908</v>
      </c>
      <c r="BJ86" s="59">
        <f t="shared" si="92"/>
        <v>42.266833200216638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3.4936905248152061E-6</v>
      </c>
      <c r="BS86" s="22">
        <f t="shared" si="63"/>
        <v>3.4936905248152061E-6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>
        <f>BY86*VLOOKUP('Données projet'!$B$12,Paramètres!$A$1:$I$89,3,0)*VLOOKUP('Données projet'!$B$12,Paramètres!$A$1:$I$89,5,0)</f>
        <v>0</v>
      </c>
      <c r="CA86" s="13" t="e">
        <f t="shared" si="93"/>
        <v>#NUM!</v>
      </c>
      <c r="CB86" s="20" t="e">
        <f t="shared" si="64"/>
        <v>#NUM!</v>
      </c>
      <c r="CC86" s="59" t="e">
        <f t="shared" si="65"/>
        <v>#NUM!</v>
      </c>
      <c r="CD86" s="59">
        <f ca="1">AVERAGE(OFFSET($CC$3,0,0,'Données projet'!$E$12+1,1))-AVERAGE(OFFSET($H$3,0,0,'Données projet'!$E$12+1,1))</f>
        <v>0</v>
      </c>
      <c r="CE86" s="59">
        <f t="shared" si="94"/>
        <v>0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0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0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>
        <f>CT86*VLOOKUP('Données projet'!$B$13,Paramètres!$A$1:$I$89,3,0)*VLOOKUP('Données projet'!$B$13,Paramètres!$A$1:$I$89,5,0)</f>
        <v>0</v>
      </c>
      <c r="CV86" s="13" t="e">
        <f t="shared" si="95"/>
        <v>#NUM!</v>
      </c>
      <c r="CW86" s="20" t="e">
        <f t="shared" si="67"/>
        <v>#NUM!</v>
      </c>
      <c r="CX86" s="59" t="e">
        <f t="shared" si="68"/>
        <v>#NUM!</v>
      </c>
      <c r="CY86" s="59">
        <f ca="1">AVERAGE(OFFSET($CX$3,0,0,'Données projet'!$E$13+1,1))-AVERAGE(OFFSET($H$3,0,0,'Données projet'!$E$13+1,1))</f>
        <v>0</v>
      </c>
      <c r="CZ86" s="59">
        <f t="shared" si="96"/>
        <v>0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0</v>
      </c>
      <c r="DG86" s="21">
        <f>EXP(-LN(2)/25)*DG85+(1-EXP(-LN(2)/25))/(LN(2)/25)*Calculateur!DB86*Calculateur!DD86*VLOOKUP('Données projet'!$B$13,Paramètres!$A$1:$I$89,3,0)*0.475*44/12</f>
        <v>0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0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>
        <f>DO86*VLOOKUP('Données projet'!$B$14,Paramètres!$A$1:$I$89,3,0)*VLOOKUP('Données projet'!$B$14,Paramètres!$A$1:$I$89,5,0)</f>
        <v>0</v>
      </c>
      <c r="DQ86" s="13" t="e">
        <f t="shared" si="97"/>
        <v>#NUM!</v>
      </c>
      <c r="DR86" s="20" t="e">
        <f t="shared" si="70"/>
        <v>#NUM!</v>
      </c>
      <c r="DS86" s="59" t="e">
        <f t="shared" si="71"/>
        <v>#NUM!</v>
      </c>
      <c r="DT86" s="59">
        <f ca="1">AVERAGE(OFFSET($DS$3,0,0,'Données projet'!$E$14+1,1))-AVERAGE(OFFSET($H$3,0,0,'Données projet'!$E$14+1,1))</f>
        <v>0</v>
      </c>
      <c r="DU86" s="59">
        <f t="shared" si="98"/>
        <v>0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0</v>
      </c>
      <c r="EB86" s="21">
        <f>EXP(-LN(2)/25)*EB85+(1-EXP(-LN(2)/25))/(LN(2)/25)*Calculateur!DW86*Calculateur!DY86*VLOOKUP('Données projet'!$B$14,Paramètres!$A$1:$I$89,3,0)*0.475*44/12</f>
        <v>0</v>
      </c>
      <c r="EC86" s="21">
        <f>EXP(-LN(2)/2)*EC85+(1-EXP(-LN(2)/2))/(LN(2)/2)*DW86*DZ86*VLOOKUP('Données projet'!$B$14,Paramètres!$A$1:$I$89,3,0)*0.475*44/12</f>
        <v>0</v>
      </c>
      <c r="ED86" s="22">
        <f t="shared" si="72"/>
        <v>0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>
        <f>EJ86*VLOOKUP('Données projet'!$B$15,Paramètres!$A$1:$I$89,3,0)*VLOOKUP('Données projet'!$B$15,Paramètres!$A$1:$I$89,5,0)</f>
        <v>0</v>
      </c>
      <c r="EL86" s="13" t="e">
        <f t="shared" si="99"/>
        <v>#NUM!</v>
      </c>
      <c r="EM86" s="20" t="e">
        <f t="shared" si="73"/>
        <v>#NUM!</v>
      </c>
      <c r="EN86" s="59" t="e">
        <f t="shared" si="74"/>
        <v>#NUM!</v>
      </c>
      <c r="EO86" s="59">
        <f ca="1">AVERAGE(OFFSET($EN$3,0,0,'Données projet'!$E$15+1,1))-AVERAGE(OFFSET($H$3,0,0,'Données projet'!$E$15+1,1))</f>
        <v>0</v>
      </c>
      <c r="EP86" s="59">
        <f t="shared" si="100"/>
        <v>0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>
        <f>EXP(-LN(2)/35)*EV85+(1-EXP(-LN(2)/35))/(LN(2)/35)*ER86*ES86*VLOOKUP('Données projet'!$B$15,Paramètres!$A$1:$I$89,3,0)*0.475*44/12</f>
        <v>0</v>
      </c>
      <c r="EW86" s="21">
        <f>EXP(-LN(2)/25)*EW85+(1-EXP(-LN(2)/25))/(LN(2)/25)*Calculateur!ER86*Calculateur!ET86*VLOOKUP('Données projet'!$B$15,Paramètres!$A$1:$I$89,3,0)*0.475*44/12</f>
        <v>0</v>
      </c>
      <c r="EX86" s="21">
        <f>EXP(-LN(2)/2)*EX85+(1-EXP(-LN(2)/2))/(LN(2)/2)*ER86*EU86*VLOOKUP('Données projet'!$B$15,Paramètres!$A$1:$I$89,3,0)*0.475*44/12</f>
        <v>0</v>
      </c>
      <c r="EY86" s="22">
        <f t="shared" si="75"/>
        <v>0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>
        <f>FE86*VLOOKUP('Données projet'!$B$16,Paramètres!$A$1:$I$89,3,0)*VLOOKUP('Données projet'!$B$16,Paramètres!$A$1:$I$89,5,0)</f>
        <v>0</v>
      </c>
      <c r="FG86" s="13" t="e">
        <f t="shared" si="101"/>
        <v>#NUM!</v>
      </c>
      <c r="FH86" s="20" t="e">
        <f t="shared" si="76"/>
        <v>#NUM!</v>
      </c>
      <c r="FI86" s="59" t="e">
        <f t="shared" si="77"/>
        <v>#NUM!</v>
      </c>
      <c r="FJ86" s="59">
        <f ca="1">AVERAGE(OFFSET($FI$3,0,0,'Données projet'!$E$16+1,1))-AVERAGE(OFFSET($H$3,0,0,'Données projet'!$E$16+1,1))</f>
        <v>0</v>
      </c>
      <c r="FK86" s="59">
        <f t="shared" si="102"/>
        <v>0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>
        <f>EXP(-LN(2)/35)*FQ85+(1-EXP(-LN(2)/35))/(LN(2)/35)*FM86*FN86*VLOOKUP('Données projet'!$B$16,Paramètres!$A$1:$I$89,3,0)*0.475*44/12</f>
        <v>0</v>
      </c>
      <c r="FR86" s="21">
        <f>EXP(-LN(2)/25)*FR85+(1-EXP(-LN(2)/25))/(LN(2)/25)*Calculateur!FM86*Calculateur!FO86*VLOOKUP('Données projet'!$B$16,Paramètres!$A$1:$I$89,3,0)*0.475*44/12</f>
        <v>0</v>
      </c>
      <c r="FS86" s="21">
        <f>EXP(-LN(2)/2)*FS85+(1-EXP(-LN(2)/2))/(LN(2)/2)*FM86*FP86*VLOOKUP('Données projet'!$B$16,Paramètres!$A$1:$I$89,3,0)*0.475*44/12</f>
        <v>0</v>
      </c>
      <c r="FT86" s="22">
        <f t="shared" si="78"/>
        <v>0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56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186.90544184210381</v>
      </c>
      <c r="T87" s="59">
        <f t="shared" si="88"/>
        <v>202.05988514450519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73.97736076272956</v>
      </c>
      <c r="AA87" s="21">
        <f>EXP(-LN(2)/25)*AA86+(1-EXP(-LN(2)/25))/(LN(2)/25)*Calculateur!V87*Calculateur!X87*VLOOKUP('Données projet'!$B$9,Paramètres!$A$1:$I$89,3,0)*0.475*44/12</f>
        <v>11.232065238020265</v>
      </c>
      <c r="AB87" s="21">
        <f>EXP(-LN(2)/2)*AB86+(1-EXP(-LN(2)/2))/(LN(2)/2)*V87*Y87*VLOOKUP('Données projet'!$B$9,Paramètres!$A$1:$I$89,3,0)*0.475*44/12</f>
        <v>1.050385321535853E-2</v>
      </c>
      <c r="AC87" s="22">
        <f t="shared" si="57"/>
        <v>85.219929853965183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>
        <f>AI87*VLOOKUP('Données projet'!$B$10,Paramètres!$A$1:$I$89,3,0)*VLOOKUP('Données projet'!$B$10,Paramètres!$A$1:$I$89,5,0)</f>
        <v>0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186.90544184210381</v>
      </c>
      <c r="AO87" s="59">
        <f t="shared" si="90"/>
        <v>202.05988514450519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73.97736076272956</v>
      </c>
      <c r="AV87" s="21">
        <f>EXP(-LN(2)/25)*AV86+(1-EXP(-LN(2)/25))/(LN(2)/25)*Calculateur!AQ87*Calculateur!AS87*VLOOKUP('Données projet'!$B$10,Paramètres!$A$1:$I$89,3,0)*0.475*44/12</f>
        <v>11.232065238020265</v>
      </c>
      <c r="AW87" s="21">
        <f>EXP(-LN(2)/2)*AW86+(1-EXP(-LN(2)/2))/(LN(2)/2)*AQ87*AT87*VLOOKUP('Données projet'!$B$10,Paramètres!$A$1:$I$89,3,0)*0.475*44/12</f>
        <v>1.050385321535853E-2</v>
      </c>
      <c r="AX87" s="21">
        <f t="shared" si="60"/>
        <v>85.219929853965183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-2.8421709430404007E-14</v>
      </c>
      <c r="BE87" s="13">
        <f>BD87*VLOOKUP('Données projet'!$B$11,Paramètres!$A$1:$I$89,3,0)*VLOOKUP('Données projet'!$B$11,Paramètres!$A$1:$I$89,5,0)</f>
        <v>-2.3055690689943732E-14</v>
      </c>
      <c r="BF87" s="13" t="e">
        <f t="shared" si="91"/>
        <v>#NUM!</v>
      </c>
      <c r="BG87" s="20" t="e">
        <f t="shared" si="61"/>
        <v>#NUM!</v>
      </c>
      <c r="BH87" s="59" t="e">
        <f t="shared" si="62"/>
        <v>#NUM!</v>
      </c>
      <c r="BI87" s="59">
        <f ca="1">AVERAGE(OFFSET($BH$3,0,0,'Données projet'!$E$11+1,1))-AVERAGE(OFFSET($H$3,0,0,'Données projet'!$E$11+1,1))</f>
        <v>5.8584049049231908</v>
      </c>
      <c r="BJ87" s="59">
        <f t="shared" si="92"/>
        <v>42.266833200216638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2.4704122614640203E-6</v>
      </c>
      <c r="BS87" s="22">
        <f t="shared" si="63"/>
        <v>2.4704122614640203E-6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>
        <f>BY87*VLOOKUP('Données projet'!$B$12,Paramètres!$A$1:$I$89,3,0)*VLOOKUP('Données projet'!$B$12,Paramètres!$A$1:$I$89,5,0)</f>
        <v>0</v>
      </c>
      <c r="CA87" s="13" t="e">
        <f t="shared" si="93"/>
        <v>#NUM!</v>
      </c>
      <c r="CB87" s="20" t="e">
        <f t="shared" si="64"/>
        <v>#NUM!</v>
      </c>
      <c r="CC87" s="59" t="e">
        <f t="shared" si="65"/>
        <v>#NUM!</v>
      </c>
      <c r="CD87" s="59">
        <f ca="1">AVERAGE(OFFSET($CC$3,0,0,'Données projet'!$E$12+1,1))-AVERAGE(OFFSET($H$3,0,0,'Données projet'!$E$12+1,1))</f>
        <v>0</v>
      </c>
      <c r="CE87" s="59">
        <f t="shared" si="94"/>
        <v>0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0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0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>
        <f>CT87*VLOOKUP('Données projet'!$B$13,Paramètres!$A$1:$I$89,3,0)*VLOOKUP('Données projet'!$B$13,Paramètres!$A$1:$I$89,5,0)</f>
        <v>0</v>
      </c>
      <c r="CV87" s="13" t="e">
        <f t="shared" si="95"/>
        <v>#NUM!</v>
      </c>
      <c r="CW87" s="20" t="e">
        <f t="shared" si="67"/>
        <v>#NUM!</v>
      </c>
      <c r="CX87" s="59" t="e">
        <f t="shared" si="68"/>
        <v>#NUM!</v>
      </c>
      <c r="CY87" s="59">
        <f ca="1">AVERAGE(OFFSET($CX$3,0,0,'Données projet'!$E$13+1,1))-AVERAGE(OFFSET($H$3,0,0,'Données projet'!$E$13+1,1))</f>
        <v>0</v>
      </c>
      <c r="CZ87" s="59">
        <f t="shared" si="96"/>
        <v>0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0</v>
      </c>
      <c r="DG87" s="21">
        <f>EXP(-LN(2)/25)*DG86+(1-EXP(-LN(2)/25))/(LN(2)/25)*Calculateur!DB87*Calculateur!DD87*VLOOKUP('Données projet'!$B$13,Paramètres!$A$1:$I$89,3,0)*0.475*44/12</f>
        <v>0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0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>
        <f>DO87*VLOOKUP('Données projet'!$B$14,Paramètres!$A$1:$I$89,3,0)*VLOOKUP('Données projet'!$B$14,Paramètres!$A$1:$I$89,5,0)</f>
        <v>0</v>
      </c>
      <c r="DQ87" s="13" t="e">
        <f t="shared" si="97"/>
        <v>#NUM!</v>
      </c>
      <c r="DR87" s="20" t="e">
        <f t="shared" si="70"/>
        <v>#NUM!</v>
      </c>
      <c r="DS87" s="59" t="e">
        <f t="shared" si="71"/>
        <v>#NUM!</v>
      </c>
      <c r="DT87" s="59">
        <f ca="1">AVERAGE(OFFSET($DS$3,0,0,'Données projet'!$E$14+1,1))-AVERAGE(OFFSET($H$3,0,0,'Données projet'!$E$14+1,1))</f>
        <v>0</v>
      </c>
      <c r="DU87" s="59">
        <f t="shared" si="98"/>
        <v>0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0</v>
      </c>
      <c r="EB87" s="21">
        <f>EXP(-LN(2)/25)*EB86+(1-EXP(-LN(2)/25))/(LN(2)/25)*Calculateur!DW87*Calculateur!DY87*VLOOKUP('Données projet'!$B$14,Paramètres!$A$1:$I$89,3,0)*0.475*44/12</f>
        <v>0</v>
      </c>
      <c r="EC87" s="21">
        <f>EXP(-LN(2)/2)*EC86+(1-EXP(-LN(2)/2))/(LN(2)/2)*DW87*DZ87*VLOOKUP('Données projet'!$B$14,Paramètres!$A$1:$I$89,3,0)*0.475*44/12</f>
        <v>0</v>
      </c>
      <c r="ED87" s="22">
        <f t="shared" si="72"/>
        <v>0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>
        <f>EJ87*VLOOKUP('Données projet'!$B$15,Paramètres!$A$1:$I$89,3,0)*VLOOKUP('Données projet'!$B$15,Paramètres!$A$1:$I$89,5,0)</f>
        <v>0</v>
      </c>
      <c r="EL87" s="13" t="e">
        <f t="shared" si="99"/>
        <v>#NUM!</v>
      </c>
      <c r="EM87" s="20" t="e">
        <f t="shared" si="73"/>
        <v>#NUM!</v>
      </c>
      <c r="EN87" s="59" t="e">
        <f t="shared" si="74"/>
        <v>#NUM!</v>
      </c>
      <c r="EO87" s="59">
        <f ca="1">AVERAGE(OFFSET($EN$3,0,0,'Données projet'!$E$15+1,1))-AVERAGE(OFFSET($H$3,0,0,'Données projet'!$E$15+1,1))</f>
        <v>0</v>
      </c>
      <c r="EP87" s="59">
        <f t="shared" si="100"/>
        <v>0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>
        <f>EXP(-LN(2)/35)*EV86+(1-EXP(-LN(2)/35))/(LN(2)/35)*ER87*ES87*VLOOKUP('Données projet'!$B$15,Paramètres!$A$1:$I$89,3,0)*0.475*44/12</f>
        <v>0</v>
      </c>
      <c r="EW87" s="21">
        <f>EXP(-LN(2)/25)*EW86+(1-EXP(-LN(2)/25))/(LN(2)/25)*Calculateur!ER87*Calculateur!ET87*VLOOKUP('Données projet'!$B$15,Paramètres!$A$1:$I$89,3,0)*0.475*44/12</f>
        <v>0</v>
      </c>
      <c r="EX87" s="21">
        <f>EXP(-LN(2)/2)*EX86+(1-EXP(-LN(2)/2))/(LN(2)/2)*ER87*EU87*VLOOKUP('Données projet'!$B$15,Paramètres!$A$1:$I$89,3,0)*0.475*44/12</f>
        <v>0</v>
      </c>
      <c r="EY87" s="22">
        <f t="shared" si="75"/>
        <v>0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>
        <f>FE87*VLOOKUP('Données projet'!$B$16,Paramètres!$A$1:$I$89,3,0)*VLOOKUP('Données projet'!$B$16,Paramètres!$A$1:$I$89,5,0)</f>
        <v>0</v>
      </c>
      <c r="FG87" s="13" t="e">
        <f t="shared" si="101"/>
        <v>#NUM!</v>
      </c>
      <c r="FH87" s="20" t="e">
        <f t="shared" si="76"/>
        <v>#NUM!</v>
      </c>
      <c r="FI87" s="59" t="e">
        <f t="shared" si="77"/>
        <v>#NUM!</v>
      </c>
      <c r="FJ87" s="59">
        <f ca="1">AVERAGE(OFFSET($FI$3,0,0,'Données projet'!$E$16+1,1))-AVERAGE(OFFSET($H$3,0,0,'Données projet'!$E$16+1,1))</f>
        <v>0</v>
      </c>
      <c r="FK87" s="59">
        <f t="shared" si="102"/>
        <v>0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>
        <f>EXP(-LN(2)/35)*FQ86+(1-EXP(-LN(2)/35))/(LN(2)/35)*FM87*FN87*VLOOKUP('Données projet'!$B$16,Paramètres!$A$1:$I$89,3,0)*0.475*44/12</f>
        <v>0</v>
      </c>
      <c r="FR87" s="21">
        <f>EXP(-LN(2)/25)*FR86+(1-EXP(-LN(2)/25))/(LN(2)/25)*Calculateur!FM87*Calculateur!FO87*VLOOKUP('Données projet'!$B$16,Paramètres!$A$1:$I$89,3,0)*0.475*44/12</f>
        <v>0</v>
      </c>
      <c r="FS87" s="21">
        <f>EXP(-LN(2)/2)*FS86+(1-EXP(-LN(2)/2))/(LN(2)/2)*FM87*FP87*VLOOKUP('Données projet'!$B$16,Paramètres!$A$1:$I$89,3,0)*0.475*44/12</f>
        <v>0</v>
      </c>
      <c r="FT87" s="22">
        <f t="shared" si="78"/>
        <v>0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56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186.90544184210381</v>
      </c>
      <c r="T88" s="59">
        <f t="shared" si="88"/>
        <v>202.05988514450519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72.526709839907099</v>
      </c>
      <c r="AA88" s="21">
        <f>EXP(-LN(2)/25)*AA87+(1-EXP(-LN(2)/25))/(LN(2)/25)*Calculateur!V88*Calculateur!X88*VLOOKUP('Données projet'!$B$9,Paramètres!$A$1:$I$89,3,0)*0.475*44/12</f>
        <v>10.924923823417961</v>
      </c>
      <c r="AB88" s="21">
        <f>EXP(-LN(2)/2)*AB87+(1-EXP(-LN(2)/2))/(LN(2)/2)*V88*Y88*VLOOKUP('Données projet'!$B$9,Paramètres!$A$1:$I$89,3,0)*0.475*44/12</f>
        <v>7.4273458371681379E-3</v>
      </c>
      <c r="AC88" s="22">
        <f t="shared" si="57"/>
        <v>83.459061009162227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>
        <f>AI88*VLOOKUP('Données projet'!$B$10,Paramètres!$A$1:$I$89,3,0)*VLOOKUP('Données projet'!$B$10,Paramètres!$A$1:$I$89,5,0)</f>
        <v>0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186.90544184210381</v>
      </c>
      <c r="AO88" s="59">
        <f t="shared" si="90"/>
        <v>202.05988514450519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72.526709839907099</v>
      </c>
      <c r="AV88" s="21">
        <f>EXP(-LN(2)/25)*AV87+(1-EXP(-LN(2)/25))/(LN(2)/25)*Calculateur!AQ88*Calculateur!AS88*VLOOKUP('Données projet'!$B$10,Paramètres!$A$1:$I$89,3,0)*0.475*44/12</f>
        <v>10.924923823417961</v>
      </c>
      <c r="AW88" s="21">
        <f>EXP(-LN(2)/2)*AW87+(1-EXP(-LN(2)/2))/(LN(2)/2)*AQ88*AT88*VLOOKUP('Données projet'!$B$10,Paramètres!$A$1:$I$89,3,0)*0.475*44/12</f>
        <v>7.4273458371681379E-3</v>
      </c>
      <c r="AX88" s="21">
        <f t="shared" si="60"/>
        <v>83.459061009162227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-2.8421709430404007E-14</v>
      </c>
      <c r="BE88" s="13">
        <f>BD88*VLOOKUP('Données projet'!$B$11,Paramètres!$A$1:$I$89,3,0)*VLOOKUP('Données projet'!$B$11,Paramètres!$A$1:$I$89,5,0)</f>
        <v>-2.3055690689943732E-14</v>
      </c>
      <c r="BF88" s="13" t="e">
        <f t="shared" si="91"/>
        <v>#NUM!</v>
      </c>
      <c r="BG88" s="20" t="e">
        <f t="shared" si="61"/>
        <v>#NUM!</v>
      </c>
      <c r="BH88" s="59" t="e">
        <f t="shared" si="62"/>
        <v>#NUM!</v>
      </c>
      <c r="BI88" s="59">
        <f ca="1">AVERAGE(OFFSET($BH$3,0,0,'Données projet'!$E$11+1,1))-AVERAGE(OFFSET($H$3,0,0,'Données projet'!$E$11+1,1))</f>
        <v>5.8584049049231908</v>
      </c>
      <c r="BJ88" s="59">
        <f t="shared" si="92"/>
        <v>42.266833200216638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1.7468452624076031E-6</v>
      </c>
      <c r="BS88" s="22">
        <f t="shared" si="63"/>
        <v>1.7468452624076031E-6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>
        <f>BY88*VLOOKUP('Données projet'!$B$12,Paramètres!$A$1:$I$89,3,0)*VLOOKUP('Données projet'!$B$12,Paramètres!$A$1:$I$89,5,0)</f>
        <v>0</v>
      </c>
      <c r="CA88" s="13" t="e">
        <f t="shared" si="93"/>
        <v>#NUM!</v>
      </c>
      <c r="CB88" s="20" t="e">
        <f t="shared" si="64"/>
        <v>#NUM!</v>
      </c>
      <c r="CC88" s="59" t="e">
        <f t="shared" si="65"/>
        <v>#NUM!</v>
      </c>
      <c r="CD88" s="59">
        <f ca="1">AVERAGE(OFFSET($CC$3,0,0,'Données projet'!$E$12+1,1))-AVERAGE(OFFSET($H$3,0,0,'Données projet'!$E$12+1,1))</f>
        <v>0</v>
      </c>
      <c r="CE88" s="59">
        <f t="shared" si="94"/>
        <v>0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0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0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>
        <f>CT88*VLOOKUP('Données projet'!$B$13,Paramètres!$A$1:$I$89,3,0)*VLOOKUP('Données projet'!$B$13,Paramètres!$A$1:$I$89,5,0)</f>
        <v>0</v>
      </c>
      <c r="CV88" s="13" t="e">
        <f t="shared" si="95"/>
        <v>#NUM!</v>
      </c>
      <c r="CW88" s="20" t="e">
        <f t="shared" si="67"/>
        <v>#NUM!</v>
      </c>
      <c r="CX88" s="59" t="e">
        <f t="shared" si="68"/>
        <v>#NUM!</v>
      </c>
      <c r="CY88" s="59">
        <f ca="1">AVERAGE(OFFSET($CX$3,0,0,'Données projet'!$E$13+1,1))-AVERAGE(OFFSET($H$3,0,0,'Données projet'!$E$13+1,1))</f>
        <v>0</v>
      </c>
      <c r="CZ88" s="59">
        <f t="shared" si="96"/>
        <v>0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0</v>
      </c>
      <c r="DG88" s="21">
        <f>EXP(-LN(2)/25)*DG87+(1-EXP(-LN(2)/25))/(LN(2)/25)*Calculateur!DB88*Calculateur!DD88*VLOOKUP('Données projet'!$B$13,Paramètres!$A$1:$I$89,3,0)*0.475*44/12</f>
        <v>0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0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>
        <f>DO88*VLOOKUP('Données projet'!$B$14,Paramètres!$A$1:$I$89,3,0)*VLOOKUP('Données projet'!$B$14,Paramètres!$A$1:$I$89,5,0)</f>
        <v>0</v>
      </c>
      <c r="DQ88" s="13" t="e">
        <f t="shared" si="97"/>
        <v>#NUM!</v>
      </c>
      <c r="DR88" s="20" t="e">
        <f t="shared" si="70"/>
        <v>#NUM!</v>
      </c>
      <c r="DS88" s="59" t="e">
        <f t="shared" si="71"/>
        <v>#NUM!</v>
      </c>
      <c r="DT88" s="59">
        <f ca="1">AVERAGE(OFFSET($DS$3,0,0,'Données projet'!$E$14+1,1))-AVERAGE(OFFSET($H$3,0,0,'Données projet'!$E$14+1,1))</f>
        <v>0</v>
      </c>
      <c r="DU88" s="59">
        <f t="shared" si="98"/>
        <v>0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0</v>
      </c>
      <c r="EB88" s="21">
        <f>EXP(-LN(2)/25)*EB87+(1-EXP(-LN(2)/25))/(LN(2)/25)*Calculateur!DW88*Calculateur!DY88*VLOOKUP('Données projet'!$B$14,Paramètres!$A$1:$I$89,3,0)*0.475*44/12</f>
        <v>0</v>
      </c>
      <c r="EC88" s="21">
        <f>EXP(-LN(2)/2)*EC87+(1-EXP(-LN(2)/2))/(LN(2)/2)*DW88*DZ88*VLOOKUP('Données projet'!$B$14,Paramètres!$A$1:$I$89,3,0)*0.475*44/12</f>
        <v>0</v>
      </c>
      <c r="ED88" s="22">
        <f t="shared" si="72"/>
        <v>0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>
        <f>EJ88*VLOOKUP('Données projet'!$B$15,Paramètres!$A$1:$I$89,3,0)*VLOOKUP('Données projet'!$B$15,Paramètres!$A$1:$I$89,5,0)</f>
        <v>0</v>
      </c>
      <c r="EL88" s="13" t="e">
        <f t="shared" si="99"/>
        <v>#NUM!</v>
      </c>
      <c r="EM88" s="20" t="e">
        <f t="shared" si="73"/>
        <v>#NUM!</v>
      </c>
      <c r="EN88" s="59" t="e">
        <f t="shared" si="74"/>
        <v>#NUM!</v>
      </c>
      <c r="EO88" s="59">
        <f ca="1">AVERAGE(OFFSET($EN$3,0,0,'Données projet'!$E$15+1,1))-AVERAGE(OFFSET($H$3,0,0,'Données projet'!$E$15+1,1))</f>
        <v>0</v>
      </c>
      <c r="EP88" s="59">
        <f t="shared" si="100"/>
        <v>0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>
        <f>EXP(-LN(2)/35)*EV87+(1-EXP(-LN(2)/35))/(LN(2)/35)*ER88*ES88*VLOOKUP('Données projet'!$B$15,Paramètres!$A$1:$I$89,3,0)*0.475*44/12</f>
        <v>0</v>
      </c>
      <c r="EW88" s="21">
        <f>EXP(-LN(2)/25)*EW87+(1-EXP(-LN(2)/25))/(LN(2)/25)*Calculateur!ER88*Calculateur!ET88*VLOOKUP('Données projet'!$B$15,Paramètres!$A$1:$I$89,3,0)*0.475*44/12</f>
        <v>0</v>
      </c>
      <c r="EX88" s="21">
        <f>EXP(-LN(2)/2)*EX87+(1-EXP(-LN(2)/2))/(LN(2)/2)*ER88*EU88*VLOOKUP('Données projet'!$B$15,Paramètres!$A$1:$I$89,3,0)*0.475*44/12</f>
        <v>0</v>
      </c>
      <c r="EY88" s="22">
        <f t="shared" si="75"/>
        <v>0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>
        <f>FE88*VLOOKUP('Données projet'!$B$16,Paramètres!$A$1:$I$89,3,0)*VLOOKUP('Données projet'!$B$16,Paramètres!$A$1:$I$89,5,0)</f>
        <v>0</v>
      </c>
      <c r="FG88" s="13" t="e">
        <f t="shared" si="101"/>
        <v>#NUM!</v>
      </c>
      <c r="FH88" s="20" t="e">
        <f t="shared" si="76"/>
        <v>#NUM!</v>
      </c>
      <c r="FI88" s="59" t="e">
        <f t="shared" si="77"/>
        <v>#NUM!</v>
      </c>
      <c r="FJ88" s="59">
        <f ca="1">AVERAGE(OFFSET($FI$3,0,0,'Données projet'!$E$16+1,1))-AVERAGE(OFFSET($H$3,0,0,'Données projet'!$E$16+1,1))</f>
        <v>0</v>
      </c>
      <c r="FK88" s="59">
        <f t="shared" si="102"/>
        <v>0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>
        <f>EXP(-LN(2)/35)*FQ87+(1-EXP(-LN(2)/35))/(LN(2)/35)*FM88*FN88*VLOOKUP('Données projet'!$B$16,Paramètres!$A$1:$I$89,3,0)*0.475*44/12</f>
        <v>0</v>
      </c>
      <c r="FR88" s="21">
        <f>EXP(-LN(2)/25)*FR87+(1-EXP(-LN(2)/25))/(LN(2)/25)*Calculateur!FM88*Calculateur!FO88*VLOOKUP('Données projet'!$B$16,Paramètres!$A$1:$I$89,3,0)*0.475*44/12</f>
        <v>0</v>
      </c>
      <c r="FS88" s="21">
        <f>EXP(-LN(2)/2)*FS87+(1-EXP(-LN(2)/2))/(LN(2)/2)*FM88*FP88*VLOOKUP('Données projet'!$B$16,Paramètres!$A$1:$I$89,3,0)*0.475*44/12</f>
        <v>0</v>
      </c>
      <c r="FT88" s="22">
        <f t="shared" si="78"/>
        <v>0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56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186.90544184210381</v>
      </c>
      <c r="T89" s="59">
        <f t="shared" si="88"/>
        <v>202.05988514450519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71.104505296871494</v>
      </c>
      <c r="AA89" s="21">
        <f>EXP(-LN(2)/25)*AA88+(1-EXP(-LN(2)/25))/(LN(2)/25)*Calculateur!V89*Calculateur!X89*VLOOKUP('Données projet'!$B$9,Paramètres!$A$1:$I$89,3,0)*0.475*44/12</f>
        <v>10.626181206949822</v>
      </c>
      <c r="AB89" s="21">
        <f>EXP(-LN(2)/2)*AB88+(1-EXP(-LN(2)/2))/(LN(2)/2)*V89*Y89*VLOOKUP('Données projet'!$B$9,Paramètres!$A$1:$I$89,3,0)*0.475*44/12</f>
        <v>5.2519266076792651E-3</v>
      </c>
      <c r="AC89" s="22">
        <f t="shared" si="57"/>
        <v>81.735938430429002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>
        <f>AI89*VLOOKUP('Données projet'!$B$10,Paramètres!$A$1:$I$89,3,0)*VLOOKUP('Données projet'!$B$10,Paramètres!$A$1:$I$89,5,0)</f>
        <v>0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186.90544184210381</v>
      </c>
      <c r="AO89" s="59">
        <f t="shared" si="90"/>
        <v>202.05988514450519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71.104505296871494</v>
      </c>
      <c r="AV89" s="21">
        <f>EXP(-LN(2)/25)*AV88+(1-EXP(-LN(2)/25))/(LN(2)/25)*Calculateur!AQ89*Calculateur!AS89*VLOOKUP('Données projet'!$B$10,Paramètres!$A$1:$I$89,3,0)*0.475*44/12</f>
        <v>10.626181206949822</v>
      </c>
      <c r="AW89" s="21">
        <f>EXP(-LN(2)/2)*AW88+(1-EXP(-LN(2)/2))/(LN(2)/2)*AQ89*AT89*VLOOKUP('Données projet'!$B$10,Paramètres!$A$1:$I$89,3,0)*0.475*44/12</f>
        <v>5.2519266076792651E-3</v>
      </c>
      <c r="AX89" s="21">
        <f t="shared" si="60"/>
        <v>81.735938430429002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-2.8421709430404007E-14</v>
      </c>
      <c r="BE89" s="13">
        <f>BD89*VLOOKUP('Données projet'!$B$11,Paramètres!$A$1:$I$89,3,0)*VLOOKUP('Données projet'!$B$11,Paramètres!$A$1:$I$89,5,0)</f>
        <v>-2.3055690689943732E-14</v>
      </c>
      <c r="BF89" s="13" t="e">
        <f t="shared" si="91"/>
        <v>#NUM!</v>
      </c>
      <c r="BG89" s="20" t="e">
        <f t="shared" si="61"/>
        <v>#NUM!</v>
      </c>
      <c r="BH89" s="59" t="e">
        <f t="shared" si="62"/>
        <v>#NUM!</v>
      </c>
      <c r="BI89" s="59">
        <f ca="1">AVERAGE(OFFSET($BH$3,0,0,'Données projet'!$E$11+1,1))-AVERAGE(OFFSET($H$3,0,0,'Données projet'!$E$11+1,1))</f>
        <v>5.8584049049231908</v>
      </c>
      <c r="BJ89" s="59">
        <f t="shared" si="92"/>
        <v>42.266833200216638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1.2352061307320102E-6</v>
      </c>
      <c r="BS89" s="22">
        <f t="shared" si="63"/>
        <v>1.2352061307320102E-6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>
        <f>BY89*VLOOKUP('Données projet'!$B$12,Paramètres!$A$1:$I$89,3,0)*VLOOKUP('Données projet'!$B$12,Paramètres!$A$1:$I$89,5,0)</f>
        <v>0</v>
      </c>
      <c r="CA89" s="13" t="e">
        <f t="shared" si="93"/>
        <v>#NUM!</v>
      </c>
      <c r="CB89" s="20" t="e">
        <f t="shared" si="64"/>
        <v>#NUM!</v>
      </c>
      <c r="CC89" s="59" t="e">
        <f t="shared" si="65"/>
        <v>#NUM!</v>
      </c>
      <c r="CD89" s="59">
        <f ca="1">AVERAGE(OFFSET($CC$3,0,0,'Données projet'!$E$12+1,1))-AVERAGE(OFFSET($H$3,0,0,'Données projet'!$E$12+1,1))</f>
        <v>0</v>
      </c>
      <c r="CE89" s="59">
        <f t="shared" si="94"/>
        <v>0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0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0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>
        <f>CT89*VLOOKUP('Données projet'!$B$13,Paramètres!$A$1:$I$89,3,0)*VLOOKUP('Données projet'!$B$13,Paramètres!$A$1:$I$89,5,0)</f>
        <v>0</v>
      </c>
      <c r="CV89" s="13" t="e">
        <f t="shared" si="95"/>
        <v>#NUM!</v>
      </c>
      <c r="CW89" s="20" t="e">
        <f t="shared" si="67"/>
        <v>#NUM!</v>
      </c>
      <c r="CX89" s="59" t="e">
        <f t="shared" si="68"/>
        <v>#NUM!</v>
      </c>
      <c r="CY89" s="59">
        <f ca="1">AVERAGE(OFFSET($CX$3,0,0,'Données projet'!$E$13+1,1))-AVERAGE(OFFSET($H$3,0,0,'Données projet'!$E$13+1,1))</f>
        <v>0</v>
      </c>
      <c r="CZ89" s="59">
        <f t="shared" si="96"/>
        <v>0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0</v>
      </c>
      <c r="DG89" s="21">
        <f>EXP(-LN(2)/25)*DG88+(1-EXP(-LN(2)/25))/(LN(2)/25)*Calculateur!DB89*Calculateur!DD89*VLOOKUP('Données projet'!$B$13,Paramètres!$A$1:$I$89,3,0)*0.475*44/12</f>
        <v>0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0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>
        <f>DO89*VLOOKUP('Données projet'!$B$14,Paramètres!$A$1:$I$89,3,0)*VLOOKUP('Données projet'!$B$14,Paramètres!$A$1:$I$89,5,0)</f>
        <v>0</v>
      </c>
      <c r="DQ89" s="13" t="e">
        <f t="shared" si="97"/>
        <v>#NUM!</v>
      </c>
      <c r="DR89" s="20" t="e">
        <f t="shared" si="70"/>
        <v>#NUM!</v>
      </c>
      <c r="DS89" s="59" t="e">
        <f t="shared" si="71"/>
        <v>#NUM!</v>
      </c>
      <c r="DT89" s="59">
        <f ca="1">AVERAGE(OFFSET($DS$3,0,0,'Données projet'!$E$14+1,1))-AVERAGE(OFFSET($H$3,0,0,'Données projet'!$E$14+1,1))</f>
        <v>0</v>
      </c>
      <c r="DU89" s="59">
        <f t="shared" si="98"/>
        <v>0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0</v>
      </c>
      <c r="EB89" s="21">
        <f>EXP(-LN(2)/25)*EB88+(1-EXP(-LN(2)/25))/(LN(2)/25)*Calculateur!DW89*Calculateur!DY89*VLOOKUP('Données projet'!$B$14,Paramètres!$A$1:$I$89,3,0)*0.475*44/12</f>
        <v>0</v>
      </c>
      <c r="EC89" s="21">
        <f>EXP(-LN(2)/2)*EC88+(1-EXP(-LN(2)/2))/(LN(2)/2)*DW89*DZ89*VLOOKUP('Données projet'!$B$14,Paramètres!$A$1:$I$89,3,0)*0.475*44/12</f>
        <v>0</v>
      </c>
      <c r="ED89" s="22">
        <f t="shared" si="72"/>
        <v>0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>
        <f>EJ89*VLOOKUP('Données projet'!$B$15,Paramètres!$A$1:$I$89,3,0)*VLOOKUP('Données projet'!$B$15,Paramètres!$A$1:$I$89,5,0)</f>
        <v>0</v>
      </c>
      <c r="EL89" s="13" t="e">
        <f t="shared" si="99"/>
        <v>#NUM!</v>
      </c>
      <c r="EM89" s="20" t="e">
        <f t="shared" si="73"/>
        <v>#NUM!</v>
      </c>
      <c r="EN89" s="59" t="e">
        <f t="shared" si="74"/>
        <v>#NUM!</v>
      </c>
      <c r="EO89" s="59">
        <f ca="1">AVERAGE(OFFSET($EN$3,0,0,'Données projet'!$E$15+1,1))-AVERAGE(OFFSET($H$3,0,0,'Données projet'!$E$15+1,1))</f>
        <v>0</v>
      </c>
      <c r="EP89" s="59">
        <f t="shared" si="100"/>
        <v>0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>
        <f>EXP(-LN(2)/35)*EV88+(1-EXP(-LN(2)/35))/(LN(2)/35)*ER89*ES89*VLOOKUP('Données projet'!$B$15,Paramètres!$A$1:$I$89,3,0)*0.475*44/12</f>
        <v>0</v>
      </c>
      <c r="EW89" s="21">
        <f>EXP(-LN(2)/25)*EW88+(1-EXP(-LN(2)/25))/(LN(2)/25)*Calculateur!ER89*Calculateur!ET89*VLOOKUP('Données projet'!$B$15,Paramètres!$A$1:$I$89,3,0)*0.475*44/12</f>
        <v>0</v>
      </c>
      <c r="EX89" s="21">
        <f>EXP(-LN(2)/2)*EX88+(1-EXP(-LN(2)/2))/(LN(2)/2)*ER89*EU89*VLOOKUP('Données projet'!$B$15,Paramètres!$A$1:$I$89,3,0)*0.475*44/12</f>
        <v>0</v>
      </c>
      <c r="EY89" s="22">
        <f t="shared" si="75"/>
        <v>0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>
        <f>FE89*VLOOKUP('Données projet'!$B$16,Paramètres!$A$1:$I$89,3,0)*VLOOKUP('Données projet'!$B$16,Paramètres!$A$1:$I$89,5,0)</f>
        <v>0</v>
      </c>
      <c r="FG89" s="13" t="e">
        <f t="shared" si="101"/>
        <v>#NUM!</v>
      </c>
      <c r="FH89" s="20" t="e">
        <f t="shared" si="76"/>
        <v>#NUM!</v>
      </c>
      <c r="FI89" s="59" t="e">
        <f t="shared" si="77"/>
        <v>#NUM!</v>
      </c>
      <c r="FJ89" s="59">
        <f ca="1">AVERAGE(OFFSET($FI$3,0,0,'Données projet'!$E$16+1,1))-AVERAGE(OFFSET($H$3,0,0,'Données projet'!$E$16+1,1))</f>
        <v>0</v>
      </c>
      <c r="FK89" s="59">
        <f t="shared" si="102"/>
        <v>0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>
        <f>EXP(-LN(2)/35)*FQ88+(1-EXP(-LN(2)/35))/(LN(2)/35)*FM89*FN89*VLOOKUP('Données projet'!$B$16,Paramètres!$A$1:$I$89,3,0)*0.475*44/12</f>
        <v>0</v>
      </c>
      <c r="FR89" s="21">
        <f>EXP(-LN(2)/25)*FR88+(1-EXP(-LN(2)/25))/(LN(2)/25)*Calculateur!FM89*Calculateur!FO89*VLOOKUP('Données projet'!$B$16,Paramètres!$A$1:$I$89,3,0)*0.475*44/12</f>
        <v>0</v>
      </c>
      <c r="FS89" s="21">
        <f>EXP(-LN(2)/2)*FS88+(1-EXP(-LN(2)/2))/(LN(2)/2)*FM89*FP89*VLOOKUP('Données projet'!$B$16,Paramètres!$A$1:$I$89,3,0)*0.475*44/12</f>
        <v>0</v>
      </c>
      <c r="FT89" s="22">
        <f t="shared" si="78"/>
        <v>0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56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186.90544184210381</v>
      </c>
      <c r="T90" s="59">
        <f t="shared" si="88"/>
        <v>202.05988514450519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69.710189317465691</v>
      </c>
      <c r="AA90" s="21">
        <f>EXP(-LN(2)/25)*AA89+(1-EXP(-LN(2)/25))/(LN(2)/25)*Calculateur!V90*Calculateur!X90*VLOOKUP('Données projet'!$B$9,Paramètres!$A$1:$I$89,3,0)*0.475*44/12</f>
        <v>10.335607723039196</v>
      </c>
      <c r="AB90" s="21">
        <f>EXP(-LN(2)/2)*AB89+(1-EXP(-LN(2)/2))/(LN(2)/2)*V90*Y90*VLOOKUP('Données projet'!$B$9,Paramètres!$A$1:$I$89,3,0)*0.475*44/12</f>
        <v>3.7136729185840689E-3</v>
      </c>
      <c r="AC90" s="22">
        <f t="shared" si="57"/>
        <v>80.049510713423459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>
        <f>AI90*VLOOKUP('Données projet'!$B$10,Paramètres!$A$1:$I$89,3,0)*VLOOKUP('Données projet'!$B$10,Paramètres!$A$1:$I$89,5,0)</f>
        <v>0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186.90544184210381</v>
      </c>
      <c r="AO90" s="59">
        <f t="shared" si="90"/>
        <v>202.05988514450519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69.710189317465691</v>
      </c>
      <c r="AV90" s="21">
        <f>EXP(-LN(2)/25)*AV89+(1-EXP(-LN(2)/25))/(LN(2)/25)*Calculateur!AQ90*Calculateur!AS90*VLOOKUP('Données projet'!$B$10,Paramètres!$A$1:$I$89,3,0)*0.475*44/12</f>
        <v>10.335607723039196</v>
      </c>
      <c r="AW90" s="21">
        <f>EXP(-LN(2)/2)*AW89+(1-EXP(-LN(2)/2))/(LN(2)/2)*AQ90*AT90*VLOOKUP('Données projet'!$B$10,Paramètres!$A$1:$I$89,3,0)*0.475*44/12</f>
        <v>3.7136729185840689E-3</v>
      </c>
      <c r="AX90" s="21">
        <f t="shared" si="60"/>
        <v>80.049510713423459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-2.8421709430404007E-14</v>
      </c>
      <c r="BE90" s="13">
        <f>BD90*VLOOKUP('Données projet'!$B$11,Paramètres!$A$1:$I$89,3,0)*VLOOKUP('Données projet'!$B$11,Paramètres!$A$1:$I$89,5,0)</f>
        <v>-2.3055690689943732E-14</v>
      </c>
      <c r="BF90" s="13" t="e">
        <f t="shared" si="91"/>
        <v>#NUM!</v>
      </c>
      <c r="BG90" s="20" t="e">
        <f t="shared" si="61"/>
        <v>#NUM!</v>
      </c>
      <c r="BH90" s="59" t="e">
        <f t="shared" si="62"/>
        <v>#NUM!</v>
      </c>
      <c r="BI90" s="59">
        <f ca="1">AVERAGE(OFFSET($BH$3,0,0,'Données projet'!$E$11+1,1))-AVERAGE(OFFSET($H$3,0,0,'Données projet'!$E$11+1,1))</f>
        <v>5.8584049049231908</v>
      </c>
      <c r="BJ90" s="59">
        <f t="shared" si="92"/>
        <v>42.266833200216638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8.7342263120380154E-7</v>
      </c>
      <c r="BS90" s="22">
        <f t="shared" si="63"/>
        <v>8.7342263120380154E-7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>
        <f>BY90*VLOOKUP('Données projet'!$B$12,Paramètres!$A$1:$I$89,3,0)*VLOOKUP('Données projet'!$B$12,Paramètres!$A$1:$I$89,5,0)</f>
        <v>0</v>
      </c>
      <c r="CA90" s="13" t="e">
        <f t="shared" si="93"/>
        <v>#NUM!</v>
      </c>
      <c r="CB90" s="20" t="e">
        <f t="shared" si="64"/>
        <v>#NUM!</v>
      </c>
      <c r="CC90" s="59" t="e">
        <f t="shared" si="65"/>
        <v>#NUM!</v>
      </c>
      <c r="CD90" s="59">
        <f ca="1">AVERAGE(OFFSET($CC$3,0,0,'Données projet'!$E$12+1,1))-AVERAGE(OFFSET($H$3,0,0,'Données projet'!$E$12+1,1))</f>
        <v>0</v>
      </c>
      <c r="CE90" s="59">
        <f t="shared" si="94"/>
        <v>0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0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0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>
        <f>CT90*VLOOKUP('Données projet'!$B$13,Paramètres!$A$1:$I$89,3,0)*VLOOKUP('Données projet'!$B$13,Paramètres!$A$1:$I$89,5,0)</f>
        <v>0</v>
      </c>
      <c r="CV90" s="13" t="e">
        <f t="shared" si="95"/>
        <v>#NUM!</v>
      </c>
      <c r="CW90" s="20" t="e">
        <f t="shared" si="67"/>
        <v>#NUM!</v>
      </c>
      <c r="CX90" s="59" t="e">
        <f t="shared" si="68"/>
        <v>#NUM!</v>
      </c>
      <c r="CY90" s="59">
        <f ca="1">AVERAGE(OFFSET($CX$3,0,0,'Données projet'!$E$13+1,1))-AVERAGE(OFFSET($H$3,0,0,'Données projet'!$E$13+1,1))</f>
        <v>0</v>
      </c>
      <c r="CZ90" s="59">
        <f t="shared" si="96"/>
        <v>0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0</v>
      </c>
      <c r="DG90" s="21">
        <f>EXP(-LN(2)/25)*DG89+(1-EXP(-LN(2)/25))/(LN(2)/25)*Calculateur!DB90*Calculateur!DD90*VLOOKUP('Données projet'!$B$13,Paramètres!$A$1:$I$89,3,0)*0.475*44/12</f>
        <v>0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0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>
        <f>DO90*VLOOKUP('Données projet'!$B$14,Paramètres!$A$1:$I$89,3,0)*VLOOKUP('Données projet'!$B$14,Paramètres!$A$1:$I$89,5,0)</f>
        <v>0</v>
      </c>
      <c r="DQ90" s="13" t="e">
        <f t="shared" si="97"/>
        <v>#NUM!</v>
      </c>
      <c r="DR90" s="20" t="e">
        <f t="shared" si="70"/>
        <v>#NUM!</v>
      </c>
      <c r="DS90" s="59" t="e">
        <f t="shared" si="71"/>
        <v>#NUM!</v>
      </c>
      <c r="DT90" s="59">
        <f ca="1">AVERAGE(OFFSET($DS$3,0,0,'Données projet'!$E$14+1,1))-AVERAGE(OFFSET($H$3,0,0,'Données projet'!$E$14+1,1))</f>
        <v>0</v>
      </c>
      <c r="DU90" s="59">
        <f t="shared" si="98"/>
        <v>0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0</v>
      </c>
      <c r="EB90" s="21">
        <f>EXP(-LN(2)/25)*EB89+(1-EXP(-LN(2)/25))/(LN(2)/25)*Calculateur!DW90*Calculateur!DY90*VLOOKUP('Données projet'!$B$14,Paramètres!$A$1:$I$89,3,0)*0.475*44/12</f>
        <v>0</v>
      </c>
      <c r="EC90" s="21">
        <f>EXP(-LN(2)/2)*EC89+(1-EXP(-LN(2)/2))/(LN(2)/2)*DW90*DZ90*VLOOKUP('Données projet'!$B$14,Paramètres!$A$1:$I$89,3,0)*0.475*44/12</f>
        <v>0</v>
      </c>
      <c r="ED90" s="22">
        <f t="shared" si="72"/>
        <v>0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>
        <f>EJ90*VLOOKUP('Données projet'!$B$15,Paramètres!$A$1:$I$89,3,0)*VLOOKUP('Données projet'!$B$15,Paramètres!$A$1:$I$89,5,0)</f>
        <v>0</v>
      </c>
      <c r="EL90" s="13" t="e">
        <f t="shared" si="99"/>
        <v>#NUM!</v>
      </c>
      <c r="EM90" s="20" t="e">
        <f t="shared" si="73"/>
        <v>#NUM!</v>
      </c>
      <c r="EN90" s="59" t="e">
        <f t="shared" si="74"/>
        <v>#NUM!</v>
      </c>
      <c r="EO90" s="59">
        <f ca="1">AVERAGE(OFFSET($EN$3,0,0,'Données projet'!$E$15+1,1))-AVERAGE(OFFSET($H$3,0,0,'Données projet'!$E$15+1,1))</f>
        <v>0</v>
      </c>
      <c r="EP90" s="59">
        <f t="shared" si="100"/>
        <v>0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>
        <f>EXP(-LN(2)/35)*EV89+(1-EXP(-LN(2)/35))/(LN(2)/35)*ER90*ES90*VLOOKUP('Données projet'!$B$15,Paramètres!$A$1:$I$89,3,0)*0.475*44/12</f>
        <v>0</v>
      </c>
      <c r="EW90" s="21">
        <f>EXP(-LN(2)/25)*EW89+(1-EXP(-LN(2)/25))/(LN(2)/25)*Calculateur!ER90*Calculateur!ET90*VLOOKUP('Données projet'!$B$15,Paramètres!$A$1:$I$89,3,0)*0.475*44/12</f>
        <v>0</v>
      </c>
      <c r="EX90" s="21">
        <f>EXP(-LN(2)/2)*EX89+(1-EXP(-LN(2)/2))/(LN(2)/2)*ER90*EU90*VLOOKUP('Données projet'!$B$15,Paramètres!$A$1:$I$89,3,0)*0.475*44/12</f>
        <v>0</v>
      </c>
      <c r="EY90" s="22">
        <f t="shared" si="75"/>
        <v>0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>
        <f>FE90*VLOOKUP('Données projet'!$B$16,Paramètres!$A$1:$I$89,3,0)*VLOOKUP('Données projet'!$B$16,Paramètres!$A$1:$I$89,5,0)</f>
        <v>0</v>
      </c>
      <c r="FG90" s="13" t="e">
        <f t="shared" si="101"/>
        <v>#NUM!</v>
      </c>
      <c r="FH90" s="20" t="e">
        <f t="shared" si="76"/>
        <v>#NUM!</v>
      </c>
      <c r="FI90" s="59" t="e">
        <f t="shared" si="77"/>
        <v>#NUM!</v>
      </c>
      <c r="FJ90" s="59">
        <f ca="1">AVERAGE(OFFSET($FI$3,0,0,'Données projet'!$E$16+1,1))-AVERAGE(OFFSET($H$3,0,0,'Données projet'!$E$16+1,1))</f>
        <v>0</v>
      </c>
      <c r="FK90" s="59">
        <f t="shared" si="102"/>
        <v>0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>
        <f>EXP(-LN(2)/35)*FQ89+(1-EXP(-LN(2)/35))/(LN(2)/35)*FM90*FN90*VLOOKUP('Données projet'!$B$16,Paramètres!$A$1:$I$89,3,0)*0.475*44/12</f>
        <v>0</v>
      </c>
      <c r="FR90" s="21">
        <f>EXP(-LN(2)/25)*FR89+(1-EXP(-LN(2)/25))/(LN(2)/25)*Calculateur!FM90*Calculateur!FO90*VLOOKUP('Données projet'!$B$16,Paramètres!$A$1:$I$89,3,0)*0.475*44/12</f>
        <v>0</v>
      </c>
      <c r="FS90" s="21">
        <f>EXP(-LN(2)/2)*FS89+(1-EXP(-LN(2)/2))/(LN(2)/2)*FM90*FP90*VLOOKUP('Données projet'!$B$16,Paramètres!$A$1:$I$89,3,0)*0.475*44/12</f>
        <v>0</v>
      </c>
      <c r="FT90" s="22">
        <f t="shared" si="78"/>
        <v>0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56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186.90544184210381</v>
      </c>
      <c r="T91" s="59">
        <f t="shared" si="88"/>
        <v>202.05988514450519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68.343215023967275</v>
      </c>
      <c r="AA91" s="21">
        <f>EXP(-LN(2)/25)*AA90+(1-EXP(-LN(2)/25))/(LN(2)/25)*Calculateur!V91*Calculateur!X91*VLOOKUP('Données projet'!$B$9,Paramètres!$A$1:$I$89,3,0)*0.475*44/12</f>
        <v>10.052979986326701</v>
      </c>
      <c r="AB91" s="21">
        <f>EXP(-LN(2)/2)*AB90+(1-EXP(-LN(2)/2))/(LN(2)/2)*V91*Y91*VLOOKUP('Données projet'!$B$9,Paramètres!$A$1:$I$89,3,0)*0.475*44/12</f>
        <v>2.6259633038396325E-3</v>
      </c>
      <c r="AC91" s="22">
        <f t="shared" si="57"/>
        <v>78.398820973597822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>
        <f>AI91*VLOOKUP('Données projet'!$B$10,Paramètres!$A$1:$I$89,3,0)*VLOOKUP('Données projet'!$B$10,Paramètres!$A$1:$I$89,5,0)</f>
        <v>0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186.90544184210381</v>
      </c>
      <c r="AO91" s="59">
        <f t="shared" si="90"/>
        <v>202.05988514450519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68.343215023967275</v>
      </c>
      <c r="AV91" s="21">
        <f>EXP(-LN(2)/25)*AV90+(1-EXP(-LN(2)/25))/(LN(2)/25)*Calculateur!AQ91*Calculateur!AS91*VLOOKUP('Données projet'!$B$10,Paramètres!$A$1:$I$89,3,0)*0.475*44/12</f>
        <v>10.052979986326701</v>
      </c>
      <c r="AW91" s="21">
        <f>EXP(-LN(2)/2)*AW90+(1-EXP(-LN(2)/2))/(LN(2)/2)*AQ91*AT91*VLOOKUP('Données projet'!$B$10,Paramètres!$A$1:$I$89,3,0)*0.475*44/12</f>
        <v>2.6259633038396325E-3</v>
      </c>
      <c r="AX91" s="21">
        <f t="shared" si="60"/>
        <v>78.398820973597822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-2.8421709430404007E-14</v>
      </c>
      <c r="BE91" s="13">
        <f>BD91*VLOOKUP('Données projet'!$B$11,Paramètres!$A$1:$I$89,3,0)*VLOOKUP('Données projet'!$B$11,Paramètres!$A$1:$I$89,5,0)</f>
        <v>-2.3055690689943732E-14</v>
      </c>
      <c r="BF91" s="13" t="e">
        <f t="shared" si="91"/>
        <v>#NUM!</v>
      </c>
      <c r="BG91" s="20" t="e">
        <f t="shared" si="61"/>
        <v>#NUM!</v>
      </c>
      <c r="BH91" s="59" t="e">
        <f t="shared" si="62"/>
        <v>#NUM!</v>
      </c>
      <c r="BI91" s="59">
        <f ca="1">AVERAGE(OFFSET($BH$3,0,0,'Données projet'!$E$11+1,1))-AVERAGE(OFFSET($H$3,0,0,'Données projet'!$E$11+1,1))</f>
        <v>5.8584049049231908</v>
      </c>
      <c r="BJ91" s="59">
        <f t="shared" si="92"/>
        <v>42.266833200216638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6.1760306536600508E-7</v>
      </c>
      <c r="BS91" s="22">
        <f t="shared" si="63"/>
        <v>6.1760306536600508E-7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>
        <f>BY91*VLOOKUP('Données projet'!$B$12,Paramètres!$A$1:$I$89,3,0)*VLOOKUP('Données projet'!$B$12,Paramètres!$A$1:$I$89,5,0)</f>
        <v>0</v>
      </c>
      <c r="CA91" s="13" t="e">
        <f t="shared" si="93"/>
        <v>#NUM!</v>
      </c>
      <c r="CB91" s="20" t="e">
        <f t="shared" si="64"/>
        <v>#NUM!</v>
      </c>
      <c r="CC91" s="59" t="e">
        <f t="shared" si="65"/>
        <v>#NUM!</v>
      </c>
      <c r="CD91" s="59">
        <f ca="1">AVERAGE(OFFSET($CC$3,0,0,'Données projet'!$E$12+1,1))-AVERAGE(OFFSET($H$3,0,0,'Données projet'!$E$12+1,1))</f>
        <v>0</v>
      </c>
      <c r="CE91" s="59">
        <f t="shared" si="94"/>
        <v>0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0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>
        <f>CT91*VLOOKUP('Données projet'!$B$13,Paramètres!$A$1:$I$89,3,0)*VLOOKUP('Données projet'!$B$13,Paramètres!$A$1:$I$89,5,0)</f>
        <v>0</v>
      </c>
      <c r="CV91" s="13" t="e">
        <f t="shared" si="95"/>
        <v>#NUM!</v>
      </c>
      <c r="CW91" s="20" t="e">
        <f t="shared" si="67"/>
        <v>#NUM!</v>
      </c>
      <c r="CX91" s="59" t="e">
        <f t="shared" si="68"/>
        <v>#NUM!</v>
      </c>
      <c r="CY91" s="59">
        <f ca="1">AVERAGE(OFFSET($CX$3,0,0,'Données projet'!$E$13+1,1))-AVERAGE(OFFSET($H$3,0,0,'Données projet'!$E$13+1,1))</f>
        <v>0</v>
      </c>
      <c r="CZ91" s="59">
        <f t="shared" si="96"/>
        <v>0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0</v>
      </c>
      <c r="DG91" s="21">
        <f>EXP(-LN(2)/25)*DG90+(1-EXP(-LN(2)/25))/(LN(2)/25)*Calculateur!DB91*Calculateur!DD91*VLOOKUP('Données projet'!$B$13,Paramètres!$A$1:$I$89,3,0)*0.475*44/12</f>
        <v>0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0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>
        <f>DO91*VLOOKUP('Données projet'!$B$14,Paramètres!$A$1:$I$89,3,0)*VLOOKUP('Données projet'!$B$14,Paramètres!$A$1:$I$89,5,0)</f>
        <v>0</v>
      </c>
      <c r="DQ91" s="13" t="e">
        <f t="shared" si="97"/>
        <v>#NUM!</v>
      </c>
      <c r="DR91" s="20" t="e">
        <f t="shared" si="70"/>
        <v>#NUM!</v>
      </c>
      <c r="DS91" s="59" t="e">
        <f t="shared" si="71"/>
        <v>#NUM!</v>
      </c>
      <c r="DT91" s="59">
        <f ca="1">AVERAGE(OFFSET($DS$3,0,0,'Données projet'!$E$14+1,1))-AVERAGE(OFFSET($H$3,0,0,'Données projet'!$E$14+1,1))</f>
        <v>0</v>
      </c>
      <c r="DU91" s="59">
        <f t="shared" si="98"/>
        <v>0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0</v>
      </c>
      <c r="EB91" s="21">
        <f>EXP(-LN(2)/25)*EB90+(1-EXP(-LN(2)/25))/(LN(2)/25)*Calculateur!DW91*Calculateur!DY91*VLOOKUP('Données projet'!$B$14,Paramètres!$A$1:$I$89,3,0)*0.475*44/12</f>
        <v>0</v>
      </c>
      <c r="EC91" s="21">
        <f>EXP(-LN(2)/2)*EC90+(1-EXP(-LN(2)/2))/(LN(2)/2)*DW91*DZ91*VLOOKUP('Données projet'!$B$14,Paramètres!$A$1:$I$89,3,0)*0.475*44/12</f>
        <v>0</v>
      </c>
      <c r="ED91" s="22">
        <f t="shared" si="72"/>
        <v>0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>
        <f>EJ91*VLOOKUP('Données projet'!$B$15,Paramètres!$A$1:$I$89,3,0)*VLOOKUP('Données projet'!$B$15,Paramètres!$A$1:$I$89,5,0)</f>
        <v>0</v>
      </c>
      <c r="EL91" s="13" t="e">
        <f t="shared" si="99"/>
        <v>#NUM!</v>
      </c>
      <c r="EM91" s="20" t="e">
        <f t="shared" si="73"/>
        <v>#NUM!</v>
      </c>
      <c r="EN91" s="59" t="e">
        <f t="shared" si="74"/>
        <v>#NUM!</v>
      </c>
      <c r="EO91" s="59">
        <f ca="1">AVERAGE(OFFSET($EN$3,0,0,'Données projet'!$E$15+1,1))-AVERAGE(OFFSET($H$3,0,0,'Données projet'!$E$15+1,1))</f>
        <v>0</v>
      </c>
      <c r="EP91" s="59">
        <f t="shared" si="100"/>
        <v>0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>
        <f>EXP(-LN(2)/35)*EV90+(1-EXP(-LN(2)/35))/(LN(2)/35)*ER91*ES91*VLOOKUP('Données projet'!$B$15,Paramètres!$A$1:$I$89,3,0)*0.475*44/12</f>
        <v>0</v>
      </c>
      <c r="EW91" s="21">
        <f>EXP(-LN(2)/25)*EW90+(1-EXP(-LN(2)/25))/(LN(2)/25)*Calculateur!ER91*Calculateur!ET91*VLOOKUP('Données projet'!$B$15,Paramètres!$A$1:$I$89,3,0)*0.475*44/12</f>
        <v>0</v>
      </c>
      <c r="EX91" s="21">
        <f>EXP(-LN(2)/2)*EX90+(1-EXP(-LN(2)/2))/(LN(2)/2)*ER91*EU91*VLOOKUP('Données projet'!$B$15,Paramètres!$A$1:$I$89,3,0)*0.475*44/12</f>
        <v>0</v>
      </c>
      <c r="EY91" s="22">
        <f t="shared" si="75"/>
        <v>0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>
        <f>FE91*VLOOKUP('Données projet'!$B$16,Paramètres!$A$1:$I$89,3,0)*VLOOKUP('Données projet'!$B$16,Paramètres!$A$1:$I$89,5,0)</f>
        <v>0</v>
      </c>
      <c r="FG91" s="13" t="e">
        <f t="shared" si="101"/>
        <v>#NUM!</v>
      </c>
      <c r="FH91" s="20" t="e">
        <f t="shared" si="76"/>
        <v>#NUM!</v>
      </c>
      <c r="FI91" s="59" t="e">
        <f t="shared" si="77"/>
        <v>#NUM!</v>
      </c>
      <c r="FJ91" s="59">
        <f ca="1">AVERAGE(OFFSET($FI$3,0,0,'Données projet'!$E$16+1,1))-AVERAGE(OFFSET($H$3,0,0,'Données projet'!$E$16+1,1))</f>
        <v>0</v>
      </c>
      <c r="FK91" s="59">
        <f t="shared" si="102"/>
        <v>0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>
        <f>EXP(-LN(2)/35)*FQ90+(1-EXP(-LN(2)/35))/(LN(2)/35)*FM91*FN91*VLOOKUP('Données projet'!$B$16,Paramètres!$A$1:$I$89,3,0)*0.475*44/12</f>
        <v>0</v>
      </c>
      <c r="FR91" s="21">
        <f>EXP(-LN(2)/25)*FR90+(1-EXP(-LN(2)/25))/(LN(2)/25)*Calculateur!FM91*Calculateur!FO91*VLOOKUP('Données projet'!$B$16,Paramètres!$A$1:$I$89,3,0)*0.475*44/12</f>
        <v>0</v>
      </c>
      <c r="FS91" s="21">
        <f>EXP(-LN(2)/2)*FS90+(1-EXP(-LN(2)/2))/(LN(2)/2)*FM91*FP91*VLOOKUP('Données projet'!$B$16,Paramètres!$A$1:$I$89,3,0)*0.475*44/12</f>
        <v>0</v>
      </c>
      <c r="FT91" s="22">
        <f t="shared" si="78"/>
        <v>0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56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186.90544184210381</v>
      </c>
      <c r="T92" s="59">
        <f t="shared" si="88"/>
        <v>202.05988514450519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67.003046262592363</v>
      </c>
      <c r="AA92" s="21">
        <f>EXP(-LN(2)/25)*AA91+(1-EXP(-LN(2)/25))/(LN(2)/25)*Calculateur!V92*Calculateur!X92*VLOOKUP('Données projet'!$B$9,Paramètres!$A$1:$I$89,3,0)*0.475*44/12</f>
        <v>9.7780807199373569</v>
      </c>
      <c r="AB92" s="21">
        <f>EXP(-LN(2)/2)*AB91+(1-EXP(-LN(2)/2))/(LN(2)/2)*V92*Y92*VLOOKUP('Données projet'!$B$9,Paramètres!$A$1:$I$89,3,0)*0.475*44/12</f>
        <v>1.8568364592920345E-3</v>
      </c>
      <c r="AC92" s="22">
        <f t="shared" si="57"/>
        <v>76.78298381898901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>
        <f>AI92*VLOOKUP('Données projet'!$B$10,Paramètres!$A$1:$I$89,3,0)*VLOOKUP('Données projet'!$B$10,Paramètres!$A$1:$I$89,5,0)</f>
        <v>0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186.90544184210381</v>
      </c>
      <c r="AO92" s="59">
        <f t="shared" si="90"/>
        <v>202.05988514450519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67.003046262592363</v>
      </c>
      <c r="AV92" s="21">
        <f>EXP(-LN(2)/25)*AV91+(1-EXP(-LN(2)/25))/(LN(2)/25)*Calculateur!AQ92*Calculateur!AS92*VLOOKUP('Données projet'!$B$10,Paramètres!$A$1:$I$89,3,0)*0.475*44/12</f>
        <v>9.7780807199373569</v>
      </c>
      <c r="AW92" s="21">
        <f>EXP(-LN(2)/2)*AW91+(1-EXP(-LN(2)/2))/(LN(2)/2)*AQ92*AT92*VLOOKUP('Données projet'!$B$10,Paramètres!$A$1:$I$89,3,0)*0.475*44/12</f>
        <v>1.8568364592920345E-3</v>
      </c>
      <c r="AX92" s="21">
        <f t="shared" si="60"/>
        <v>76.78298381898901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-2.8421709430404007E-14</v>
      </c>
      <c r="BE92" s="13">
        <f>BD92*VLOOKUP('Données projet'!$B$11,Paramètres!$A$1:$I$89,3,0)*VLOOKUP('Données projet'!$B$11,Paramètres!$A$1:$I$89,5,0)</f>
        <v>-2.3055690689943732E-14</v>
      </c>
      <c r="BF92" s="13" t="e">
        <f t="shared" si="91"/>
        <v>#NUM!</v>
      </c>
      <c r="BG92" s="20" t="e">
        <f t="shared" si="61"/>
        <v>#NUM!</v>
      </c>
      <c r="BH92" s="59" t="e">
        <f t="shared" si="62"/>
        <v>#NUM!</v>
      </c>
      <c r="BI92" s="59">
        <f ca="1">AVERAGE(OFFSET($BH$3,0,0,'Données projet'!$E$11+1,1))-AVERAGE(OFFSET($H$3,0,0,'Données projet'!$E$11+1,1))</f>
        <v>5.8584049049231908</v>
      </c>
      <c r="BJ92" s="59">
        <f t="shared" si="92"/>
        <v>42.266833200216638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4.3671131560190077E-7</v>
      </c>
      <c r="BS92" s="22">
        <f t="shared" si="63"/>
        <v>4.3671131560190077E-7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>
        <f>BY92*VLOOKUP('Données projet'!$B$12,Paramètres!$A$1:$I$89,3,0)*VLOOKUP('Données projet'!$B$12,Paramètres!$A$1:$I$89,5,0)</f>
        <v>0</v>
      </c>
      <c r="CA92" s="13" t="e">
        <f t="shared" si="93"/>
        <v>#NUM!</v>
      </c>
      <c r="CB92" s="20" t="e">
        <f t="shared" si="64"/>
        <v>#NUM!</v>
      </c>
      <c r="CC92" s="59" t="e">
        <f t="shared" si="65"/>
        <v>#NUM!</v>
      </c>
      <c r="CD92" s="59">
        <f ca="1">AVERAGE(OFFSET($CC$3,0,0,'Données projet'!$E$12+1,1))-AVERAGE(OFFSET($H$3,0,0,'Données projet'!$E$12+1,1))</f>
        <v>0</v>
      </c>
      <c r="CE92" s="59">
        <f t="shared" si="94"/>
        <v>0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0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>
        <f>CT92*VLOOKUP('Données projet'!$B$13,Paramètres!$A$1:$I$89,3,0)*VLOOKUP('Données projet'!$B$13,Paramètres!$A$1:$I$89,5,0)</f>
        <v>0</v>
      </c>
      <c r="CV92" s="13" t="e">
        <f t="shared" si="95"/>
        <v>#NUM!</v>
      </c>
      <c r="CW92" s="20" t="e">
        <f t="shared" si="67"/>
        <v>#NUM!</v>
      </c>
      <c r="CX92" s="59" t="e">
        <f t="shared" si="68"/>
        <v>#NUM!</v>
      </c>
      <c r="CY92" s="59">
        <f ca="1">AVERAGE(OFFSET($CX$3,0,0,'Données projet'!$E$13+1,1))-AVERAGE(OFFSET($H$3,0,0,'Données projet'!$E$13+1,1))</f>
        <v>0</v>
      </c>
      <c r="CZ92" s="59">
        <f t="shared" si="96"/>
        <v>0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0</v>
      </c>
      <c r="DG92" s="21">
        <f>EXP(-LN(2)/25)*DG91+(1-EXP(-LN(2)/25))/(LN(2)/25)*Calculateur!DB92*Calculateur!DD92*VLOOKUP('Données projet'!$B$13,Paramètres!$A$1:$I$89,3,0)*0.475*44/12</f>
        <v>0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0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>
        <f>DO92*VLOOKUP('Données projet'!$B$14,Paramètres!$A$1:$I$89,3,0)*VLOOKUP('Données projet'!$B$14,Paramètres!$A$1:$I$89,5,0)</f>
        <v>0</v>
      </c>
      <c r="DQ92" s="13" t="e">
        <f t="shared" si="97"/>
        <v>#NUM!</v>
      </c>
      <c r="DR92" s="20" t="e">
        <f t="shared" si="70"/>
        <v>#NUM!</v>
      </c>
      <c r="DS92" s="59" t="e">
        <f t="shared" si="71"/>
        <v>#NUM!</v>
      </c>
      <c r="DT92" s="59">
        <f ca="1">AVERAGE(OFFSET($DS$3,0,0,'Données projet'!$E$14+1,1))-AVERAGE(OFFSET($H$3,0,0,'Données projet'!$E$14+1,1))</f>
        <v>0</v>
      </c>
      <c r="DU92" s="59">
        <f t="shared" si="98"/>
        <v>0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0</v>
      </c>
      <c r="EB92" s="21">
        <f>EXP(-LN(2)/25)*EB91+(1-EXP(-LN(2)/25))/(LN(2)/25)*Calculateur!DW92*Calculateur!DY92*VLOOKUP('Données projet'!$B$14,Paramètres!$A$1:$I$89,3,0)*0.475*44/12</f>
        <v>0</v>
      </c>
      <c r="EC92" s="21">
        <f>EXP(-LN(2)/2)*EC91+(1-EXP(-LN(2)/2))/(LN(2)/2)*DW92*DZ92*VLOOKUP('Données projet'!$B$14,Paramètres!$A$1:$I$89,3,0)*0.475*44/12</f>
        <v>0</v>
      </c>
      <c r="ED92" s="22">
        <f t="shared" si="72"/>
        <v>0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>
        <f>EJ92*VLOOKUP('Données projet'!$B$15,Paramètres!$A$1:$I$89,3,0)*VLOOKUP('Données projet'!$B$15,Paramètres!$A$1:$I$89,5,0)</f>
        <v>0</v>
      </c>
      <c r="EL92" s="13" t="e">
        <f t="shared" si="99"/>
        <v>#NUM!</v>
      </c>
      <c r="EM92" s="20" t="e">
        <f t="shared" si="73"/>
        <v>#NUM!</v>
      </c>
      <c r="EN92" s="59" t="e">
        <f t="shared" si="74"/>
        <v>#NUM!</v>
      </c>
      <c r="EO92" s="59">
        <f ca="1">AVERAGE(OFFSET($EN$3,0,0,'Données projet'!$E$15+1,1))-AVERAGE(OFFSET($H$3,0,0,'Données projet'!$E$15+1,1))</f>
        <v>0</v>
      </c>
      <c r="EP92" s="59">
        <f t="shared" si="100"/>
        <v>0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>
        <f>EXP(-LN(2)/35)*EV91+(1-EXP(-LN(2)/35))/(LN(2)/35)*ER92*ES92*VLOOKUP('Données projet'!$B$15,Paramètres!$A$1:$I$89,3,0)*0.475*44/12</f>
        <v>0</v>
      </c>
      <c r="EW92" s="21">
        <f>EXP(-LN(2)/25)*EW91+(1-EXP(-LN(2)/25))/(LN(2)/25)*Calculateur!ER92*Calculateur!ET92*VLOOKUP('Données projet'!$B$15,Paramètres!$A$1:$I$89,3,0)*0.475*44/12</f>
        <v>0</v>
      </c>
      <c r="EX92" s="21">
        <f>EXP(-LN(2)/2)*EX91+(1-EXP(-LN(2)/2))/(LN(2)/2)*ER92*EU92*VLOOKUP('Données projet'!$B$15,Paramètres!$A$1:$I$89,3,0)*0.475*44/12</f>
        <v>0</v>
      </c>
      <c r="EY92" s="22">
        <f t="shared" si="75"/>
        <v>0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>
        <f>FE92*VLOOKUP('Données projet'!$B$16,Paramètres!$A$1:$I$89,3,0)*VLOOKUP('Données projet'!$B$16,Paramètres!$A$1:$I$89,5,0)</f>
        <v>0</v>
      </c>
      <c r="FG92" s="13" t="e">
        <f t="shared" si="101"/>
        <v>#NUM!</v>
      </c>
      <c r="FH92" s="20" t="e">
        <f t="shared" si="76"/>
        <v>#NUM!</v>
      </c>
      <c r="FI92" s="59" t="e">
        <f t="shared" si="77"/>
        <v>#NUM!</v>
      </c>
      <c r="FJ92" s="59">
        <f ca="1">AVERAGE(OFFSET($FI$3,0,0,'Données projet'!$E$16+1,1))-AVERAGE(OFFSET($H$3,0,0,'Données projet'!$E$16+1,1))</f>
        <v>0</v>
      </c>
      <c r="FK92" s="59">
        <f t="shared" si="102"/>
        <v>0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>
        <f>EXP(-LN(2)/35)*FQ91+(1-EXP(-LN(2)/35))/(LN(2)/35)*FM92*FN92*VLOOKUP('Données projet'!$B$16,Paramètres!$A$1:$I$89,3,0)*0.475*44/12</f>
        <v>0</v>
      </c>
      <c r="FR92" s="21">
        <f>EXP(-LN(2)/25)*FR91+(1-EXP(-LN(2)/25))/(LN(2)/25)*Calculateur!FM92*Calculateur!FO92*VLOOKUP('Données projet'!$B$16,Paramètres!$A$1:$I$89,3,0)*0.475*44/12</f>
        <v>0</v>
      </c>
      <c r="FS92" s="21">
        <f>EXP(-LN(2)/2)*FS91+(1-EXP(-LN(2)/2))/(LN(2)/2)*FM92*FP92*VLOOKUP('Données projet'!$B$16,Paramètres!$A$1:$I$89,3,0)*0.475*44/12</f>
        <v>0</v>
      </c>
      <c r="FT92" s="22">
        <f t="shared" si="78"/>
        <v>0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56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186.90544184210381</v>
      </c>
      <c r="T93" s="59">
        <f t="shared" si="88"/>
        <v>202.05988514450519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65.68915739320579</v>
      </c>
      <c r="AA93" s="21">
        <f>EXP(-LN(2)/25)*AA92+(1-EXP(-LN(2)/25))/(LN(2)/25)*Calculateur!V93*Calculateur!X93*VLOOKUP('Données projet'!$B$9,Paramètres!$A$1:$I$89,3,0)*0.475*44/12</f>
        <v>9.5106985884437538</v>
      </c>
      <c r="AB93" s="21">
        <f>EXP(-LN(2)/2)*AB92+(1-EXP(-LN(2)/2))/(LN(2)/2)*V93*Y93*VLOOKUP('Données projet'!$B$9,Paramètres!$A$1:$I$89,3,0)*0.475*44/12</f>
        <v>1.3129816519198163E-3</v>
      </c>
      <c r="AC93" s="22">
        <f t="shared" si="57"/>
        <v>75.20116896330147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>
        <f>AI93*VLOOKUP('Données projet'!$B$10,Paramètres!$A$1:$I$89,3,0)*VLOOKUP('Données projet'!$B$10,Paramètres!$A$1:$I$89,5,0)</f>
        <v>0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186.90544184210381</v>
      </c>
      <c r="AO93" s="59">
        <f t="shared" si="90"/>
        <v>202.05988514450519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65.68915739320579</v>
      </c>
      <c r="AV93" s="21">
        <f>EXP(-LN(2)/25)*AV92+(1-EXP(-LN(2)/25))/(LN(2)/25)*Calculateur!AQ93*Calculateur!AS93*VLOOKUP('Données projet'!$B$10,Paramètres!$A$1:$I$89,3,0)*0.475*44/12</f>
        <v>9.5106985884437538</v>
      </c>
      <c r="AW93" s="21">
        <f>EXP(-LN(2)/2)*AW92+(1-EXP(-LN(2)/2))/(LN(2)/2)*AQ93*AT93*VLOOKUP('Données projet'!$B$10,Paramètres!$A$1:$I$89,3,0)*0.475*44/12</f>
        <v>1.3129816519198163E-3</v>
      </c>
      <c r="AX93" s="21">
        <f t="shared" si="60"/>
        <v>75.20116896330147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-2.8421709430404007E-14</v>
      </c>
      <c r="BE93" s="13">
        <f>BD93*VLOOKUP('Données projet'!$B$11,Paramètres!$A$1:$I$89,3,0)*VLOOKUP('Données projet'!$B$11,Paramètres!$A$1:$I$89,5,0)</f>
        <v>-2.3055690689943732E-14</v>
      </c>
      <c r="BF93" s="13" t="e">
        <f t="shared" si="91"/>
        <v>#NUM!</v>
      </c>
      <c r="BG93" s="20" t="e">
        <f t="shared" si="61"/>
        <v>#NUM!</v>
      </c>
      <c r="BH93" s="59" t="e">
        <f t="shared" si="62"/>
        <v>#NUM!</v>
      </c>
      <c r="BI93" s="59">
        <f ca="1">AVERAGE(OFFSET($BH$3,0,0,'Données projet'!$E$11+1,1))-AVERAGE(OFFSET($H$3,0,0,'Données projet'!$E$11+1,1))</f>
        <v>5.8584049049231908</v>
      </c>
      <c r="BJ93" s="59">
        <f t="shared" si="92"/>
        <v>42.266833200216638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3.0880153268300254E-7</v>
      </c>
      <c r="BS93" s="22">
        <f t="shared" si="63"/>
        <v>3.0880153268300254E-7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>
        <f>BY93*VLOOKUP('Données projet'!$B$12,Paramètres!$A$1:$I$89,3,0)*VLOOKUP('Données projet'!$B$12,Paramètres!$A$1:$I$89,5,0)</f>
        <v>0</v>
      </c>
      <c r="CA93" s="13" t="e">
        <f t="shared" si="93"/>
        <v>#NUM!</v>
      </c>
      <c r="CB93" s="20" t="e">
        <f t="shared" si="64"/>
        <v>#NUM!</v>
      </c>
      <c r="CC93" s="59" t="e">
        <f t="shared" si="65"/>
        <v>#NUM!</v>
      </c>
      <c r="CD93" s="59">
        <f ca="1">AVERAGE(OFFSET($CC$3,0,0,'Données projet'!$E$12+1,1))-AVERAGE(OFFSET($H$3,0,0,'Données projet'!$E$12+1,1))</f>
        <v>0</v>
      </c>
      <c r="CE93" s="59">
        <f t="shared" si="94"/>
        <v>0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0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>
        <f>CT93*VLOOKUP('Données projet'!$B$13,Paramètres!$A$1:$I$89,3,0)*VLOOKUP('Données projet'!$B$13,Paramètres!$A$1:$I$89,5,0)</f>
        <v>0</v>
      </c>
      <c r="CV93" s="13" t="e">
        <f t="shared" si="95"/>
        <v>#NUM!</v>
      </c>
      <c r="CW93" s="20" t="e">
        <f t="shared" si="67"/>
        <v>#NUM!</v>
      </c>
      <c r="CX93" s="59" t="e">
        <f t="shared" si="68"/>
        <v>#NUM!</v>
      </c>
      <c r="CY93" s="59">
        <f ca="1">AVERAGE(OFFSET($CX$3,0,0,'Données projet'!$E$13+1,1))-AVERAGE(OFFSET($H$3,0,0,'Données projet'!$E$13+1,1))</f>
        <v>0</v>
      </c>
      <c r="CZ93" s="59">
        <f t="shared" si="96"/>
        <v>0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</v>
      </c>
      <c r="DG93" s="21">
        <f>EXP(-LN(2)/25)*DG92+(1-EXP(-LN(2)/25))/(LN(2)/25)*Calculateur!DB93*Calculateur!DD93*VLOOKUP('Données projet'!$B$13,Paramètres!$A$1:$I$89,3,0)*0.475*44/12</f>
        <v>0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0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>
        <f>DO93*VLOOKUP('Données projet'!$B$14,Paramètres!$A$1:$I$89,3,0)*VLOOKUP('Données projet'!$B$14,Paramètres!$A$1:$I$89,5,0)</f>
        <v>0</v>
      </c>
      <c r="DQ93" s="13" t="e">
        <f t="shared" si="97"/>
        <v>#NUM!</v>
      </c>
      <c r="DR93" s="20" t="e">
        <f t="shared" si="70"/>
        <v>#NUM!</v>
      </c>
      <c r="DS93" s="59" t="e">
        <f t="shared" si="71"/>
        <v>#NUM!</v>
      </c>
      <c r="DT93" s="59">
        <f ca="1">AVERAGE(OFFSET($DS$3,0,0,'Données projet'!$E$14+1,1))-AVERAGE(OFFSET($H$3,0,0,'Données projet'!$E$14+1,1))</f>
        <v>0</v>
      </c>
      <c r="DU93" s="59">
        <f t="shared" si="98"/>
        <v>0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0</v>
      </c>
      <c r="EB93" s="21">
        <f>EXP(-LN(2)/25)*EB92+(1-EXP(-LN(2)/25))/(LN(2)/25)*Calculateur!DW93*Calculateur!DY93*VLOOKUP('Données projet'!$B$14,Paramètres!$A$1:$I$89,3,0)*0.475*44/12</f>
        <v>0</v>
      </c>
      <c r="EC93" s="21">
        <f>EXP(-LN(2)/2)*EC92+(1-EXP(-LN(2)/2))/(LN(2)/2)*DW93*DZ93*VLOOKUP('Données projet'!$B$14,Paramètres!$A$1:$I$89,3,0)*0.475*44/12</f>
        <v>0</v>
      </c>
      <c r="ED93" s="22">
        <f t="shared" si="72"/>
        <v>0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>
        <f>EJ93*VLOOKUP('Données projet'!$B$15,Paramètres!$A$1:$I$89,3,0)*VLOOKUP('Données projet'!$B$15,Paramètres!$A$1:$I$89,5,0)</f>
        <v>0</v>
      </c>
      <c r="EL93" s="13" t="e">
        <f t="shared" si="99"/>
        <v>#NUM!</v>
      </c>
      <c r="EM93" s="20" t="e">
        <f t="shared" si="73"/>
        <v>#NUM!</v>
      </c>
      <c r="EN93" s="59" t="e">
        <f t="shared" si="74"/>
        <v>#NUM!</v>
      </c>
      <c r="EO93" s="59">
        <f ca="1">AVERAGE(OFFSET($EN$3,0,0,'Données projet'!$E$15+1,1))-AVERAGE(OFFSET($H$3,0,0,'Données projet'!$E$15+1,1))</f>
        <v>0</v>
      </c>
      <c r="EP93" s="59">
        <f t="shared" si="100"/>
        <v>0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>
        <f>EXP(-LN(2)/35)*EV92+(1-EXP(-LN(2)/35))/(LN(2)/35)*ER93*ES93*VLOOKUP('Données projet'!$B$15,Paramètres!$A$1:$I$89,3,0)*0.475*44/12</f>
        <v>0</v>
      </c>
      <c r="EW93" s="21">
        <f>EXP(-LN(2)/25)*EW92+(1-EXP(-LN(2)/25))/(LN(2)/25)*Calculateur!ER93*Calculateur!ET93*VLOOKUP('Données projet'!$B$15,Paramètres!$A$1:$I$89,3,0)*0.475*44/12</f>
        <v>0</v>
      </c>
      <c r="EX93" s="21">
        <f>EXP(-LN(2)/2)*EX92+(1-EXP(-LN(2)/2))/(LN(2)/2)*ER93*EU93*VLOOKUP('Données projet'!$B$15,Paramètres!$A$1:$I$89,3,0)*0.475*44/12</f>
        <v>0</v>
      </c>
      <c r="EY93" s="22">
        <f t="shared" si="75"/>
        <v>0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>
        <f>FE93*VLOOKUP('Données projet'!$B$16,Paramètres!$A$1:$I$89,3,0)*VLOOKUP('Données projet'!$B$16,Paramètres!$A$1:$I$89,5,0)</f>
        <v>0</v>
      </c>
      <c r="FG93" s="13" t="e">
        <f t="shared" si="101"/>
        <v>#NUM!</v>
      </c>
      <c r="FH93" s="20" t="e">
        <f t="shared" si="76"/>
        <v>#NUM!</v>
      </c>
      <c r="FI93" s="59" t="e">
        <f t="shared" si="77"/>
        <v>#NUM!</v>
      </c>
      <c r="FJ93" s="59">
        <f ca="1">AVERAGE(OFFSET($FI$3,0,0,'Données projet'!$E$16+1,1))-AVERAGE(OFFSET($H$3,0,0,'Données projet'!$E$16+1,1))</f>
        <v>0</v>
      </c>
      <c r="FK93" s="59">
        <f t="shared" si="102"/>
        <v>0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>
        <f>EXP(-LN(2)/35)*FQ92+(1-EXP(-LN(2)/35))/(LN(2)/35)*FM93*FN93*VLOOKUP('Données projet'!$B$16,Paramètres!$A$1:$I$89,3,0)*0.475*44/12</f>
        <v>0</v>
      </c>
      <c r="FR93" s="21">
        <f>EXP(-LN(2)/25)*FR92+(1-EXP(-LN(2)/25))/(LN(2)/25)*Calculateur!FM93*Calculateur!FO93*VLOOKUP('Données projet'!$B$16,Paramètres!$A$1:$I$89,3,0)*0.475*44/12</f>
        <v>0</v>
      </c>
      <c r="FS93" s="21">
        <f>EXP(-LN(2)/2)*FS92+(1-EXP(-LN(2)/2))/(LN(2)/2)*FM93*FP93*VLOOKUP('Données projet'!$B$16,Paramètres!$A$1:$I$89,3,0)*0.475*44/12</f>
        <v>0</v>
      </c>
      <c r="FT93" s="22">
        <f t="shared" si="78"/>
        <v>0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56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186.90544184210381</v>
      </c>
      <c r="T94" s="59">
        <f t="shared" si="88"/>
        <v>202.05988514450519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64.4010330831548</v>
      </c>
      <c r="AA94" s="21">
        <f>EXP(-LN(2)/25)*AA93+(1-EXP(-LN(2)/25))/(LN(2)/25)*Calculateur!V94*Calculateur!X94*VLOOKUP('Données projet'!$B$9,Paramètres!$A$1:$I$89,3,0)*0.475*44/12</f>
        <v>9.2506280353968577</v>
      </c>
      <c r="AB94" s="21">
        <f>EXP(-LN(2)/2)*AB93+(1-EXP(-LN(2)/2))/(LN(2)/2)*V94*Y94*VLOOKUP('Données projet'!$B$9,Paramètres!$A$1:$I$89,3,0)*0.475*44/12</f>
        <v>9.2841822964601724E-4</v>
      </c>
      <c r="AC94" s="22">
        <f t="shared" si="57"/>
        <v>73.652589536781306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>
        <f>AI94*VLOOKUP('Données projet'!$B$10,Paramètres!$A$1:$I$89,3,0)*VLOOKUP('Données projet'!$B$10,Paramètres!$A$1:$I$89,5,0)</f>
        <v>0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186.90544184210381</v>
      </c>
      <c r="AO94" s="59">
        <f t="shared" si="90"/>
        <v>202.05988514450519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64.4010330831548</v>
      </c>
      <c r="AV94" s="21">
        <f>EXP(-LN(2)/25)*AV93+(1-EXP(-LN(2)/25))/(LN(2)/25)*Calculateur!AQ94*Calculateur!AS94*VLOOKUP('Données projet'!$B$10,Paramètres!$A$1:$I$89,3,0)*0.475*44/12</f>
        <v>9.2506280353968577</v>
      </c>
      <c r="AW94" s="21">
        <f>EXP(-LN(2)/2)*AW93+(1-EXP(-LN(2)/2))/(LN(2)/2)*AQ94*AT94*VLOOKUP('Données projet'!$B$10,Paramètres!$A$1:$I$89,3,0)*0.475*44/12</f>
        <v>9.2841822964601724E-4</v>
      </c>
      <c r="AX94" s="21">
        <f t="shared" si="60"/>
        <v>73.652589536781306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-2.8421709430404007E-14</v>
      </c>
      <c r="BE94" s="13">
        <f>BD94*VLOOKUP('Données projet'!$B$11,Paramètres!$A$1:$I$89,3,0)*VLOOKUP('Données projet'!$B$11,Paramètres!$A$1:$I$89,5,0)</f>
        <v>-2.3055690689943732E-14</v>
      </c>
      <c r="BF94" s="13" t="e">
        <f t="shared" si="91"/>
        <v>#NUM!</v>
      </c>
      <c r="BG94" s="20" t="e">
        <f t="shared" si="61"/>
        <v>#NUM!</v>
      </c>
      <c r="BH94" s="59" t="e">
        <f t="shared" si="62"/>
        <v>#NUM!</v>
      </c>
      <c r="BI94" s="59">
        <f ca="1">AVERAGE(OFFSET($BH$3,0,0,'Données projet'!$E$11+1,1))-AVERAGE(OFFSET($H$3,0,0,'Données projet'!$E$11+1,1))</f>
        <v>5.8584049049231908</v>
      </c>
      <c r="BJ94" s="59">
        <f t="shared" si="92"/>
        <v>42.266833200216638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2.1835565780095038E-7</v>
      </c>
      <c r="BS94" s="22">
        <f t="shared" si="63"/>
        <v>2.1835565780095038E-7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>
        <f>BY94*VLOOKUP('Données projet'!$B$12,Paramètres!$A$1:$I$89,3,0)*VLOOKUP('Données projet'!$B$12,Paramètres!$A$1:$I$89,5,0)</f>
        <v>0</v>
      </c>
      <c r="CA94" s="13" t="e">
        <f t="shared" si="93"/>
        <v>#NUM!</v>
      </c>
      <c r="CB94" s="20" t="e">
        <f t="shared" si="64"/>
        <v>#NUM!</v>
      </c>
      <c r="CC94" s="59" t="e">
        <f t="shared" si="65"/>
        <v>#NUM!</v>
      </c>
      <c r="CD94" s="59">
        <f ca="1">AVERAGE(OFFSET($CC$3,0,0,'Données projet'!$E$12+1,1))-AVERAGE(OFFSET($H$3,0,0,'Données projet'!$E$12+1,1))</f>
        <v>0</v>
      </c>
      <c r="CE94" s="59">
        <f t="shared" si="94"/>
        <v>0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0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>
        <f>CT94*VLOOKUP('Données projet'!$B$13,Paramètres!$A$1:$I$89,3,0)*VLOOKUP('Données projet'!$B$13,Paramètres!$A$1:$I$89,5,0)</f>
        <v>0</v>
      </c>
      <c r="CV94" s="13" t="e">
        <f t="shared" si="95"/>
        <v>#NUM!</v>
      </c>
      <c r="CW94" s="20" t="e">
        <f t="shared" si="67"/>
        <v>#NUM!</v>
      </c>
      <c r="CX94" s="59" t="e">
        <f t="shared" si="68"/>
        <v>#NUM!</v>
      </c>
      <c r="CY94" s="59">
        <f ca="1">AVERAGE(OFFSET($CX$3,0,0,'Données projet'!$E$13+1,1))-AVERAGE(OFFSET($H$3,0,0,'Données projet'!$E$13+1,1))</f>
        <v>0</v>
      </c>
      <c r="CZ94" s="59">
        <f t="shared" si="96"/>
        <v>0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</v>
      </c>
      <c r="DG94" s="21">
        <f>EXP(-LN(2)/25)*DG93+(1-EXP(-LN(2)/25))/(LN(2)/25)*Calculateur!DB94*Calculateur!DD94*VLOOKUP('Données projet'!$B$13,Paramètres!$A$1:$I$89,3,0)*0.475*44/12</f>
        <v>0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0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>
        <f>DO94*VLOOKUP('Données projet'!$B$14,Paramètres!$A$1:$I$89,3,0)*VLOOKUP('Données projet'!$B$14,Paramètres!$A$1:$I$89,5,0)</f>
        <v>0</v>
      </c>
      <c r="DQ94" s="13" t="e">
        <f t="shared" si="97"/>
        <v>#NUM!</v>
      </c>
      <c r="DR94" s="20" t="e">
        <f t="shared" si="70"/>
        <v>#NUM!</v>
      </c>
      <c r="DS94" s="59" t="e">
        <f t="shared" si="71"/>
        <v>#NUM!</v>
      </c>
      <c r="DT94" s="59">
        <f ca="1">AVERAGE(OFFSET($DS$3,0,0,'Données projet'!$E$14+1,1))-AVERAGE(OFFSET($H$3,0,0,'Données projet'!$E$14+1,1))</f>
        <v>0</v>
      </c>
      <c r="DU94" s="59">
        <f t="shared" si="98"/>
        <v>0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0</v>
      </c>
      <c r="EB94" s="21">
        <f>EXP(-LN(2)/25)*EB93+(1-EXP(-LN(2)/25))/(LN(2)/25)*Calculateur!DW94*Calculateur!DY94*VLOOKUP('Données projet'!$B$14,Paramètres!$A$1:$I$89,3,0)*0.475*44/12</f>
        <v>0</v>
      </c>
      <c r="EC94" s="21">
        <f>EXP(-LN(2)/2)*EC93+(1-EXP(-LN(2)/2))/(LN(2)/2)*DW94*DZ94*VLOOKUP('Données projet'!$B$14,Paramètres!$A$1:$I$89,3,0)*0.475*44/12</f>
        <v>0</v>
      </c>
      <c r="ED94" s="22">
        <f t="shared" si="72"/>
        <v>0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>
        <f>EJ94*VLOOKUP('Données projet'!$B$15,Paramètres!$A$1:$I$89,3,0)*VLOOKUP('Données projet'!$B$15,Paramètres!$A$1:$I$89,5,0)</f>
        <v>0</v>
      </c>
      <c r="EL94" s="13" t="e">
        <f t="shared" si="99"/>
        <v>#NUM!</v>
      </c>
      <c r="EM94" s="20" t="e">
        <f t="shared" si="73"/>
        <v>#NUM!</v>
      </c>
      <c r="EN94" s="59" t="e">
        <f t="shared" si="74"/>
        <v>#NUM!</v>
      </c>
      <c r="EO94" s="59">
        <f ca="1">AVERAGE(OFFSET($EN$3,0,0,'Données projet'!$E$15+1,1))-AVERAGE(OFFSET($H$3,0,0,'Données projet'!$E$15+1,1))</f>
        <v>0</v>
      </c>
      <c r="EP94" s="59">
        <f t="shared" si="100"/>
        <v>0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>
        <f>EXP(-LN(2)/35)*EV93+(1-EXP(-LN(2)/35))/(LN(2)/35)*ER94*ES94*VLOOKUP('Données projet'!$B$15,Paramètres!$A$1:$I$89,3,0)*0.475*44/12</f>
        <v>0</v>
      </c>
      <c r="EW94" s="21">
        <f>EXP(-LN(2)/25)*EW93+(1-EXP(-LN(2)/25))/(LN(2)/25)*Calculateur!ER94*Calculateur!ET94*VLOOKUP('Données projet'!$B$15,Paramètres!$A$1:$I$89,3,0)*0.475*44/12</f>
        <v>0</v>
      </c>
      <c r="EX94" s="21">
        <f>EXP(-LN(2)/2)*EX93+(1-EXP(-LN(2)/2))/(LN(2)/2)*ER94*EU94*VLOOKUP('Données projet'!$B$15,Paramètres!$A$1:$I$89,3,0)*0.475*44/12</f>
        <v>0</v>
      </c>
      <c r="EY94" s="22">
        <f t="shared" si="75"/>
        <v>0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>
        <f>FE94*VLOOKUP('Données projet'!$B$16,Paramètres!$A$1:$I$89,3,0)*VLOOKUP('Données projet'!$B$16,Paramètres!$A$1:$I$89,5,0)</f>
        <v>0</v>
      </c>
      <c r="FG94" s="13" t="e">
        <f t="shared" si="101"/>
        <v>#NUM!</v>
      </c>
      <c r="FH94" s="20" t="e">
        <f t="shared" si="76"/>
        <v>#NUM!</v>
      </c>
      <c r="FI94" s="59" t="e">
        <f t="shared" si="77"/>
        <v>#NUM!</v>
      </c>
      <c r="FJ94" s="59">
        <f ca="1">AVERAGE(OFFSET($FI$3,0,0,'Données projet'!$E$16+1,1))-AVERAGE(OFFSET($H$3,0,0,'Données projet'!$E$16+1,1))</f>
        <v>0</v>
      </c>
      <c r="FK94" s="59">
        <f t="shared" si="102"/>
        <v>0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>
        <f>EXP(-LN(2)/35)*FQ93+(1-EXP(-LN(2)/35))/(LN(2)/35)*FM94*FN94*VLOOKUP('Données projet'!$B$16,Paramètres!$A$1:$I$89,3,0)*0.475*44/12</f>
        <v>0</v>
      </c>
      <c r="FR94" s="21">
        <f>EXP(-LN(2)/25)*FR93+(1-EXP(-LN(2)/25))/(LN(2)/25)*Calculateur!FM94*Calculateur!FO94*VLOOKUP('Données projet'!$B$16,Paramètres!$A$1:$I$89,3,0)*0.475*44/12</f>
        <v>0</v>
      </c>
      <c r="FS94" s="21">
        <f>EXP(-LN(2)/2)*FS93+(1-EXP(-LN(2)/2))/(LN(2)/2)*FM94*FP94*VLOOKUP('Données projet'!$B$16,Paramètres!$A$1:$I$89,3,0)*0.475*44/12</f>
        <v>0</v>
      </c>
      <c r="FT94" s="22">
        <f t="shared" si="78"/>
        <v>0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56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186.90544184210381</v>
      </c>
      <c r="T95" s="59">
        <f t="shared" si="88"/>
        <v>202.05988514450519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63.138168105145667</v>
      </c>
      <c r="AA95" s="21">
        <f>EXP(-LN(2)/25)*AA94+(1-EXP(-LN(2)/25))/(LN(2)/25)*Calculateur!V95*Calculateur!X95*VLOOKUP('Données projet'!$B$9,Paramètres!$A$1:$I$89,3,0)*0.475*44/12</f>
        <v>8.9976691252995451</v>
      </c>
      <c r="AB95" s="21">
        <f>EXP(-LN(2)/2)*AB94+(1-EXP(-LN(2)/2))/(LN(2)/2)*V95*Y95*VLOOKUP('Données projet'!$B$9,Paramètres!$A$1:$I$89,3,0)*0.475*44/12</f>
        <v>6.5649082595990813E-4</v>
      </c>
      <c r="AC95" s="22">
        <f t="shared" si="57"/>
        <v>72.136493721271179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>
        <f>AI95*VLOOKUP('Données projet'!$B$10,Paramètres!$A$1:$I$89,3,0)*VLOOKUP('Données projet'!$B$10,Paramètres!$A$1:$I$89,5,0)</f>
        <v>0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186.90544184210381</v>
      </c>
      <c r="AO95" s="59">
        <f t="shared" si="90"/>
        <v>202.05988514450519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63.138168105145667</v>
      </c>
      <c r="AV95" s="21">
        <f>EXP(-LN(2)/25)*AV94+(1-EXP(-LN(2)/25))/(LN(2)/25)*Calculateur!AQ95*Calculateur!AS95*VLOOKUP('Données projet'!$B$10,Paramètres!$A$1:$I$89,3,0)*0.475*44/12</f>
        <v>8.9976691252995451</v>
      </c>
      <c r="AW95" s="21">
        <f>EXP(-LN(2)/2)*AW94+(1-EXP(-LN(2)/2))/(LN(2)/2)*AQ95*AT95*VLOOKUP('Données projet'!$B$10,Paramètres!$A$1:$I$89,3,0)*0.475*44/12</f>
        <v>6.5649082595990813E-4</v>
      </c>
      <c r="AX95" s="21">
        <f t="shared" si="60"/>
        <v>72.136493721271179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-2.8421709430404007E-14</v>
      </c>
      <c r="BE95" s="13">
        <f>BD95*VLOOKUP('Données projet'!$B$11,Paramètres!$A$1:$I$89,3,0)*VLOOKUP('Données projet'!$B$11,Paramètres!$A$1:$I$89,5,0)</f>
        <v>-2.3055690689943732E-14</v>
      </c>
      <c r="BF95" s="13" t="e">
        <f t="shared" si="91"/>
        <v>#NUM!</v>
      </c>
      <c r="BG95" s="20" t="e">
        <f t="shared" si="61"/>
        <v>#NUM!</v>
      </c>
      <c r="BH95" s="59" t="e">
        <f t="shared" si="62"/>
        <v>#NUM!</v>
      </c>
      <c r="BI95" s="59">
        <f ca="1">AVERAGE(OFFSET($BH$3,0,0,'Données projet'!$E$11+1,1))-AVERAGE(OFFSET($H$3,0,0,'Données projet'!$E$11+1,1))</f>
        <v>5.8584049049231908</v>
      </c>
      <c r="BJ95" s="59">
        <f t="shared" si="92"/>
        <v>42.266833200216638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1.5440076634150127E-7</v>
      </c>
      <c r="BS95" s="22">
        <f t="shared" si="63"/>
        <v>1.5440076634150127E-7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>
        <f>BY95*VLOOKUP('Données projet'!$B$12,Paramètres!$A$1:$I$89,3,0)*VLOOKUP('Données projet'!$B$12,Paramètres!$A$1:$I$89,5,0)</f>
        <v>0</v>
      </c>
      <c r="CA95" s="13" t="e">
        <f t="shared" si="93"/>
        <v>#NUM!</v>
      </c>
      <c r="CB95" s="20" t="e">
        <f t="shared" si="64"/>
        <v>#NUM!</v>
      </c>
      <c r="CC95" s="59" t="e">
        <f t="shared" si="65"/>
        <v>#NUM!</v>
      </c>
      <c r="CD95" s="59">
        <f ca="1">AVERAGE(OFFSET($CC$3,0,0,'Données projet'!$E$12+1,1))-AVERAGE(OFFSET($H$3,0,0,'Données projet'!$E$12+1,1))</f>
        <v>0</v>
      </c>
      <c r="CE95" s="59">
        <f t="shared" si="94"/>
        <v>0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0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>
        <f>CT95*VLOOKUP('Données projet'!$B$13,Paramètres!$A$1:$I$89,3,0)*VLOOKUP('Données projet'!$B$13,Paramètres!$A$1:$I$89,5,0)</f>
        <v>0</v>
      </c>
      <c r="CV95" s="13" t="e">
        <f t="shared" si="95"/>
        <v>#NUM!</v>
      </c>
      <c r="CW95" s="20" t="e">
        <f t="shared" si="67"/>
        <v>#NUM!</v>
      </c>
      <c r="CX95" s="59" t="e">
        <f t="shared" si="68"/>
        <v>#NUM!</v>
      </c>
      <c r="CY95" s="59">
        <f ca="1">AVERAGE(OFFSET($CX$3,0,0,'Données projet'!$E$13+1,1))-AVERAGE(OFFSET($H$3,0,0,'Données projet'!$E$13+1,1))</f>
        <v>0</v>
      </c>
      <c r="CZ95" s="59">
        <f t="shared" si="96"/>
        <v>0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</v>
      </c>
      <c r="DG95" s="21">
        <f>EXP(-LN(2)/25)*DG94+(1-EXP(-LN(2)/25))/(LN(2)/25)*Calculateur!DB95*Calculateur!DD95*VLOOKUP('Données projet'!$B$13,Paramètres!$A$1:$I$89,3,0)*0.475*44/12</f>
        <v>0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0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>
        <f>DO95*VLOOKUP('Données projet'!$B$14,Paramètres!$A$1:$I$89,3,0)*VLOOKUP('Données projet'!$B$14,Paramètres!$A$1:$I$89,5,0)</f>
        <v>0</v>
      </c>
      <c r="DQ95" s="13" t="e">
        <f t="shared" si="97"/>
        <v>#NUM!</v>
      </c>
      <c r="DR95" s="20" t="e">
        <f t="shared" si="70"/>
        <v>#NUM!</v>
      </c>
      <c r="DS95" s="59" t="e">
        <f t="shared" si="71"/>
        <v>#NUM!</v>
      </c>
      <c r="DT95" s="59">
        <f ca="1">AVERAGE(OFFSET($DS$3,0,0,'Données projet'!$E$14+1,1))-AVERAGE(OFFSET($H$3,0,0,'Données projet'!$E$14+1,1))</f>
        <v>0</v>
      </c>
      <c r="DU95" s="59">
        <f t="shared" si="98"/>
        <v>0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0</v>
      </c>
      <c r="EB95" s="21">
        <f>EXP(-LN(2)/25)*EB94+(1-EXP(-LN(2)/25))/(LN(2)/25)*Calculateur!DW95*Calculateur!DY95*VLOOKUP('Données projet'!$B$14,Paramètres!$A$1:$I$89,3,0)*0.475*44/12</f>
        <v>0</v>
      </c>
      <c r="EC95" s="21">
        <f>EXP(-LN(2)/2)*EC94+(1-EXP(-LN(2)/2))/(LN(2)/2)*DW95*DZ95*VLOOKUP('Données projet'!$B$14,Paramètres!$A$1:$I$89,3,0)*0.475*44/12</f>
        <v>0</v>
      </c>
      <c r="ED95" s="22">
        <f t="shared" si="72"/>
        <v>0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>
        <f>EJ95*VLOOKUP('Données projet'!$B$15,Paramètres!$A$1:$I$89,3,0)*VLOOKUP('Données projet'!$B$15,Paramètres!$A$1:$I$89,5,0)</f>
        <v>0</v>
      </c>
      <c r="EL95" s="13" t="e">
        <f t="shared" si="99"/>
        <v>#NUM!</v>
      </c>
      <c r="EM95" s="20" t="e">
        <f t="shared" si="73"/>
        <v>#NUM!</v>
      </c>
      <c r="EN95" s="59" t="e">
        <f t="shared" si="74"/>
        <v>#NUM!</v>
      </c>
      <c r="EO95" s="59">
        <f ca="1">AVERAGE(OFFSET($EN$3,0,0,'Données projet'!$E$15+1,1))-AVERAGE(OFFSET($H$3,0,0,'Données projet'!$E$15+1,1))</f>
        <v>0</v>
      </c>
      <c r="EP95" s="59">
        <f t="shared" si="100"/>
        <v>0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>
        <f>EXP(-LN(2)/35)*EV94+(1-EXP(-LN(2)/35))/(LN(2)/35)*ER95*ES95*VLOOKUP('Données projet'!$B$15,Paramètres!$A$1:$I$89,3,0)*0.475*44/12</f>
        <v>0</v>
      </c>
      <c r="EW95" s="21">
        <f>EXP(-LN(2)/25)*EW94+(1-EXP(-LN(2)/25))/(LN(2)/25)*Calculateur!ER95*Calculateur!ET95*VLOOKUP('Données projet'!$B$15,Paramètres!$A$1:$I$89,3,0)*0.475*44/12</f>
        <v>0</v>
      </c>
      <c r="EX95" s="21">
        <f>EXP(-LN(2)/2)*EX94+(1-EXP(-LN(2)/2))/(LN(2)/2)*ER95*EU95*VLOOKUP('Données projet'!$B$15,Paramètres!$A$1:$I$89,3,0)*0.475*44/12</f>
        <v>0</v>
      </c>
      <c r="EY95" s="22">
        <f t="shared" si="75"/>
        <v>0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>
        <f>FE95*VLOOKUP('Données projet'!$B$16,Paramètres!$A$1:$I$89,3,0)*VLOOKUP('Données projet'!$B$16,Paramètres!$A$1:$I$89,5,0)</f>
        <v>0</v>
      </c>
      <c r="FG95" s="13" t="e">
        <f t="shared" si="101"/>
        <v>#NUM!</v>
      </c>
      <c r="FH95" s="20" t="e">
        <f t="shared" si="76"/>
        <v>#NUM!</v>
      </c>
      <c r="FI95" s="59" t="e">
        <f t="shared" si="77"/>
        <v>#NUM!</v>
      </c>
      <c r="FJ95" s="59">
        <f ca="1">AVERAGE(OFFSET($FI$3,0,0,'Données projet'!$E$16+1,1))-AVERAGE(OFFSET($H$3,0,0,'Données projet'!$E$16+1,1))</f>
        <v>0</v>
      </c>
      <c r="FK95" s="59">
        <f t="shared" si="102"/>
        <v>0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>
        <f>EXP(-LN(2)/35)*FQ94+(1-EXP(-LN(2)/35))/(LN(2)/35)*FM95*FN95*VLOOKUP('Données projet'!$B$16,Paramètres!$A$1:$I$89,3,0)*0.475*44/12</f>
        <v>0</v>
      </c>
      <c r="FR95" s="21">
        <f>EXP(-LN(2)/25)*FR94+(1-EXP(-LN(2)/25))/(LN(2)/25)*Calculateur!FM95*Calculateur!FO95*VLOOKUP('Données projet'!$B$16,Paramètres!$A$1:$I$89,3,0)*0.475*44/12</f>
        <v>0</v>
      </c>
      <c r="FS95" s="21">
        <f>EXP(-LN(2)/2)*FS94+(1-EXP(-LN(2)/2))/(LN(2)/2)*FM95*FP95*VLOOKUP('Données projet'!$B$16,Paramètres!$A$1:$I$89,3,0)*0.475*44/12</f>
        <v>0</v>
      </c>
      <c r="FT95" s="22">
        <f t="shared" si="78"/>
        <v>0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56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186.90544184210381</v>
      </c>
      <c r="T96" s="59">
        <f t="shared" si="88"/>
        <v>202.05988514450519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61.90006713908371</v>
      </c>
      <c r="AA96" s="21">
        <f>EXP(-LN(2)/25)*AA95+(1-EXP(-LN(2)/25))/(LN(2)/25)*Calculateur!V96*Calculateur!X96*VLOOKUP('Données projet'!$B$9,Paramètres!$A$1:$I$89,3,0)*0.475*44/12</f>
        <v>8.7516273899013743</v>
      </c>
      <c r="AB96" s="21">
        <f>EXP(-LN(2)/2)*AB95+(1-EXP(-LN(2)/2))/(LN(2)/2)*V96*Y96*VLOOKUP('Données projet'!$B$9,Paramètres!$A$1:$I$89,3,0)*0.475*44/12</f>
        <v>4.6420911482300862E-4</v>
      </c>
      <c r="AC96" s="22">
        <f t="shared" si="57"/>
        <v>70.652158738099914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>
        <f>AI96*VLOOKUP('Données projet'!$B$10,Paramètres!$A$1:$I$89,3,0)*VLOOKUP('Données projet'!$B$10,Paramètres!$A$1:$I$89,5,0)</f>
        <v>0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186.90544184210381</v>
      </c>
      <c r="AO96" s="59">
        <f t="shared" si="90"/>
        <v>202.05988514450519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61.90006713908371</v>
      </c>
      <c r="AV96" s="21">
        <f>EXP(-LN(2)/25)*AV95+(1-EXP(-LN(2)/25))/(LN(2)/25)*Calculateur!AQ96*Calculateur!AS96*VLOOKUP('Données projet'!$B$10,Paramètres!$A$1:$I$89,3,0)*0.475*44/12</f>
        <v>8.7516273899013743</v>
      </c>
      <c r="AW96" s="21">
        <f>EXP(-LN(2)/2)*AW95+(1-EXP(-LN(2)/2))/(LN(2)/2)*AQ96*AT96*VLOOKUP('Données projet'!$B$10,Paramètres!$A$1:$I$89,3,0)*0.475*44/12</f>
        <v>4.6420911482300862E-4</v>
      </c>
      <c r="AX96" s="21">
        <f t="shared" si="60"/>
        <v>70.652158738099914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-2.8421709430404007E-14</v>
      </c>
      <c r="BE96" s="13">
        <f>BD96*VLOOKUP('Données projet'!$B$11,Paramètres!$A$1:$I$89,3,0)*VLOOKUP('Données projet'!$B$11,Paramètres!$A$1:$I$89,5,0)</f>
        <v>-2.3055690689943732E-14</v>
      </c>
      <c r="BF96" s="13" t="e">
        <f t="shared" si="91"/>
        <v>#NUM!</v>
      </c>
      <c r="BG96" s="20" t="e">
        <f t="shared" si="61"/>
        <v>#NUM!</v>
      </c>
      <c r="BH96" s="59" t="e">
        <f t="shared" si="62"/>
        <v>#NUM!</v>
      </c>
      <c r="BI96" s="59">
        <f ca="1">AVERAGE(OFFSET($BH$3,0,0,'Données projet'!$E$11+1,1))-AVERAGE(OFFSET($H$3,0,0,'Données projet'!$E$11+1,1))</f>
        <v>5.8584049049231908</v>
      </c>
      <c r="BJ96" s="59">
        <f t="shared" si="92"/>
        <v>42.266833200216638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1.0917782890047519E-7</v>
      </c>
      <c r="BS96" s="22">
        <f t="shared" si="63"/>
        <v>1.0917782890047519E-7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>
        <f>BY96*VLOOKUP('Données projet'!$B$12,Paramètres!$A$1:$I$89,3,0)*VLOOKUP('Données projet'!$B$12,Paramètres!$A$1:$I$89,5,0)</f>
        <v>0</v>
      </c>
      <c r="CA96" s="13" t="e">
        <f t="shared" si="93"/>
        <v>#NUM!</v>
      </c>
      <c r="CB96" s="20" t="e">
        <f t="shared" si="64"/>
        <v>#NUM!</v>
      </c>
      <c r="CC96" s="59" t="e">
        <f t="shared" si="65"/>
        <v>#NUM!</v>
      </c>
      <c r="CD96" s="59">
        <f ca="1">AVERAGE(OFFSET($CC$3,0,0,'Données projet'!$E$12+1,1))-AVERAGE(OFFSET($H$3,0,0,'Données projet'!$E$12+1,1))</f>
        <v>0</v>
      </c>
      <c r="CE96" s="59">
        <f t="shared" si="94"/>
        <v>0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0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>
        <f>CT96*VLOOKUP('Données projet'!$B$13,Paramètres!$A$1:$I$89,3,0)*VLOOKUP('Données projet'!$B$13,Paramètres!$A$1:$I$89,5,0)</f>
        <v>0</v>
      </c>
      <c r="CV96" s="13" t="e">
        <f t="shared" si="95"/>
        <v>#NUM!</v>
      </c>
      <c r="CW96" s="20" t="e">
        <f t="shared" si="67"/>
        <v>#NUM!</v>
      </c>
      <c r="CX96" s="59" t="e">
        <f t="shared" si="68"/>
        <v>#NUM!</v>
      </c>
      <c r="CY96" s="59">
        <f ca="1">AVERAGE(OFFSET($CX$3,0,0,'Données projet'!$E$13+1,1))-AVERAGE(OFFSET($H$3,0,0,'Données projet'!$E$13+1,1))</f>
        <v>0</v>
      </c>
      <c r="CZ96" s="59">
        <f t="shared" si="96"/>
        <v>0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</v>
      </c>
      <c r="DG96" s="21">
        <f>EXP(-LN(2)/25)*DG95+(1-EXP(-LN(2)/25))/(LN(2)/25)*Calculateur!DB96*Calculateur!DD96*VLOOKUP('Données projet'!$B$13,Paramètres!$A$1:$I$89,3,0)*0.475*44/12</f>
        <v>0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0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>
        <f>DO96*VLOOKUP('Données projet'!$B$14,Paramètres!$A$1:$I$89,3,0)*VLOOKUP('Données projet'!$B$14,Paramètres!$A$1:$I$89,5,0)</f>
        <v>0</v>
      </c>
      <c r="DQ96" s="13" t="e">
        <f t="shared" si="97"/>
        <v>#NUM!</v>
      </c>
      <c r="DR96" s="20" t="e">
        <f t="shared" si="70"/>
        <v>#NUM!</v>
      </c>
      <c r="DS96" s="59" t="e">
        <f t="shared" si="71"/>
        <v>#NUM!</v>
      </c>
      <c r="DT96" s="59">
        <f ca="1">AVERAGE(OFFSET($DS$3,0,0,'Données projet'!$E$14+1,1))-AVERAGE(OFFSET($H$3,0,0,'Données projet'!$E$14+1,1))</f>
        <v>0</v>
      </c>
      <c r="DU96" s="59">
        <f t="shared" si="98"/>
        <v>0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0</v>
      </c>
      <c r="EB96" s="21">
        <f>EXP(-LN(2)/25)*EB95+(1-EXP(-LN(2)/25))/(LN(2)/25)*Calculateur!DW96*Calculateur!DY96*VLOOKUP('Données projet'!$B$14,Paramètres!$A$1:$I$89,3,0)*0.475*44/12</f>
        <v>0</v>
      </c>
      <c r="EC96" s="21">
        <f>EXP(-LN(2)/2)*EC95+(1-EXP(-LN(2)/2))/(LN(2)/2)*DW96*DZ96*VLOOKUP('Données projet'!$B$14,Paramètres!$A$1:$I$89,3,0)*0.475*44/12</f>
        <v>0</v>
      </c>
      <c r="ED96" s="22">
        <f t="shared" si="72"/>
        <v>0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>
        <f>EJ96*VLOOKUP('Données projet'!$B$15,Paramètres!$A$1:$I$89,3,0)*VLOOKUP('Données projet'!$B$15,Paramètres!$A$1:$I$89,5,0)</f>
        <v>0</v>
      </c>
      <c r="EL96" s="13" t="e">
        <f t="shared" si="99"/>
        <v>#NUM!</v>
      </c>
      <c r="EM96" s="20" t="e">
        <f t="shared" si="73"/>
        <v>#NUM!</v>
      </c>
      <c r="EN96" s="59" t="e">
        <f t="shared" si="74"/>
        <v>#NUM!</v>
      </c>
      <c r="EO96" s="59">
        <f ca="1">AVERAGE(OFFSET($EN$3,0,0,'Données projet'!$E$15+1,1))-AVERAGE(OFFSET($H$3,0,0,'Données projet'!$E$15+1,1))</f>
        <v>0</v>
      </c>
      <c r="EP96" s="59">
        <f t="shared" si="100"/>
        <v>0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>
        <f>EXP(-LN(2)/35)*EV95+(1-EXP(-LN(2)/35))/(LN(2)/35)*ER96*ES96*VLOOKUP('Données projet'!$B$15,Paramètres!$A$1:$I$89,3,0)*0.475*44/12</f>
        <v>0</v>
      </c>
      <c r="EW96" s="21">
        <f>EXP(-LN(2)/25)*EW95+(1-EXP(-LN(2)/25))/(LN(2)/25)*Calculateur!ER96*Calculateur!ET96*VLOOKUP('Données projet'!$B$15,Paramètres!$A$1:$I$89,3,0)*0.475*44/12</f>
        <v>0</v>
      </c>
      <c r="EX96" s="21">
        <f>EXP(-LN(2)/2)*EX95+(1-EXP(-LN(2)/2))/(LN(2)/2)*ER96*EU96*VLOOKUP('Données projet'!$B$15,Paramètres!$A$1:$I$89,3,0)*0.475*44/12</f>
        <v>0</v>
      </c>
      <c r="EY96" s="22">
        <f t="shared" si="75"/>
        <v>0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>
        <f>FE96*VLOOKUP('Données projet'!$B$16,Paramètres!$A$1:$I$89,3,0)*VLOOKUP('Données projet'!$B$16,Paramètres!$A$1:$I$89,5,0)</f>
        <v>0</v>
      </c>
      <c r="FG96" s="13" t="e">
        <f t="shared" si="101"/>
        <v>#NUM!</v>
      </c>
      <c r="FH96" s="20" t="e">
        <f t="shared" si="76"/>
        <v>#NUM!</v>
      </c>
      <c r="FI96" s="59" t="e">
        <f t="shared" si="77"/>
        <v>#NUM!</v>
      </c>
      <c r="FJ96" s="59">
        <f ca="1">AVERAGE(OFFSET($FI$3,0,0,'Données projet'!$E$16+1,1))-AVERAGE(OFFSET($H$3,0,0,'Données projet'!$E$16+1,1))</f>
        <v>0</v>
      </c>
      <c r="FK96" s="59">
        <f t="shared" si="102"/>
        <v>0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>
        <f>EXP(-LN(2)/35)*FQ95+(1-EXP(-LN(2)/35))/(LN(2)/35)*FM96*FN96*VLOOKUP('Données projet'!$B$16,Paramètres!$A$1:$I$89,3,0)*0.475*44/12</f>
        <v>0</v>
      </c>
      <c r="FR96" s="21">
        <f>EXP(-LN(2)/25)*FR95+(1-EXP(-LN(2)/25))/(LN(2)/25)*Calculateur!FM96*Calculateur!FO96*VLOOKUP('Données projet'!$B$16,Paramètres!$A$1:$I$89,3,0)*0.475*44/12</f>
        <v>0</v>
      </c>
      <c r="FS96" s="21">
        <f>EXP(-LN(2)/2)*FS95+(1-EXP(-LN(2)/2))/(LN(2)/2)*FM96*FP96*VLOOKUP('Données projet'!$B$16,Paramètres!$A$1:$I$89,3,0)*0.475*44/12</f>
        <v>0</v>
      </c>
      <c r="FT96" s="22">
        <f t="shared" si="78"/>
        <v>0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56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186.90544184210381</v>
      </c>
      <c r="T97" s="59">
        <f t="shared" si="88"/>
        <v>202.05988514450519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60.686244577799208</v>
      </c>
      <c r="AA97" s="21">
        <f>EXP(-LN(2)/25)*AA96+(1-EXP(-LN(2)/25))/(LN(2)/25)*Calculateur!V97*Calculateur!X97*VLOOKUP('Données projet'!$B$9,Paramètres!$A$1:$I$89,3,0)*0.475*44/12</f>
        <v>8.5123136786964384</v>
      </c>
      <c r="AB97" s="21">
        <f>EXP(-LN(2)/2)*AB96+(1-EXP(-LN(2)/2))/(LN(2)/2)*V97*Y97*VLOOKUP('Données projet'!$B$9,Paramètres!$A$1:$I$89,3,0)*0.475*44/12</f>
        <v>3.2824541297995407E-4</v>
      </c>
      <c r="AC97" s="22">
        <f t="shared" si="57"/>
        <v>69.198886501908618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>
        <f>AI97*VLOOKUP('Données projet'!$B$10,Paramètres!$A$1:$I$89,3,0)*VLOOKUP('Données projet'!$B$10,Paramètres!$A$1:$I$89,5,0)</f>
        <v>0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186.90544184210381</v>
      </c>
      <c r="AO97" s="59">
        <f t="shared" si="90"/>
        <v>202.05988514450519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60.686244577799208</v>
      </c>
      <c r="AV97" s="21">
        <f>EXP(-LN(2)/25)*AV96+(1-EXP(-LN(2)/25))/(LN(2)/25)*Calculateur!AQ97*Calculateur!AS97*VLOOKUP('Données projet'!$B$10,Paramètres!$A$1:$I$89,3,0)*0.475*44/12</f>
        <v>8.5123136786964384</v>
      </c>
      <c r="AW97" s="21">
        <f>EXP(-LN(2)/2)*AW96+(1-EXP(-LN(2)/2))/(LN(2)/2)*AQ97*AT97*VLOOKUP('Données projet'!$B$10,Paramètres!$A$1:$I$89,3,0)*0.475*44/12</f>
        <v>3.2824541297995407E-4</v>
      </c>
      <c r="AX97" s="21">
        <f t="shared" si="60"/>
        <v>69.198886501908618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-2.8421709430404007E-14</v>
      </c>
      <c r="BE97" s="13">
        <f>BD97*VLOOKUP('Données projet'!$B$11,Paramètres!$A$1:$I$89,3,0)*VLOOKUP('Données projet'!$B$11,Paramètres!$A$1:$I$89,5,0)</f>
        <v>-2.3055690689943732E-14</v>
      </c>
      <c r="BF97" s="13" t="e">
        <f t="shared" si="91"/>
        <v>#NUM!</v>
      </c>
      <c r="BG97" s="20" t="e">
        <f t="shared" si="61"/>
        <v>#NUM!</v>
      </c>
      <c r="BH97" s="59" t="e">
        <f t="shared" si="62"/>
        <v>#NUM!</v>
      </c>
      <c r="BI97" s="59">
        <f ca="1">AVERAGE(OFFSET($BH$3,0,0,'Données projet'!$E$11+1,1))-AVERAGE(OFFSET($H$3,0,0,'Données projet'!$E$11+1,1))</f>
        <v>5.8584049049231908</v>
      </c>
      <c r="BJ97" s="59">
        <f t="shared" si="92"/>
        <v>42.266833200216638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7.7200383170750635E-8</v>
      </c>
      <c r="BS97" s="22">
        <f t="shared" si="63"/>
        <v>7.7200383170750635E-8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>
        <f>BY97*VLOOKUP('Données projet'!$B$12,Paramètres!$A$1:$I$89,3,0)*VLOOKUP('Données projet'!$B$12,Paramètres!$A$1:$I$89,5,0)</f>
        <v>0</v>
      </c>
      <c r="CA97" s="13" t="e">
        <f t="shared" si="93"/>
        <v>#NUM!</v>
      </c>
      <c r="CB97" s="20" t="e">
        <f t="shared" si="64"/>
        <v>#NUM!</v>
      </c>
      <c r="CC97" s="59" t="e">
        <f t="shared" si="65"/>
        <v>#NUM!</v>
      </c>
      <c r="CD97" s="59">
        <f ca="1">AVERAGE(OFFSET($CC$3,0,0,'Données projet'!$E$12+1,1))-AVERAGE(OFFSET($H$3,0,0,'Données projet'!$E$12+1,1))</f>
        <v>0</v>
      </c>
      <c r="CE97" s="59">
        <f t="shared" si="94"/>
        <v>0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0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>
        <f>CT97*VLOOKUP('Données projet'!$B$13,Paramètres!$A$1:$I$89,3,0)*VLOOKUP('Données projet'!$B$13,Paramètres!$A$1:$I$89,5,0)</f>
        <v>0</v>
      </c>
      <c r="CV97" s="13" t="e">
        <f t="shared" si="95"/>
        <v>#NUM!</v>
      </c>
      <c r="CW97" s="20" t="e">
        <f t="shared" si="67"/>
        <v>#NUM!</v>
      </c>
      <c r="CX97" s="59" t="e">
        <f t="shared" si="68"/>
        <v>#NUM!</v>
      </c>
      <c r="CY97" s="59">
        <f ca="1">AVERAGE(OFFSET($CX$3,0,0,'Données projet'!$E$13+1,1))-AVERAGE(OFFSET($H$3,0,0,'Données projet'!$E$13+1,1))</f>
        <v>0</v>
      </c>
      <c r="CZ97" s="59">
        <f t="shared" si="96"/>
        <v>0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</v>
      </c>
      <c r="DG97" s="21">
        <f>EXP(-LN(2)/25)*DG96+(1-EXP(-LN(2)/25))/(LN(2)/25)*Calculateur!DB97*Calculateur!DD97*VLOOKUP('Données projet'!$B$13,Paramètres!$A$1:$I$89,3,0)*0.475*44/12</f>
        <v>0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0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>
        <f>DO97*VLOOKUP('Données projet'!$B$14,Paramètres!$A$1:$I$89,3,0)*VLOOKUP('Données projet'!$B$14,Paramètres!$A$1:$I$89,5,0)</f>
        <v>0</v>
      </c>
      <c r="DQ97" s="13" t="e">
        <f t="shared" si="97"/>
        <v>#NUM!</v>
      </c>
      <c r="DR97" s="20" t="e">
        <f t="shared" si="70"/>
        <v>#NUM!</v>
      </c>
      <c r="DS97" s="59" t="e">
        <f t="shared" si="71"/>
        <v>#NUM!</v>
      </c>
      <c r="DT97" s="59">
        <f ca="1">AVERAGE(OFFSET($DS$3,0,0,'Données projet'!$E$14+1,1))-AVERAGE(OFFSET($H$3,0,0,'Données projet'!$E$14+1,1))</f>
        <v>0</v>
      </c>
      <c r="DU97" s="59">
        <f t="shared" si="98"/>
        <v>0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0</v>
      </c>
      <c r="EB97" s="21">
        <f>EXP(-LN(2)/25)*EB96+(1-EXP(-LN(2)/25))/(LN(2)/25)*Calculateur!DW97*Calculateur!DY97*VLOOKUP('Données projet'!$B$14,Paramètres!$A$1:$I$89,3,0)*0.475*44/12</f>
        <v>0</v>
      </c>
      <c r="EC97" s="21">
        <f>EXP(-LN(2)/2)*EC96+(1-EXP(-LN(2)/2))/(LN(2)/2)*DW97*DZ97*VLOOKUP('Données projet'!$B$14,Paramètres!$A$1:$I$89,3,0)*0.475*44/12</f>
        <v>0</v>
      </c>
      <c r="ED97" s="22">
        <f t="shared" si="72"/>
        <v>0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>
        <f>EJ97*VLOOKUP('Données projet'!$B$15,Paramètres!$A$1:$I$89,3,0)*VLOOKUP('Données projet'!$B$15,Paramètres!$A$1:$I$89,5,0)</f>
        <v>0</v>
      </c>
      <c r="EL97" s="13" t="e">
        <f t="shared" si="99"/>
        <v>#NUM!</v>
      </c>
      <c r="EM97" s="20" t="e">
        <f t="shared" si="73"/>
        <v>#NUM!</v>
      </c>
      <c r="EN97" s="59" t="e">
        <f t="shared" si="74"/>
        <v>#NUM!</v>
      </c>
      <c r="EO97" s="59">
        <f ca="1">AVERAGE(OFFSET($EN$3,0,0,'Données projet'!$E$15+1,1))-AVERAGE(OFFSET($H$3,0,0,'Données projet'!$E$15+1,1))</f>
        <v>0</v>
      </c>
      <c r="EP97" s="59">
        <f t="shared" si="100"/>
        <v>0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>
        <f>EXP(-LN(2)/35)*EV96+(1-EXP(-LN(2)/35))/(LN(2)/35)*ER97*ES97*VLOOKUP('Données projet'!$B$15,Paramètres!$A$1:$I$89,3,0)*0.475*44/12</f>
        <v>0</v>
      </c>
      <c r="EW97" s="21">
        <f>EXP(-LN(2)/25)*EW96+(1-EXP(-LN(2)/25))/(LN(2)/25)*Calculateur!ER97*Calculateur!ET97*VLOOKUP('Données projet'!$B$15,Paramètres!$A$1:$I$89,3,0)*0.475*44/12</f>
        <v>0</v>
      </c>
      <c r="EX97" s="21">
        <f>EXP(-LN(2)/2)*EX96+(1-EXP(-LN(2)/2))/(LN(2)/2)*ER97*EU97*VLOOKUP('Données projet'!$B$15,Paramètres!$A$1:$I$89,3,0)*0.475*44/12</f>
        <v>0</v>
      </c>
      <c r="EY97" s="22">
        <f t="shared" si="75"/>
        <v>0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>
        <f>FE97*VLOOKUP('Données projet'!$B$16,Paramètres!$A$1:$I$89,3,0)*VLOOKUP('Données projet'!$B$16,Paramètres!$A$1:$I$89,5,0)</f>
        <v>0</v>
      </c>
      <c r="FG97" s="13" t="e">
        <f t="shared" si="101"/>
        <v>#NUM!</v>
      </c>
      <c r="FH97" s="20" t="e">
        <f t="shared" si="76"/>
        <v>#NUM!</v>
      </c>
      <c r="FI97" s="59" t="e">
        <f t="shared" si="77"/>
        <v>#NUM!</v>
      </c>
      <c r="FJ97" s="59">
        <f ca="1">AVERAGE(OFFSET($FI$3,0,0,'Données projet'!$E$16+1,1))-AVERAGE(OFFSET($H$3,0,0,'Données projet'!$E$16+1,1))</f>
        <v>0</v>
      </c>
      <c r="FK97" s="59">
        <f t="shared" si="102"/>
        <v>0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>
        <f>EXP(-LN(2)/35)*FQ96+(1-EXP(-LN(2)/35))/(LN(2)/35)*FM97*FN97*VLOOKUP('Données projet'!$B$16,Paramètres!$A$1:$I$89,3,0)*0.475*44/12</f>
        <v>0</v>
      </c>
      <c r="FR97" s="21">
        <f>EXP(-LN(2)/25)*FR96+(1-EXP(-LN(2)/25))/(LN(2)/25)*Calculateur!FM97*Calculateur!FO97*VLOOKUP('Données projet'!$B$16,Paramètres!$A$1:$I$89,3,0)*0.475*44/12</f>
        <v>0</v>
      </c>
      <c r="FS97" s="21">
        <f>EXP(-LN(2)/2)*FS96+(1-EXP(-LN(2)/2))/(LN(2)/2)*FM97*FP97*VLOOKUP('Données projet'!$B$16,Paramètres!$A$1:$I$89,3,0)*0.475*44/12</f>
        <v>0</v>
      </c>
      <c r="FT97" s="22">
        <f t="shared" si="78"/>
        <v>0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56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186.90544184210381</v>
      </c>
      <c r="T98" s="59">
        <f t="shared" si="88"/>
        <v>202.05988514450519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59.496224336582834</v>
      </c>
      <c r="AA98" s="21">
        <f>EXP(-LN(2)/25)*AA97+(1-EXP(-LN(2)/25))/(LN(2)/25)*Calculateur!V98*Calculateur!X98*VLOOKUP('Données projet'!$B$9,Paramètres!$A$1:$I$89,3,0)*0.475*44/12</f>
        <v>8.2795440135093639</v>
      </c>
      <c r="AB98" s="21">
        <f>EXP(-LN(2)/2)*AB97+(1-EXP(-LN(2)/2))/(LN(2)/2)*V98*Y98*VLOOKUP('Données projet'!$B$9,Paramètres!$A$1:$I$89,3,0)*0.475*44/12</f>
        <v>2.3210455741150431E-4</v>
      </c>
      <c r="AC98" s="22">
        <f t="shared" si="57"/>
        <v>67.776000454649605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>
        <f>AI98*VLOOKUP('Données projet'!$B$10,Paramètres!$A$1:$I$89,3,0)*VLOOKUP('Données projet'!$B$10,Paramètres!$A$1:$I$89,5,0)</f>
        <v>0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186.90544184210381</v>
      </c>
      <c r="AO98" s="59">
        <f t="shared" si="90"/>
        <v>202.05988514450519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59.496224336582834</v>
      </c>
      <c r="AV98" s="21">
        <f>EXP(-LN(2)/25)*AV97+(1-EXP(-LN(2)/25))/(LN(2)/25)*Calculateur!AQ98*Calculateur!AS98*VLOOKUP('Données projet'!$B$10,Paramètres!$A$1:$I$89,3,0)*0.475*44/12</f>
        <v>8.2795440135093639</v>
      </c>
      <c r="AW98" s="21">
        <f>EXP(-LN(2)/2)*AW97+(1-EXP(-LN(2)/2))/(LN(2)/2)*AQ98*AT98*VLOOKUP('Données projet'!$B$10,Paramètres!$A$1:$I$89,3,0)*0.475*44/12</f>
        <v>2.3210455741150431E-4</v>
      </c>
      <c r="AX98" s="21">
        <f t="shared" si="60"/>
        <v>67.776000454649605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-2.8421709430404007E-14</v>
      </c>
      <c r="BE98" s="13">
        <f>BD98*VLOOKUP('Données projet'!$B$11,Paramètres!$A$1:$I$89,3,0)*VLOOKUP('Données projet'!$B$11,Paramètres!$A$1:$I$89,5,0)</f>
        <v>-2.3055690689943732E-14</v>
      </c>
      <c r="BF98" s="13" t="e">
        <f t="shared" si="91"/>
        <v>#NUM!</v>
      </c>
      <c r="BG98" s="20" t="e">
        <f t="shared" si="61"/>
        <v>#NUM!</v>
      </c>
      <c r="BH98" s="59" t="e">
        <f t="shared" si="62"/>
        <v>#NUM!</v>
      </c>
      <c r="BI98" s="59">
        <f ca="1">AVERAGE(OFFSET($BH$3,0,0,'Données projet'!$E$11+1,1))-AVERAGE(OFFSET($H$3,0,0,'Données projet'!$E$11+1,1))</f>
        <v>5.8584049049231908</v>
      </c>
      <c r="BJ98" s="59">
        <f t="shared" si="92"/>
        <v>42.266833200216638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5.4588914450237596E-8</v>
      </c>
      <c r="BS98" s="22">
        <f t="shared" si="63"/>
        <v>5.4588914450237596E-8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>
        <f>BY98*VLOOKUP('Données projet'!$B$12,Paramètres!$A$1:$I$89,3,0)*VLOOKUP('Données projet'!$B$12,Paramètres!$A$1:$I$89,5,0)</f>
        <v>0</v>
      </c>
      <c r="CA98" s="13" t="e">
        <f t="shared" si="93"/>
        <v>#NUM!</v>
      </c>
      <c r="CB98" s="20" t="e">
        <f t="shared" si="64"/>
        <v>#NUM!</v>
      </c>
      <c r="CC98" s="59" t="e">
        <f t="shared" si="65"/>
        <v>#NUM!</v>
      </c>
      <c r="CD98" s="59">
        <f ca="1">AVERAGE(OFFSET($CC$3,0,0,'Données projet'!$E$12+1,1))-AVERAGE(OFFSET($H$3,0,0,'Données projet'!$E$12+1,1))</f>
        <v>0</v>
      </c>
      <c r="CE98" s="59">
        <f t="shared" si="94"/>
        <v>0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0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>
        <f>CT98*VLOOKUP('Données projet'!$B$13,Paramètres!$A$1:$I$89,3,0)*VLOOKUP('Données projet'!$B$13,Paramètres!$A$1:$I$89,5,0)</f>
        <v>0</v>
      </c>
      <c r="CV98" s="13" t="e">
        <f t="shared" si="95"/>
        <v>#NUM!</v>
      </c>
      <c r="CW98" s="20" t="e">
        <f t="shared" si="67"/>
        <v>#NUM!</v>
      </c>
      <c r="CX98" s="59" t="e">
        <f t="shared" si="68"/>
        <v>#NUM!</v>
      </c>
      <c r="CY98" s="59">
        <f ca="1">AVERAGE(OFFSET($CX$3,0,0,'Données projet'!$E$13+1,1))-AVERAGE(OFFSET($H$3,0,0,'Données projet'!$E$13+1,1))</f>
        <v>0</v>
      </c>
      <c r="CZ98" s="59">
        <f t="shared" si="96"/>
        <v>0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</v>
      </c>
      <c r="DG98" s="21">
        <f>EXP(-LN(2)/25)*DG97+(1-EXP(-LN(2)/25))/(LN(2)/25)*Calculateur!DB98*Calculateur!DD98*VLOOKUP('Données projet'!$B$13,Paramètres!$A$1:$I$89,3,0)*0.475*44/12</f>
        <v>0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0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>
        <f>DO98*VLOOKUP('Données projet'!$B$14,Paramètres!$A$1:$I$89,3,0)*VLOOKUP('Données projet'!$B$14,Paramètres!$A$1:$I$89,5,0)</f>
        <v>0</v>
      </c>
      <c r="DQ98" s="13" t="e">
        <f t="shared" si="97"/>
        <v>#NUM!</v>
      </c>
      <c r="DR98" s="20" t="e">
        <f t="shared" si="70"/>
        <v>#NUM!</v>
      </c>
      <c r="DS98" s="59" t="e">
        <f t="shared" si="71"/>
        <v>#NUM!</v>
      </c>
      <c r="DT98" s="59">
        <f ca="1">AVERAGE(OFFSET($DS$3,0,0,'Données projet'!$E$14+1,1))-AVERAGE(OFFSET($H$3,0,0,'Données projet'!$E$14+1,1))</f>
        <v>0</v>
      </c>
      <c r="DU98" s="59">
        <f t="shared" si="98"/>
        <v>0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0</v>
      </c>
      <c r="EB98" s="21">
        <f>EXP(-LN(2)/25)*EB97+(1-EXP(-LN(2)/25))/(LN(2)/25)*Calculateur!DW98*Calculateur!DY98*VLOOKUP('Données projet'!$B$14,Paramètres!$A$1:$I$89,3,0)*0.475*44/12</f>
        <v>0</v>
      </c>
      <c r="EC98" s="21">
        <f>EXP(-LN(2)/2)*EC97+(1-EXP(-LN(2)/2))/(LN(2)/2)*DW98*DZ98*VLOOKUP('Données projet'!$B$14,Paramètres!$A$1:$I$89,3,0)*0.475*44/12</f>
        <v>0</v>
      </c>
      <c r="ED98" s="22">
        <f t="shared" si="72"/>
        <v>0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>
        <f>EJ98*VLOOKUP('Données projet'!$B$15,Paramètres!$A$1:$I$89,3,0)*VLOOKUP('Données projet'!$B$15,Paramètres!$A$1:$I$89,5,0)</f>
        <v>0</v>
      </c>
      <c r="EL98" s="13" t="e">
        <f t="shared" si="99"/>
        <v>#NUM!</v>
      </c>
      <c r="EM98" s="20" t="e">
        <f t="shared" si="73"/>
        <v>#NUM!</v>
      </c>
      <c r="EN98" s="59" t="e">
        <f t="shared" si="74"/>
        <v>#NUM!</v>
      </c>
      <c r="EO98" s="59">
        <f ca="1">AVERAGE(OFFSET($EN$3,0,0,'Données projet'!$E$15+1,1))-AVERAGE(OFFSET($H$3,0,0,'Données projet'!$E$15+1,1))</f>
        <v>0</v>
      </c>
      <c r="EP98" s="59">
        <f t="shared" si="100"/>
        <v>0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>
        <f>EXP(-LN(2)/35)*EV97+(1-EXP(-LN(2)/35))/(LN(2)/35)*ER98*ES98*VLOOKUP('Données projet'!$B$15,Paramètres!$A$1:$I$89,3,0)*0.475*44/12</f>
        <v>0</v>
      </c>
      <c r="EW98" s="21">
        <f>EXP(-LN(2)/25)*EW97+(1-EXP(-LN(2)/25))/(LN(2)/25)*Calculateur!ER98*Calculateur!ET98*VLOOKUP('Données projet'!$B$15,Paramètres!$A$1:$I$89,3,0)*0.475*44/12</f>
        <v>0</v>
      </c>
      <c r="EX98" s="21">
        <f>EXP(-LN(2)/2)*EX97+(1-EXP(-LN(2)/2))/(LN(2)/2)*ER98*EU98*VLOOKUP('Données projet'!$B$15,Paramètres!$A$1:$I$89,3,0)*0.475*44/12</f>
        <v>0</v>
      </c>
      <c r="EY98" s="22">
        <f t="shared" si="75"/>
        <v>0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>
        <f>FE98*VLOOKUP('Données projet'!$B$16,Paramètres!$A$1:$I$89,3,0)*VLOOKUP('Données projet'!$B$16,Paramètres!$A$1:$I$89,5,0)</f>
        <v>0</v>
      </c>
      <c r="FG98" s="13" t="e">
        <f t="shared" si="101"/>
        <v>#NUM!</v>
      </c>
      <c r="FH98" s="20" t="e">
        <f t="shared" si="76"/>
        <v>#NUM!</v>
      </c>
      <c r="FI98" s="59" t="e">
        <f t="shared" si="77"/>
        <v>#NUM!</v>
      </c>
      <c r="FJ98" s="59">
        <f ca="1">AVERAGE(OFFSET($FI$3,0,0,'Données projet'!$E$16+1,1))-AVERAGE(OFFSET($H$3,0,0,'Données projet'!$E$16+1,1))</f>
        <v>0</v>
      </c>
      <c r="FK98" s="59">
        <f t="shared" si="102"/>
        <v>0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>
        <f>EXP(-LN(2)/35)*FQ97+(1-EXP(-LN(2)/35))/(LN(2)/35)*FM98*FN98*VLOOKUP('Données projet'!$B$16,Paramètres!$A$1:$I$89,3,0)*0.475*44/12</f>
        <v>0</v>
      </c>
      <c r="FR98" s="21">
        <f>EXP(-LN(2)/25)*FR97+(1-EXP(-LN(2)/25))/(LN(2)/25)*Calculateur!FM98*Calculateur!FO98*VLOOKUP('Données projet'!$B$16,Paramètres!$A$1:$I$89,3,0)*0.475*44/12</f>
        <v>0</v>
      </c>
      <c r="FS98" s="21">
        <f>EXP(-LN(2)/2)*FS97+(1-EXP(-LN(2)/2))/(LN(2)/2)*FM98*FP98*VLOOKUP('Données projet'!$B$16,Paramètres!$A$1:$I$89,3,0)*0.475*44/12</f>
        <v>0</v>
      </c>
      <c r="FT98" s="22">
        <f t="shared" si="78"/>
        <v>0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56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186.90544184210381</v>
      </c>
      <c r="T99" s="59">
        <f t="shared" si="88"/>
        <v>202.05988514450519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58.329539666456036</v>
      </c>
      <c r="AA99" s="21">
        <f>EXP(-LN(2)/25)*AA98+(1-EXP(-LN(2)/25))/(LN(2)/25)*Calculateur!V99*Calculateur!X99*VLOOKUP('Données projet'!$B$9,Paramètres!$A$1:$I$89,3,0)*0.475*44/12</f>
        <v>8.0531394470576529</v>
      </c>
      <c r="AB99" s="21">
        <f>EXP(-LN(2)/2)*AB98+(1-EXP(-LN(2)/2))/(LN(2)/2)*V99*Y99*VLOOKUP('Données projet'!$B$9,Paramètres!$A$1:$I$89,3,0)*0.475*44/12</f>
        <v>1.6412270648997703E-4</v>
      </c>
      <c r="AC99" s="22">
        <f t="shared" si="57"/>
        <v>66.382843236220182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>
        <f>AI99*VLOOKUP('Données projet'!$B$10,Paramètres!$A$1:$I$89,3,0)*VLOOKUP('Données projet'!$B$10,Paramètres!$A$1:$I$89,5,0)</f>
        <v>0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186.90544184210381</v>
      </c>
      <c r="AO99" s="59">
        <f t="shared" si="90"/>
        <v>202.05988514450519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58.329539666456036</v>
      </c>
      <c r="AV99" s="21">
        <f>EXP(-LN(2)/25)*AV98+(1-EXP(-LN(2)/25))/(LN(2)/25)*Calculateur!AQ99*Calculateur!AS99*VLOOKUP('Données projet'!$B$10,Paramètres!$A$1:$I$89,3,0)*0.475*44/12</f>
        <v>8.0531394470576529</v>
      </c>
      <c r="AW99" s="21">
        <f>EXP(-LN(2)/2)*AW98+(1-EXP(-LN(2)/2))/(LN(2)/2)*AQ99*AT99*VLOOKUP('Données projet'!$B$10,Paramètres!$A$1:$I$89,3,0)*0.475*44/12</f>
        <v>1.6412270648997703E-4</v>
      </c>
      <c r="AX99" s="21">
        <f t="shared" si="60"/>
        <v>66.382843236220182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-2.8421709430404007E-14</v>
      </c>
      <c r="BE99" s="13">
        <f>BD99*VLOOKUP('Données projet'!$B$11,Paramètres!$A$1:$I$89,3,0)*VLOOKUP('Données projet'!$B$11,Paramètres!$A$1:$I$89,5,0)</f>
        <v>-2.3055690689943732E-14</v>
      </c>
      <c r="BF99" s="13" t="e">
        <f t="shared" si="91"/>
        <v>#NUM!</v>
      </c>
      <c r="BG99" s="20" t="e">
        <f t="shared" si="61"/>
        <v>#NUM!</v>
      </c>
      <c r="BH99" s="59" t="e">
        <f t="shared" si="62"/>
        <v>#NUM!</v>
      </c>
      <c r="BI99" s="59">
        <f ca="1">AVERAGE(OFFSET($BH$3,0,0,'Données projet'!$E$11+1,1))-AVERAGE(OFFSET($H$3,0,0,'Données projet'!$E$11+1,1))</f>
        <v>5.8584049049231908</v>
      </c>
      <c r="BJ99" s="59">
        <f t="shared" si="92"/>
        <v>42.266833200216638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3.8600191585375317E-8</v>
      </c>
      <c r="BS99" s="22">
        <f t="shared" si="63"/>
        <v>3.8600191585375317E-8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>
        <f>BY99*VLOOKUP('Données projet'!$B$12,Paramètres!$A$1:$I$89,3,0)*VLOOKUP('Données projet'!$B$12,Paramètres!$A$1:$I$89,5,0)</f>
        <v>0</v>
      </c>
      <c r="CA99" s="13" t="e">
        <f t="shared" si="93"/>
        <v>#NUM!</v>
      </c>
      <c r="CB99" s="20" t="e">
        <f t="shared" si="64"/>
        <v>#NUM!</v>
      </c>
      <c r="CC99" s="59" t="e">
        <f t="shared" si="65"/>
        <v>#NUM!</v>
      </c>
      <c r="CD99" s="59">
        <f ca="1">AVERAGE(OFFSET($CC$3,0,0,'Données projet'!$E$12+1,1))-AVERAGE(OFFSET($H$3,0,0,'Données projet'!$E$12+1,1))</f>
        <v>0</v>
      </c>
      <c r="CE99" s="59">
        <f t="shared" si="94"/>
        <v>0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0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>
        <f>CT99*VLOOKUP('Données projet'!$B$13,Paramètres!$A$1:$I$89,3,0)*VLOOKUP('Données projet'!$B$13,Paramètres!$A$1:$I$89,5,0)</f>
        <v>0</v>
      </c>
      <c r="CV99" s="13" t="e">
        <f t="shared" si="95"/>
        <v>#NUM!</v>
      </c>
      <c r="CW99" s="20" t="e">
        <f t="shared" si="67"/>
        <v>#NUM!</v>
      </c>
      <c r="CX99" s="59" t="e">
        <f t="shared" si="68"/>
        <v>#NUM!</v>
      </c>
      <c r="CY99" s="59">
        <f ca="1">AVERAGE(OFFSET($CX$3,0,0,'Données projet'!$E$13+1,1))-AVERAGE(OFFSET($H$3,0,0,'Données projet'!$E$13+1,1))</f>
        <v>0</v>
      </c>
      <c r="CZ99" s="59">
        <f t="shared" si="96"/>
        <v>0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</v>
      </c>
      <c r="DG99" s="21">
        <f>EXP(-LN(2)/25)*DG98+(1-EXP(-LN(2)/25))/(LN(2)/25)*Calculateur!DB99*Calculateur!DD99*VLOOKUP('Données projet'!$B$13,Paramètres!$A$1:$I$89,3,0)*0.475*44/12</f>
        <v>0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0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>
        <f>DO99*VLOOKUP('Données projet'!$B$14,Paramètres!$A$1:$I$89,3,0)*VLOOKUP('Données projet'!$B$14,Paramètres!$A$1:$I$89,5,0)</f>
        <v>0</v>
      </c>
      <c r="DQ99" s="13" t="e">
        <f t="shared" si="97"/>
        <v>#NUM!</v>
      </c>
      <c r="DR99" s="20" t="e">
        <f t="shared" si="70"/>
        <v>#NUM!</v>
      </c>
      <c r="DS99" s="59" t="e">
        <f t="shared" si="71"/>
        <v>#NUM!</v>
      </c>
      <c r="DT99" s="59">
        <f ca="1">AVERAGE(OFFSET($DS$3,0,0,'Données projet'!$E$14+1,1))-AVERAGE(OFFSET($H$3,0,0,'Données projet'!$E$14+1,1))</f>
        <v>0</v>
      </c>
      <c r="DU99" s="59">
        <f t="shared" si="98"/>
        <v>0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0</v>
      </c>
      <c r="EB99" s="21">
        <f>EXP(-LN(2)/25)*EB98+(1-EXP(-LN(2)/25))/(LN(2)/25)*Calculateur!DW99*Calculateur!DY99*VLOOKUP('Données projet'!$B$14,Paramètres!$A$1:$I$89,3,0)*0.475*44/12</f>
        <v>0</v>
      </c>
      <c r="EC99" s="21">
        <f>EXP(-LN(2)/2)*EC98+(1-EXP(-LN(2)/2))/(LN(2)/2)*DW99*DZ99*VLOOKUP('Données projet'!$B$14,Paramètres!$A$1:$I$89,3,0)*0.475*44/12</f>
        <v>0</v>
      </c>
      <c r="ED99" s="22">
        <f t="shared" si="72"/>
        <v>0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>
        <f>EJ99*VLOOKUP('Données projet'!$B$15,Paramètres!$A$1:$I$89,3,0)*VLOOKUP('Données projet'!$B$15,Paramètres!$A$1:$I$89,5,0)</f>
        <v>0</v>
      </c>
      <c r="EL99" s="13" t="e">
        <f t="shared" si="99"/>
        <v>#NUM!</v>
      </c>
      <c r="EM99" s="20" t="e">
        <f t="shared" si="73"/>
        <v>#NUM!</v>
      </c>
      <c r="EN99" s="59" t="e">
        <f t="shared" si="74"/>
        <v>#NUM!</v>
      </c>
      <c r="EO99" s="59">
        <f ca="1">AVERAGE(OFFSET($EN$3,0,0,'Données projet'!$E$15+1,1))-AVERAGE(OFFSET($H$3,0,0,'Données projet'!$E$15+1,1))</f>
        <v>0</v>
      </c>
      <c r="EP99" s="59">
        <f t="shared" si="100"/>
        <v>0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>
        <f>EXP(-LN(2)/35)*EV98+(1-EXP(-LN(2)/35))/(LN(2)/35)*ER99*ES99*VLOOKUP('Données projet'!$B$15,Paramètres!$A$1:$I$89,3,0)*0.475*44/12</f>
        <v>0</v>
      </c>
      <c r="EW99" s="21">
        <f>EXP(-LN(2)/25)*EW98+(1-EXP(-LN(2)/25))/(LN(2)/25)*Calculateur!ER99*Calculateur!ET99*VLOOKUP('Données projet'!$B$15,Paramètres!$A$1:$I$89,3,0)*0.475*44/12</f>
        <v>0</v>
      </c>
      <c r="EX99" s="21">
        <f>EXP(-LN(2)/2)*EX98+(1-EXP(-LN(2)/2))/(LN(2)/2)*ER99*EU99*VLOOKUP('Données projet'!$B$15,Paramètres!$A$1:$I$89,3,0)*0.475*44/12</f>
        <v>0</v>
      </c>
      <c r="EY99" s="22">
        <f t="shared" si="75"/>
        <v>0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>
        <f>FE99*VLOOKUP('Données projet'!$B$16,Paramètres!$A$1:$I$89,3,0)*VLOOKUP('Données projet'!$B$16,Paramètres!$A$1:$I$89,5,0)</f>
        <v>0</v>
      </c>
      <c r="FG99" s="13" t="e">
        <f t="shared" si="101"/>
        <v>#NUM!</v>
      </c>
      <c r="FH99" s="20" t="e">
        <f t="shared" si="76"/>
        <v>#NUM!</v>
      </c>
      <c r="FI99" s="59" t="e">
        <f t="shared" si="77"/>
        <v>#NUM!</v>
      </c>
      <c r="FJ99" s="59">
        <f ca="1">AVERAGE(OFFSET($FI$3,0,0,'Données projet'!$E$16+1,1))-AVERAGE(OFFSET($H$3,0,0,'Données projet'!$E$16+1,1))</f>
        <v>0</v>
      </c>
      <c r="FK99" s="59">
        <f t="shared" si="102"/>
        <v>0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>
        <f>EXP(-LN(2)/35)*FQ98+(1-EXP(-LN(2)/35))/(LN(2)/35)*FM99*FN99*VLOOKUP('Données projet'!$B$16,Paramètres!$A$1:$I$89,3,0)*0.475*44/12</f>
        <v>0</v>
      </c>
      <c r="FR99" s="21">
        <f>EXP(-LN(2)/25)*FR98+(1-EXP(-LN(2)/25))/(LN(2)/25)*Calculateur!FM99*Calculateur!FO99*VLOOKUP('Données projet'!$B$16,Paramètres!$A$1:$I$89,3,0)*0.475*44/12</f>
        <v>0</v>
      </c>
      <c r="FS99" s="21">
        <f>EXP(-LN(2)/2)*FS98+(1-EXP(-LN(2)/2))/(LN(2)/2)*FM99*FP99*VLOOKUP('Données projet'!$B$16,Paramètres!$A$1:$I$89,3,0)*0.475*44/12</f>
        <v>0</v>
      </c>
      <c r="FT99" s="22">
        <f t="shared" si="78"/>
        <v>0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56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186.90544184210381</v>
      </c>
      <c r="T100" s="59">
        <f t="shared" si="88"/>
        <v>202.05988514450519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57.185732971103043</v>
      </c>
      <c r="AA100" s="21">
        <f>EXP(-LN(2)/25)*AA99+(1-EXP(-LN(2)/25))/(LN(2)/25)*Calculateur!V100*Calculateur!X100*VLOOKUP('Données projet'!$B$9,Paramètres!$A$1:$I$89,3,0)*0.475*44/12</f>
        <v>7.8329259253816632</v>
      </c>
      <c r="AB100" s="21">
        <f>EXP(-LN(2)/2)*AB99+(1-EXP(-LN(2)/2))/(LN(2)/2)*V100*Y100*VLOOKUP('Données projet'!$B$9,Paramètres!$A$1:$I$89,3,0)*0.475*44/12</f>
        <v>1.1605227870575215E-4</v>
      </c>
      <c r="AC100" s="22">
        <f t="shared" si="57"/>
        <v>65.018774948763408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>
        <f>AI100*VLOOKUP('Données projet'!$B$10,Paramètres!$A$1:$I$89,3,0)*VLOOKUP('Données projet'!$B$10,Paramètres!$A$1:$I$89,5,0)</f>
        <v>0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186.90544184210381</v>
      </c>
      <c r="AO100" s="59">
        <f t="shared" si="90"/>
        <v>202.05988514450519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57.185732971103043</v>
      </c>
      <c r="AV100" s="21">
        <f>EXP(-LN(2)/25)*AV99+(1-EXP(-LN(2)/25))/(LN(2)/25)*Calculateur!AQ100*Calculateur!AS100*VLOOKUP('Données projet'!$B$10,Paramètres!$A$1:$I$89,3,0)*0.475*44/12</f>
        <v>7.8329259253816632</v>
      </c>
      <c r="AW100" s="21">
        <f>EXP(-LN(2)/2)*AW99+(1-EXP(-LN(2)/2))/(LN(2)/2)*AQ100*AT100*VLOOKUP('Données projet'!$B$10,Paramètres!$A$1:$I$89,3,0)*0.475*44/12</f>
        <v>1.1605227870575215E-4</v>
      </c>
      <c r="AX100" s="21">
        <f t="shared" si="60"/>
        <v>65.018774948763408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-2.8421709430404007E-14</v>
      </c>
      <c r="BE100" s="13">
        <f>BD100*VLOOKUP('Données projet'!$B$11,Paramètres!$A$1:$I$89,3,0)*VLOOKUP('Données projet'!$B$11,Paramètres!$A$1:$I$89,5,0)</f>
        <v>-2.3055690689943732E-14</v>
      </c>
      <c r="BF100" s="13" t="e">
        <f t="shared" si="91"/>
        <v>#NUM!</v>
      </c>
      <c r="BG100" s="20" t="e">
        <f t="shared" si="61"/>
        <v>#NUM!</v>
      </c>
      <c r="BH100" s="59" t="e">
        <f t="shared" si="62"/>
        <v>#NUM!</v>
      </c>
      <c r="BI100" s="59">
        <f ca="1">AVERAGE(OFFSET($BH$3,0,0,'Données projet'!$E$11+1,1))-AVERAGE(OFFSET($H$3,0,0,'Données projet'!$E$11+1,1))</f>
        <v>5.8584049049231908</v>
      </c>
      <c r="BJ100" s="59">
        <f t="shared" si="92"/>
        <v>42.266833200216638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2.7294457225118798E-8</v>
      </c>
      <c r="BS100" s="22">
        <f t="shared" si="63"/>
        <v>2.7294457225118798E-8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>
        <f>BY100*VLOOKUP('Données projet'!$B$12,Paramètres!$A$1:$I$89,3,0)*VLOOKUP('Données projet'!$B$12,Paramètres!$A$1:$I$89,5,0)</f>
        <v>0</v>
      </c>
      <c r="CA100" s="13" t="e">
        <f t="shared" si="93"/>
        <v>#NUM!</v>
      </c>
      <c r="CB100" s="20" t="e">
        <f t="shared" si="64"/>
        <v>#NUM!</v>
      </c>
      <c r="CC100" s="59" t="e">
        <f t="shared" si="65"/>
        <v>#NUM!</v>
      </c>
      <c r="CD100" s="59">
        <f ca="1">AVERAGE(OFFSET($CC$3,0,0,'Données projet'!$E$12+1,1))-AVERAGE(OFFSET($H$3,0,0,'Données projet'!$E$12+1,1))</f>
        <v>0</v>
      </c>
      <c r="CE100" s="59">
        <f t="shared" si="94"/>
        <v>0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0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>
        <f>CT100*VLOOKUP('Données projet'!$B$13,Paramètres!$A$1:$I$89,3,0)*VLOOKUP('Données projet'!$B$13,Paramètres!$A$1:$I$89,5,0)</f>
        <v>0</v>
      </c>
      <c r="CV100" s="13" t="e">
        <f t="shared" si="95"/>
        <v>#NUM!</v>
      </c>
      <c r="CW100" s="20" t="e">
        <f t="shared" si="67"/>
        <v>#NUM!</v>
      </c>
      <c r="CX100" s="59" t="e">
        <f t="shared" si="68"/>
        <v>#NUM!</v>
      </c>
      <c r="CY100" s="59">
        <f ca="1">AVERAGE(OFFSET($CX$3,0,0,'Données projet'!$E$13+1,1))-AVERAGE(OFFSET($H$3,0,0,'Données projet'!$E$13+1,1))</f>
        <v>0</v>
      </c>
      <c r="CZ100" s="59">
        <f t="shared" si="96"/>
        <v>0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</v>
      </c>
      <c r="DG100" s="21">
        <f>EXP(-LN(2)/25)*DG99+(1-EXP(-LN(2)/25))/(LN(2)/25)*Calculateur!DB100*Calculateur!DD100*VLOOKUP('Données projet'!$B$13,Paramètres!$A$1:$I$89,3,0)*0.475*44/12</f>
        <v>0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0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>
        <f>DO100*VLOOKUP('Données projet'!$B$14,Paramètres!$A$1:$I$89,3,0)*VLOOKUP('Données projet'!$B$14,Paramètres!$A$1:$I$89,5,0)</f>
        <v>0</v>
      </c>
      <c r="DQ100" s="13" t="e">
        <f t="shared" si="97"/>
        <v>#NUM!</v>
      </c>
      <c r="DR100" s="20" t="e">
        <f t="shared" si="70"/>
        <v>#NUM!</v>
      </c>
      <c r="DS100" s="59" t="e">
        <f t="shared" si="71"/>
        <v>#NUM!</v>
      </c>
      <c r="DT100" s="59">
        <f ca="1">AVERAGE(OFFSET($DS$3,0,0,'Données projet'!$E$14+1,1))-AVERAGE(OFFSET($H$3,0,0,'Données projet'!$E$14+1,1))</f>
        <v>0</v>
      </c>
      <c r="DU100" s="59">
        <f t="shared" si="98"/>
        <v>0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0</v>
      </c>
      <c r="EB100" s="21">
        <f>EXP(-LN(2)/25)*EB99+(1-EXP(-LN(2)/25))/(LN(2)/25)*Calculateur!DW100*Calculateur!DY100*VLOOKUP('Données projet'!$B$14,Paramètres!$A$1:$I$89,3,0)*0.475*44/12</f>
        <v>0</v>
      </c>
      <c r="EC100" s="21">
        <f>EXP(-LN(2)/2)*EC99+(1-EXP(-LN(2)/2))/(LN(2)/2)*DW100*DZ100*VLOOKUP('Données projet'!$B$14,Paramètres!$A$1:$I$89,3,0)*0.475*44/12</f>
        <v>0</v>
      </c>
      <c r="ED100" s="22">
        <f t="shared" si="72"/>
        <v>0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>
        <f>EJ100*VLOOKUP('Données projet'!$B$15,Paramètres!$A$1:$I$89,3,0)*VLOOKUP('Données projet'!$B$15,Paramètres!$A$1:$I$89,5,0)</f>
        <v>0</v>
      </c>
      <c r="EL100" s="13" t="e">
        <f t="shared" si="99"/>
        <v>#NUM!</v>
      </c>
      <c r="EM100" s="20" t="e">
        <f t="shared" si="73"/>
        <v>#NUM!</v>
      </c>
      <c r="EN100" s="59" t="e">
        <f t="shared" si="74"/>
        <v>#NUM!</v>
      </c>
      <c r="EO100" s="59">
        <f ca="1">AVERAGE(OFFSET($EN$3,0,0,'Données projet'!$E$15+1,1))-AVERAGE(OFFSET($H$3,0,0,'Données projet'!$E$15+1,1))</f>
        <v>0</v>
      </c>
      <c r="EP100" s="59">
        <f t="shared" si="100"/>
        <v>0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>
        <f>EXP(-LN(2)/35)*EV99+(1-EXP(-LN(2)/35))/(LN(2)/35)*ER100*ES100*VLOOKUP('Données projet'!$B$15,Paramètres!$A$1:$I$89,3,0)*0.475*44/12</f>
        <v>0</v>
      </c>
      <c r="EW100" s="21">
        <f>EXP(-LN(2)/25)*EW99+(1-EXP(-LN(2)/25))/(LN(2)/25)*Calculateur!ER100*Calculateur!ET100*VLOOKUP('Données projet'!$B$15,Paramètres!$A$1:$I$89,3,0)*0.475*44/12</f>
        <v>0</v>
      </c>
      <c r="EX100" s="21">
        <f>EXP(-LN(2)/2)*EX99+(1-EXP(-LN(2)/2))/(LN(2)/2)*ER100*EU100*VLOOKUP('Données projet'!$B$15,Paramètres!$A$1:$I$89,3,0)*0.475*44/12</f>
        <v>0</v>
      </c>
      <c r="EY100" s="22">
        <f t="shared" si="75"/>
        <v>0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>
        <f>FE100*VLOOKUP('Données projet'!$B$16,Paramètres!$A$1:$I$89,3,0)*VLOOKUP('Données projet'!$B$16,Paramètres!$A$1:$I$89,5,0)</f>
        <v>0</v>
      </c>
      <c r="FG100" s="13" t="e">
        <f t="shared" si="101"/>
        <v>#NUM!</v>
      </c>
      <c r="FH100" s="20" t="e">
        <f t="shared" si="76"/>
        <v>#NUM!</v>
      </c>
      <c r="FI100" s="59" t="e">
        <f t="shared" si="77"/>
        <v>#NUM!</v>
      </c>
      <c r="FJ100" s="59">
        <f ca="1">AVERAGE(OFFSET($FI$3,0,0,'Données projet'!$E$16+1,1))-AVERAGE(OFFSET($H$3,0,0,'Données projet'!$E$16+1,1))</f>
        <v>0</v>
      </c>
      <c r="FK100" s="59">
        <f t="shared" si="102"/>
        <v>0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>
        <f>EXP(-LN(2)/35)*FQ99+(1-EXP(-LN(2)/35))/(LN(2)/35)*FM100*FN100*VLOOKUP('Données projet'!$B$16,Paramètres!$A$1:$I$89,3,0)*0.475*44/12</f>
        <v>0</v>
      </c>
      <c r="FR100" s="21">
        <f>EXP(-LN(2)/25)*FR99+(1-EXP(-LN(2)/25))/(LN(2)/25)*Calculateur!FM100*Calculateur!FO100*VLOOKUP('Données projet'!$B$16,Paramètres!$A$1:$I$89,3,0)*0.475*44/12</f>
        <v>0</v>
      </c>
      <c r="FS100" s="21">
        <f>EXP(-LN(2)/2)*FS99+(1-EXP(-LN(2)/2))/(LN(2)/2)*FM100*FP100*VLOOKUP('Données projet'!$B$16,Paramètres!$A$1:$I$89,3,0)*0.475*44/12</f>
        <v>0</v>
      </c>
      <c r="FT100" s="22">
        <f t="shared" si="78"/>
        <v>0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56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186.90544184210381</v>
      </c>
      <c r="T101" s="59">
        <f t="shared" si="88"/>
        <v>202.05988514450519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56.064355627392729</v>
      </c>
      <c r="AA101" s="21">
        <f>EXP(-LN(2)/25)*AA100+(1-EXP(-LN(2)/25))/(LN(2)/25)*Calculateur!V101*Calculateur!X101*VLOOKUP('Données projet'!$B$9,Paramètres!$A$1:$I$89,3,0)*0.475*44/12</f>
        <v>7.6187341540364297</v>
      </c>
      <c r="AB101" s="21">
        <f>EXP(-LN(2)/2)*AB100+(1-EXP(-LN(2)/2))/(LN(2)/2)*V101*Y101*VLOOKUP('Données projet'!$B$9,Paramètres!$A$1:$I$89,3,0)*0.475*44/12</f>
        <v>8.2061353244988517E-5</v>
      </c>
      <c r="AC101" s="22">
        <f t="shared" si="57"/>
        <v>63.683171842782407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>
        <f>AI101*VLOOKUP('Données projet'!$B$10,Paramètres!$A$1:$I$89,3,0)*VLOOKUP('Données projet'!$B$10,Paramètres!$A$1:$I$89,5,0)</f>
        <v>0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186.90544184210381</v>
      </c>
      <c r="AO101" s="59">
        <f t="shared" si="90"/>
        <v>202.05988514450519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56.064355627392729</v>
      </c>
      <c r="AV101" s="21">
        <f>EXP(-LN(2)/25)*AV100+(1-EXP(-LN(2)/25))/(LN(2)/25)*Calculateur!AQ101*Calculateur!AS101*VLOOKUP('Données projet'!$B$10,Paramètres!$A$1:$I$89,3,0)*0.475*44/12</f>
        <v>7.6187341540364297</v>
      </c>
      <c r="AW101" s="21">
        <f>EXP(-LN(2)/2)*AW100+(1-EXP(-LN(2)/2))/(LN(2)/2)*AQ101*AT101*VLOOKUP('Données projet'!$B$10,Paramètres!$A$1:$I$89,3,0)*0.475*44/12</f>
        <v>8.2061353244988517E-5</v>
      </c>
      <c r="AX101" s="21">
        <f t="shared" si="60"/>
        <v>63.683171842782407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-2.8421709430404007E-14</v>
      </c>
      <c r="BE101" s="13">
        <f>BD101*VLOOKUP('Données projet'!$B$11,Paramètres!$A$1:$I$89,3,0)*VLOOKUP('Données projet'!$B$11,Paramètres!$A$1:$I$89,5,0)</f>
        <v>-2.3055690689943732E-14</v>
      </c>
      <c r="BF101" s="13" t="e">
        <f t="shared" si="91"/>
        <v>#NUM!</v>
      </c>
      <c r="BG101" s="20" t="e">
        <f t="shared" si="61"/>
        <v>#NUM!</v>
      </c>
      <c r="BH101" s="59" t="e">
        <f t="shared" si="62"/>
        <v>#NUM!</v>
      </c>
      <c r="BI101" s="59">
        <f ca="1">AVERAGE(OFFSET($BH$3,0,0,'Données projet'!$E$11+1,1))-AVERAGE(OFFSET($H$3,0,0,'Données projet'!$E$11+1,1))</f>
        <v>5.8584049049231908</v>
      </c>
      <c r="BJ101" s="59">
        <f t="shared" si="92"/>
        <v>42.266833200216638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1.9300095792687659E-8</v>
      </c>
      <c r="BS101" s="22">
        <f t="shared" si="63"/>
        <v>1.9300095792687659E-8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>
        <f>BY101*VLOOKUP('Données projet'!$B$12,Paramètres!$A$1:$I$89,3,0)*VLOOKUP('Données projet'!$B$12,Paramètres!$A$1:$I$89,5,0)</f>
        <v>0</v>
      </c>
      <c r="CA101" s="13" t="e">
        <f t="shared" si="93"/>
        <v>#NUM!</v>
      </c>
      <c r="CB101" s="20" t="e">
        <f t="shared" si="64"/>
        <v>#NUM!</v>
      </c>
      <c r="CC101" s="59" t="e">
        <f t="shared" si="65"/>
        <v>#NUM!</v>
      </c>
      <c r="CD101" s="59">
        <f ca="1">AVERAGE(OFFSET($CC$3,0,0,'Données projet'!$E$12+1,1))-AVERAGE(OFFSET($H$3,0,0,'Données projet'!$E$12+1,1))</f>
        <v>0</v>
      </c>
      <c r="CE101" s="59">
        <f t="shared" si="94"/>
        <v>0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0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>
        <f>CT101*VLOOKUP('Données projet'!$B$13,Paramètres!$A$1:$I$89,3,0)*VLOOKUP('Données projet'!$B$13,Paramètres!$A$1:$I$89,5,0)</f>
        <v>0</v>
      </c>
      <c r="CV101" s="13" t="e">
        <f t="shared" si="95"/>
        <v>#NUM!</v>
      </c>
      <c r="CW101" s="20" t="e">
        <f t="shared" si="67"/>
        <v>#NUM!</v>
      </c>
      <c r="CX101" s="59" t="e">
        <f t="shared" si="68"/>
        <v>#NUM!</v>
      </c>
      <c r="CY101" s="59">
        <f ca="1">AVERAGE(OFFSET($CX$3,0,0,'Données projet'!$E$13+1,1))-AVERAGE(OFFSET($H$3,0,0,'Données projet'!$E$13+1,1))</f>
        <v>0</v>
      </c>
      <c r="CZ101" s="59">
        <f t="shared" si="96"/>
        <v>0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</v>
      </c>
      <c r="DG101" s="21">
        <f>EXP(-LN(2)/25)*DG100+(1-EXP(-LN(2)/25))/(LN(2)/25)*Calculateur!DB101*Calculateur!DD101*VLOOKUP('Données projet'!$B$13,Paramètres!$A$1:$I$89,3,0)*0.475*44/12</f>
        <v>0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0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>
        <f>DO101*VLOOKUP('Données projet'!$B$14,Paramètres!$A$1:$I$89,3,0)*VLOOKUP('Données projet'!$B$14,Paramètres!$A$1:$I$89,5,0)</f>
        <v>0</v>
      </c>
      <c r="DQ101" s="13" t="e">
        <f t="shared" si="97"/>
        <v>#NUM!</v>
      </c>
      <c r="DR101" s="20" t="e">
        <f t="shared" si="70"/>
        <v>#NUM!</v>
      </c>
      <c r="DS101" s="59" t="e">
        <f t="shared" si="71"/>
        <v>#NUM!</v>
      </c>
      <c r="DT101" s="59">
        <f ca="1">AVERAGE(OFFSET($DS$3,0,0,'Données projet'!$E$14+1,1))-AVERAGE(OFFSET($H$3,0,0,'Données projet'!$E$14+1,1))</f>
        <v>0</v>
      </c>
      <c r="DU101" s="59">
        <f t="shared" si="98"/>
        <v>0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0</v>
      </c>
      <c r="EB101" s="21">
        <f>EXP(-LN(2)/25)*EB100+(1-EXP(-LN(2)/25))/(LN(2)/25)*Calculateur!DW101*Calculateur!DY101*VLOOKUP('Données projet'!$B$14,Paramètres!$A$1:$I$89,3,0)*0.475*44/12</f>
        <v>0</v>
      </c>
      <c r="EC101" s="21">
        <f>EXP(-LN(2)/2)*EC100+(1-EXP(-LN(2)/2))/(LN(2)/2)*DW101*DZ101*VLOOKUP('Données projet'!$B$14,Paramètres!$A$1:$I$89,3,0)*0.475*44/12</f>
        <v>0</v>
      </c>
      <c r="ED101" s="22">
        <f t="shared" si="72"/>
        <v>0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>
        <f>EJ101*VLOOKUP('Données projet'!$B$15,Paramètres!$A$1:$I$89,3,0)*VLOOKUP('Données projet'!$B$15,Paramètres!$A$1:$I$89,5,0)</f>
        <v>0</v>
      </c>
      <c r="EL101" s="13" t="e">
        <f t="shared" si="99"/>
        <v>#NUM!</v>
      </c>
      <c r="EM101" s="20" t="e">
        <f t="shared" si="73"/>
        <v>#NUM!</v>
      </c>
      <c r="EN101" s="59" t="e">
        <f t="shared" si="74"/>
        <v>#NUM!</v>
      </c>
      <c r="EO101" s="59">
        <f ca="1">AVERAGE(OFFSET($EN$3,0,0,'Données projet'!$E$15+1,1))-AVERAGE(OFFSET($H$3,0,0,'Données projet'!$E$15+1,1))</f>
        <v>0</v>
      </c>
      <c r="EP101" s="59">
        <f t="shared" si="100"/>
        <v>0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>
        <f>EXP(-LN(2)/35)*EV100+(1-EXP(-LN(2)/35))/(LN(2)/35)*ER101*ES101*VLOOKUP('Données projet'!$B$15,Paramètres!$A$1:$I$89,3,0)*0.475*44/12</f>
        <v>0</v>
      </c>
      <c r="EW101" s="21">
        <f>EXP(-LN(2)/25)*EW100+(1-EXP(-LN(2)/25))/(LN(2)/25)*Calculateur!ER101*Calculateur!ET101*VLOOKUP('Données projet'!$B$15,Paramètres!$A$1:$I$89,3,0)*0.475*44/12</f>
        <v>0</v>
      </c>
      <c r="EX101" s="21">
        <f>EXP(-LN(2)/2)*EX100+(1-EXP(-LN(2)/2))/(LN(2)/2)*ER101*EU101*VLOOKUP('Données projet'!$B$15,Paramètres!$A$1:$I$89,3,0)*0.475*44/12</f>
        <v>0</v>
      </c>
      <c r="EY101" s="22">
        <f t="shared" si="75"/>
        <v>0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>
        <f>FE101*VLOOKUP('Données projet'!$B$16,Paramètres!$A$1:$I$89,3,0)*VLOOKUP('Données projet'!$B$16,Paramètres!$A$1:$I$89,5,0)</f>
        <v>0</v>
      </c>
      <c r="FG101" s="13" t="e">
        <f t="shared" si="101"/>
        <v>#NUM!</v>
      </c>
      <c r="FH101" s="20" t="e">
        <f t="shared" si="76"/>
        <v>#NUM!</v>
      </c>
      <c r="FI101" s="59" t="e">
        <f t="shared" si="77"/>
        <v>#NUM!</v>
      </c>
      <c r="FJ101" s="59">
        <f ca="1">AVERAGE(OFFSET($FI$3,0,0,'Données projet'!$E$16+1,1))-AVERAGE(OFFSET($H$3,0,0,'Données projet'!$E$16+1,1))</f>
        <v>0</v>
      </c>
      <c r="FK101" s="59">
        <f t="shared" si="102"/>
        <v>0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>
        <f>EXP(-LN(2)/35)*FQ100+(1-EXP(-LN(2)/35))/(LN(2)/35)*FM101*FN101*VLOOKUP('Données projet'!$B$16,Paramètres!$A$1:$I$89,3,0)*0.475*44/12</f>
        <v>0</v>
      </c>
      <c r="FR101" s="21">
        <f>EXP(-LN(2)/25)*FR100+(1-EXP(-LN(2)/25))/(LN(2)/25)*Calculateur!FM101*Calculateur!FO101*VLOOKUP('Données projet'!$B$16,Paramètres!$A$1:$I$89,3,0)*0.475*44/12</f>
        <v>0</v>
      </c>
      <c r="FS101" s="21">
        <f>EXP(-LN(2)/2)*FS100+(1-EXP(-LN(2)/2))/(LN(2)/2)*FM101*FP101*VLOOKUP('Données projet'!$B$16,Paramètres!$A$1:$I$89,3,0)*0.475*44/12</f>
        <v>0</v>
      </c>
      <c r="FT101" s="22">
        <f t="shared" si="78"/>
        <v>0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56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186.90544184210381</v>
      </c>
      <c r="T102" s="59">
        <f t="shared" si="88"/>
        <v>202.05988514450519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54.964967809419925</v>
      </c>
      <c r="AA102" s="21">
        <f>EXP(-LN(2)/25)*AA101+(1-EXP(-LN(2)/25))/(LN(2)/25)*Calculateur!V102*Calculateur!X102*VLOOKUP('Données projet'!$B$9,Paramètres!$A$1:$I$89,3,0)*0.475*44/12</f>
        <v>7.4103994679424874</v>
      </c>
      <c r="AB102" s="21">
        <f>EXP(-LN(2)/2)*AB101+(1-EXP(-LN(2)/2))/(LN(2)/2)*V102*Y102*VLOOKUP('Données projet'!$B$9,Paramètres!$A$1:$I$89,3,0)*0.475*44/12</f>
        <v>5.8026139352876077E-5</v>
      </c>
      <c r="AC102" s="22">
        <f t="shared" si="57"/>
        <v>62.375425303501764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>
        <f>AI102*VLOOKUP('Données projet'!$B$10,Paramètres!$A$1:$I$89,3,0)*VLOOKUP('Données projet'!$B$10,Paramètres!$A$1:$I$89,5,0)</f>
        <v>0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186.90544184210381</v>
      </c>
      <c r="AO102" s="59">
        <f t="shared" si="90"/>
        <v>202.05988514450519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54.964967809419925</v>
      </c>
      <c r="AV102" s="21">
        <f>EXP(-LN(2)/25)*AV101+(1-EXP(-LN(2)/25))/(LN(2)/25)*Calculateur!AQ102*Calculateur!AS102*VLOOKUP('Données projet'!$B$10,Paramètres!$A$1:$I$89,3,0)*0.475*44/12</f>
        <v>7.4103994679424874</v>
      </c>
      <c r="AW102" s="21">
        <f>EXP(-LN(2)/2)*AW101+(1-EXP(-LN(2)/2))/(LN(2)/2)*AQ102*AT102*VLOOKUP('Données projet'!$B$10,Paramètres!$A$1:$I$89,3,0)*0.475*44/12</f>
        <v>5.8026139352876077E-5</v>
      </c>
      <c r="AX102" s="21">
        <f t="shared" si="60"/>
        <v>62.375425303501764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-2.8421709430404007E-14</v>
      </c>
      <c r="BE102" s="13">
        <f>BD102*VLOOKUP('Données projet'!$B$11,Paramètres!$A$1:$I$89,3,0)*VLOOKUP('Données projet'!$B$11,Paramètres!$A$1:$I$89,5,0)</f>
        <v>-2.3055690689943732E-14</v>
      </c>
      <c r="BF102" s="13" t="e">
        <f t="shared" si="91"/>
        <v>#NUM!</v>
      </c>
      <c r="BG102" s="20" t="e">
        <f t="shared" si="61"/>
        <v>#NUM!</v>
      </c>
      <c r="BH102" s="59" t="e">
        <f t="shared" si="62"/>
        <v>#NUM!</v>
      </c>
      <c r="BI102" s="59">
        <f ca="1">AVERAGE(OFFSET($BH$3,0,0,'Données projet'!$E$11+1,1))-AVERAGE(OFFSET($H$3,0,0,'Données projet'!$E$11+1,1))</f>
        <v>5.8584049049231908</v>
      </c>
      <c r="BJ102" s="59">
        <f t="shared" si="92"/>
        <v>42.266833200216638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1.3647228612559399E-8</v>
      </c>
      <c r="BS102" s="22">
        <f t="shared" si="63"/>
        <v>1.3647228612559399E-8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>
        <f>BY102*VLOOKUP('Données projet'!$B$12,Paramètres!$A$1:$I$89,3,0)*VLOOKUP('Données projet'!$B$12,Paramètres!$A$1:$I$89,5,0)</f>
        <v>0</v>
      </c>
      <c r="CA102" s="13" t="e">
        <f t="shared" si="93"/>
        <v>#NUM!</v>
      </c>
      <c r="CB102" s="20" t="e">
        <f t="shared" si="64"/>
        <v>#NUM!</v>
      </c>
      <c r="CC102" s="59" t="e">
        <f t="shared" si="65"/>
        <v>#NUM!</v>
      </c>
      <c r="CD102" s="59">
        <f ca="1">AVERAGE(OFFSET($CC$3,0,0,'Données projet'!$E$12+1,1))-AVERAGE(OFFSET($H$3,0,0,'Données projet'!$E$12+1,1))</f>
        <v>0</v>
      </c>
      <c r="CE102" s="59">
        <f t="shared" si="94"/>
        <v>0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0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>
        <f>CT102*VLOOKUP('Données projet'!$B$13,Paramètres!$A$1:$I$89,3,0)*VLOOKUP('Données projet'!$B$13,Paramètres!$A$1:$I$89,5,0)</f>
        <v>0</v>
      </c>
      <c r="CV102" s="13" t="e">
        <f t="shared" si="95"/>
        <v>#NUM!</v>
      </c>
      <c r="CW102" s="20" t="e">
        <f t="shared" si="67"/>
        <v>#NUM!</v>
      </c>
      <c r="CX102" s="59" t="e">
        <f t="shared" si="68"/>
        <v>#NUM!</v>
      </c>
      <c r="CY102" s="59">
        <f ca="1">AVERAGE(OFFSET($CX$3,0,0,'Données projet'!$E$13+1,1))-AVERAGE(OFFSET($H$3,0,0,'Données projet'!$E$13+1,1))</f>
        <v>0</v>
      </c>
      <c r="CZ102" s="59">
        <f t="shared" si="96"/>
        <v>0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</v>
      </c>
      <c r="DG102" s="21">
        <f>EXP(-LN(2)/25)*DG101+(1-EXP(-LN(2)/25))/(LN(2)/25)*Calculateur!DB102*Calculateur!DD102*VLOOKUP('Données projet'!$B$13,Paramètres!$A$1:$I$89,3,0)*0.475*44/12</f>
        <v>0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0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>
        <f>DO102*VLOOKUP('Données projet'!$B$14,Paramètres!$A$1:$I$89,3,0)*VLOOKUP('Données projet'!$B$14,Paramètres!$A$1:$I$89,5,0)</f>
        <v>0</v>
      </c>
      <c r="DQ102" s="13" t="e">
        <f t="shared" si="97"/>
        <v>#NUM!</v>
      </c>
      <c r="DR102" s="20" t="e">
        <f t="shared" si="70"/>
        <v>#NUM!</v>
      </c>
      <c r="DS102" s="59" t="e">
        <f t="shared" si="71"/>
        <v>#NUM!</v>
      </c>
      <c r="DT102" s="59">
        <f ca="1">AVERAGE(OFFSET($DS$3,0,0,'Données projet'!$E$14+1,1))-AVERAGE(OFFSET($H$3,0,0,'Données projet'!$E$14+1,1))</f>
        <v>0</v>
      </c>
      <c r="DU102" s="59">
        <f t="shared" si="98"/>
        <v>0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0</v>
      </c>
      <c r="EB102" s="21">
        <f>EXP(-LN(2)/25)*EB101+(1-EXP(-LN(2)/25))/(LN(2)/25)*Calculateur!DW102*Calculateur!DY102*VLOOKUP('Données projet'!$B$14,Paramètres!$A$1:$I$89,3,0)*0.475*44/12</f>
        <v>0</v>
      </c>
      <c r="EC102" s="21">
        <f>EXP(-LN(2)/2)*EC101+(1-EXP(-LN(2)/2))/(LN(2)/2)*DW102*DZ102*VLOOKUP('Données projet'!$B$14,Paramètres!$A$1:$I$89,3,0)*0.475*44/12</f>
        <v>0</v>
      </c>
      <c r="ED102" s="22">
        <f t="shared" si="72"/>
        <v>0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>
        <f>EJ102*VLOOKUP('Données projet'!$B$15,Paramètres!$A$1:$I$89,3,0)*VLOOKUP('Données projet'!$B$15,Paramètres!$A$1:$I$89,5,0)</f>
        <v>0</v>
      </c>
      <c r="EL102" s="13" t="e">
        <f t="shared" si="99"/>
        <v>#NUM!</v>
      </c>
      <c r="EM102" s="20" t="e">
        <f t="shared" si="73"/>
        <v>#NUM!</v>
      </c>
      <c r="EN102" s="59" t="e">
        <f t="shared" si="74"/>
        <v>#NUM!</v>
      </c>
      <c r="EO102" s="59">
        <f ca="1">AVERAGE(OFFSET($EN$3,0,0,'Données projet'!$E$15+1,1))-AVERAGE(OFFSET($H$3,0,0,'Données projet'!$E$15+1,1))</f>
        <v>0</v>
      </c>
      <c r="EP102" s="59">
        <f t="shared" si="100"/>
        <v>0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>
        <f>EXP(-LN(2)/35)*EV101+(1-EXP(-LN(2)/35))/(LN(2)/35)*ER102*ES102*VLOOKUP('Données projet'!$B$15,Paramètres!$A$1:$I$89,3,0)*0.475*44/12</f>
        <v>0</v>
      </c>
      <c r="EW102" s="21">
        <f>EXP(-LN(2)/25)*EW101+(1-EXP(-LN(2)/25))/(LN(2)/25)*Calculateur!ER102*Calculateur!ET102*VLOOKUP('Données projet'!$B$15,Paramètres!$A$1:$I$89,3,0)*0.475*44/12</f>
        <v>0</v>
      </c>
      <c r="EX102" s="21">
        <f>EXP(-LN(2)/2)*EX101+(1-EXP(-LN(2)/2))/(LN(2)/2)*ER102*EU102*VLOOKUP('Données projet'!$B$15,Paramètres!$A$1:$I$89,3,0)*0.475*44/12</f>
        <v>0</v>
      </c>
      <c r="EY102" s="22">
        <f t="shared" si="75"/>
        <v>0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>
        <f>FE102*VLOOKUP('Données projet'!$B$16,Paramètres!$A$1:$I$89,3,0)*VLOOKUP('Données projet'!$B$16,Paramètres!$A$1:$I$89,5,0)</f>
        <v>0</v>
      </c>
      <c r="FG102" s="13" t="e">
        <f t="shared" si="101"/>
        <v>#NUM!</v>
      </c>
      <c r="FH102" s="20" t="e">
        <f t="shared" si="76"/>
        <v>#NUM!</v>
      </c>
      <c r="FI102" s="59" t="e">
        <f t="shared" si="77"/>
        <v>#NUM!</v>
      </c>
      <c r="FJ102" s="59">
        <f ca="1">AVERAGE(OFFSET($FI$3,0,0,'Données projet'!$E$16+1,1))-AVERAGE(OFFSET($H$3,0,0,'Données projet'!$E$16+1,1))</f>
        <v>0</v>
      </c>
      <c r="FK102" s="59">
        <f t="shared" si="102"/>
        <v>0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>
        <f>EXP(-LN(2)/35)*FQ101+(1-EXP(-LN(2)/35))/(LN(2)/35)*FM102*FN102*VLOOKUP('Données projet'!$B$16,Paramètres!$A$1:$I$89,3,0)*0.475*44/12</f>
        <v>0</v>
      </c>
      <c r="FR102" s="21">
        <f>EXP(-LN(2)/25)*FR101+(1-EXP(-LN(2)/25))/(LN(2)/25)*Calculateur!FM102*Calculateur!FO102*VLOOKUP('Données projet'!$B$16,Paramètres!$A$1:$I$89,3,0)*0.475*44/12</f>
        <v>0</v>
      </c>
      <c r="FS102" s="21">
        <f>EXP(-LN(2)/2)*FS101+(1-EXP(-LN(2)/2))/(LN(2)/2)*FM102*FP102*VLOOKUP('Données projet'!$B$16,Paramètres!$A$1:$I$89,3,0)*0.475*44/12</f>
        <v>0</v>
      </c>
      <c r="FT102" s="22">
        <f t="shared" si="78"/>
        <v>0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56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186.90544184210381</v>
      </c>
      <c r="T103" s="59">
        <f t="shared" si="88"/>
        <v>202.05988514450519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53.887138315997213</v>
      </c>
      <c r="AA103" s="21">
        <f>EXP(-LN(2)/25)*AA102+(1-EXP(-LN(2)/25))/(LN(2)/25)*Calculateur!V103*Calculateur!X103*VLOOKUP('Données projet'!$B$9,Paramètres!$A$1:$I$89,3,0)*0.475*44/12</f>
        <v>7.2077617047956286</v>
      </c>
      <c r="AB103" s="21">
        <f>EXP(-LN(2)/2)*AB102+(1-EXP(-LN(2)/2))/(LN(2)/2)*V103*Y103*VLOOKUP('Données projet'!$B$9,Paramètres!$A$1:$I$89,3,0)*0.475*44/12</f>
        <v>4.1030676622494258E-5</v>
      </c>
      <c r="AC103" s="22">
        <f t="shared" si="57"/>
        <v>61.094941051469462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>
        <f>AI103*VLOOKUP('Données projet'!$B$10,Paramètres!$A$1:$I$89,3,0)*VLOOKUP('Données projet'!$B$10,Paramètres!$A$1:$I$89,5,0)</f>
        <v>0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186.90544184210381</v>
      </c>
      <c r="AO103" s="59">
        <f t="shared" si="90"/>
        <v>202.05988514450519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53.887138315997213</v>
      </c>
      <c r="AV103" s="21">
        <f>EXP(-LN(2)/25)*AV102+(1-EXP(-LN(2)/25))/(LN(2)/25)*Calculateur!AQ103*Calculateur!AS103*VLOOKUP('Données projet'!$B$10,Paramètres!$A$1:$I$89,3,0)*0.475*44/12</f>
        <v>7.2077617047956286</v>
      </c>
      <c r="AW103" s="21">
        <f>EXP(-LN(2)/2)*AW102+(1-EXP(-LN(2)/2))/(LN(2)/2)*AQ103*AT103*VLOOKUP('Données projet'!$B$10,Paramètres!$A$1:$I$89,3,0)*0.475*44/12</f>
        <v>4.1030676622494258E-5</v>
      </c>
      <c r="AX103" s="21">
        <f t="shared" si="60"/>
        <v>61.094941051469462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-2.8421709430404007E-14</v>
      </c>
      <c r="BE103" s="13">
        <f>BD103*VLOOKUP('Données projet'!$B$11,Paramètres!$A$1:$I$89,3,0)*VLOOKUP('Données projet'!$B$11,Paramètres!$A$1:$I$89,5,0)</f>
        <v>-2.3055690689943732E-14</v>
      </c>
      <c r="BF103" s="13" t="e">
        <f t="shared" si="91"/>
        <v>#NUM!</v>
      </c>
      <c r="BG103" s="20" t="e">
        <f t="shared" si="61"/>
        <v>#NUM!</v>
      </c>
      <c r="BH103" s="59" t="e">
        <f t="shared" si="62"/>
        <v>#NUM!</v>
      </c>
      <c r="BI103" s="59">
        <f ca="1">AVERAGE(OFFSET($BH$3,0,0,'Données projet'!$E$11+1,1))-AVERAGE(OFFSET($H$3,0,0,'Données projet'!$E$11+1,1))</f>
        <v>5.8584049049231908</v>
      </c>
      <c r="BJ103" s="59">
        <f t="shared" si="92"/>
        <v>42.266833200216638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9.6500478963438294E-9</v>
      </c>
      <c r="BS103" s="22">
        <f t="shared" si="63"/>
        <v>9.6500478963438294E-9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>
        <f>BY103*VLOOKUP('Données projet'!$B$12,Paramètres!$A$1:$I$89,3,0)*VLOOKUP('Données projet'!$B$12,Paramètres!$A$1:$I$89,5,0)</f>
        <v>0</v>
      </c>
      <c r="CA103" s="13" t="e">
        <f t="shared" si="93"/>
        <v>#NUM!</v>
      </c>
      <c r="CB103" s="20" t="e">
        <f t="shared" si="64"/>
        <v>#NUM!</v>
      </c>
      <c r="CC103" s="59" t="e">
        <f t="shared" si="65"/>
        <v>#NUM!</v>
      </c>
      <c r="CD103" s="59">
        <f ca="1">AVERAGE(OFFSET($CC$3,0,0,'Données projet'!$E$12+1,1))-AVERAGE(OFFSET($H$3,0,0,'Données projet'!$E$12+1,1))</f>
        <v>0</v>
      </c>
      <c r="CE103" s="59">
        <f t="shared" si="94"/>
        <v>0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0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>
        <f>CT103*VLOOKUP('Données projet'!$B$13,Paramètres!$A$1:$I$89,3,0)*VLOOKUP('Données projet'!$B$13,Paramètres!$A$1:$I$89,5,0)</f>
        <v>0</v>
      </c>
      <c r="CV103" s="13" t="e">
        <f t="shared" si="95"/>
        <v>#NUM!</v>
      </c>
      <c r="CW103" s="20" t="e">
        <f t="shared" si="67"/>
        <v>#NUM!</v>
      </c>
      <c r="CX103" s="59" t="e">
        <f t="shared" si="68"/>
        <v>#NUM!</v>
      </c>
      <c r="CY103" s="59">
        <f ca="1">AVERAGE(OFFSET($CX$3,0,0,'Données projet'!$E$13+1,1))-AVERAGE(OFFSET($H$3,0,0,'Données projet'!$E$13+1,1))</f>
        <v>0</v>
      </c>
      <c r="CZ103" s="59">
        <f t="shared" si="96"/>
        <v>0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</v>
      </c>
      <c r="DG103" s="21">
        <f>EXP(-LN(2)/25)*DG102+(1-EXP(-LN(2)/25))/(LN(2)/25)*Calculateur!DB103*Calculateur!DD103*VLOOKUP('Données projet'!$B$13,Paramètres!$A$1:$I$89,3,0)*0.475*44/12</f>
        <v>0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0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>
        <f>DO103*VLOOKUP('Données projet'!$B$14,Paramètres!$A$1:$I$89,3,0)*VLOOKUP('Données projet'!$B$14,Paramètres!$A$1:$I$89,5,0)</f>
        <v>0</v>
      </c>
      <c r="DQ103" s="13" t="e">
        <f t="shared" si="97"/>
        <v>#NUM!</v>
      </c>
      <c r="DR103" s="20" t="e">
        <f t="shared" si="70"/>
        <v>#NUM!</v>
      </c>
      <c r="DS103" s="59" t="e">
        <f t="shared" si="71"/>
        <v>#NUM!</v>
      </c>
      <c r="DT103" s="59">
        <f ca="1">AVERAGE(OFFSET($DS$3,0,0,'Données projet'!$E$14+1,1))-AVERAGE(OFFSET($H$3,0,0,'Données projet'!$E$14+1,1))</f>
        <v>0</v>
      </c>
      <c r="DU103" s="59">
        <f t="shared" si="98"/>
        <v>0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0</v>
      </c>
      <c r="EB103" s="21">
        <f>EXP(-LN(2)/25)*EB102+(1-EXP(-LN(2)/25))/(LN(2)/25)*Calculateur!DW103*Calculateur!DY103*VLOOKUP('Données projet'!$B$14,Paramètres!$A$1:$I$89,3,0)*0.475*44/12</f>
        <v>0</v>
      </c>
      <c r="EC103" s="21">
        <f>EXP(-LN(2)/2)*EC102+(1-EXP(-LN(2)/2))/(LN(2)/2)*DW103*DZ103*VLOOKUP('Données projet'!$B$14,Paramètres!$A$1:$I$89,3,0)*0.475*44/12</f>
        <v>0</v>
      </c>
      <c r="ED103" s="22">
        <f t="shared" si="72"/>
        <v>0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>
        <f>EJ103*VLOOKUP('Données projet'!$B$15,Paramètres!$A$1:$I$89,3,0)*VLOOKUP('Données projet'!$B$15,Paramètres!$A$1:$I$89,5,0)</f>
        <v>0</v>
      </c>
      <c r="EL103" s="13" t="e">
        <f t="shared" si="99"/>
        <v>#NUM!</v>
      </c>
      <c r="EM103" s="20" t="e">
        <f t="shared" si="73"/>
        <v>#NUM!</v>
      </c>
      <c r="EN103" s="59" t="e">
        <f t="shared" si="74"/>
        <v>#NUM!</v>
      </c>
      <c r="EO103" s="59">
        <f ca="1">AVERAGE(OFFSET($EN$3,0,0,'Données projet'!$E$15+1,1))-AVERAGE(OFFSET($H$3,0,0,'Données projet'!$E$15+1,1))</f>
        <v>0</v>
      </c>
      <c r="EP103" s="59">
        <f t="shared" si="100"/>
        <v>0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>
        <f>EXP(-LN(2)/35)*EV102+(1-EXP(-LN(2)/35))/(LN(2)/35)*ER103*ES103*VLOOKUP('Données projet'!$B$15,Paramètres!$A$1:$I$89,3,0)*0.475*44/12</f>
        <v>0</v>
      </c>
      <c r="EW103" s="21">
        <f>EXP(-LN(2)/25)*EW102+(1-EXP(-LN(2)/25))/(LN(2)/25)*Calculateur!ER103*Calculateur!ET103*VLOOKUP('Données projet'!$B$15,Paramètres!$A$1:$I$89,3,0)*0.475*44/12</f>
        <v>0</v>
      </c>
      <c r="EX103" s="21">
        <f>EXP(-LN(2)/2)*EX102+(1-EXP(-LN(2)/2))/(LN(2)/2)*ER103*EU103*VLOOKUP('Données projet'!$B$15,Paramètres!$A$1:$I$89,3,0)*0.475*44/12</f>
        <v>0</v>
      </c>
      <c r="EY103" s="22">
        <f t="shared" si="75"/>
        <v>0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>
        <f>FE103*VLOOKUP('Données projet'!$B$16,Paramètres!$A$1:$I$89,3,0)*VLOOKUP('Données projet'!$B$16,Paramètres!$A$1:$I$89,5,0)</f>
        <v>0</v>
      </c>
      <c r="FG103" s="13" t="e">
        <f t="shared" si="101"/>
        <v>#NUM!</v>
      </c>
      <c r="FH103" s="20" t="e">
        <f t="shared" si="76"/>
        <v>#NUM!</v>
      </c>
      <c r="FI103" s="59" t="e">
        <f t="shared" si="77"/>
        <v>#NUM!</v>
      </c>
      <c r="FJ103" s="59">
        <f ca="1">AVERAGE(OFFSET($FI$3,0,0,'Données projet'!$E$16+1,1))-AVERAGE(OFFSET($H$3,0,0,'Données projet'!$E$16+1,1))</f>
        <v>0</v>
      </c>
      <c r="FK103" s="59">
        <f t="shared" si="102"/>
        <v>0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>
        <f>EXP(-LN(2)/35)*FQ102+(1-EXP(-LN(2)/35))/(LN(2)/35)*FM103*FN103*VLOOKUP('Données projet'!$B$16,Paramètres!$A$1:$I$89,3,0)*0.475*44/12</f>
        <v>0</v>
      </c>
      <c r="FR103" s="21">
        <f>EXP(-LN(2)/25)*FR102+(1-EXP(-LN(2)/25))/(LN(2)/25)*Calculateur!FM103*Calculateur!FO103*VLOOKUP('Données projet'!$B$16,Paramètres!$A$1:$I$89,3,0)*0.475*44/12</f>
        <v>0</v>
      </c>
      <c r="FS103" s="21">
        <f>EXP(-LN(2)/2)*FS102+(1-EXP(-LN(2)/2))/(LN(2)/2)*FM103*FP103*VLOOKUP('Données projet'!$B$16,Paramètres!$A$1:$I$89,3,0)*0.475*44/12</f>
        <v>0</v>
      </c>
      <c r="FT103" s="22">
        <f t="shared" si="78"/>
        <v>0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56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186.90544184210381</v>
      </c>
      <c r="T104" s="59">
        <f t="shared" si="88"/>
        <v>202.05988514450519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52.830444401529441</v>
      </c>
      <c r="AA104" s="21">
        <f>EXP(-LN(2)/25)*AA103+(1-EXP(-LN(2)/25))/(LN(2)/25)*Calculateur!V104*Calculateur!X104*VLOOKUP('Données projet'!$B$9,Paramètres!$A$1:$I$89,3,0)*0.475*44/12</f>
        <v>7.0106650819382779</v>
      </c>
      <c r="AB104" s="21">
        <f>EXP(-LN(2)/2)*AB103+(1-EXP(-LN(2)/2))/(LN(2)/2)*V104*Y104*VLOOKUP('Données projet'!$B$9,Paramètres!$A$1:$I$89,3,0)*0.475*44/12</f>
        <v>2.9013069676438039E-5</v>
      </c>
      <c r="AC104" s="22">
        <f t="shared" si="57"/>
        <v>59.841138496537397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>
        <f>AI104*VLOOKUP('Données projet'!$B$10,Paramètres!$A$1:$I$89,3,0)*VLOOKUP('Données projet'!$B$10,Paramètres!$A$1:$I$89,5,0)</f>
        <v>0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186.90544184210381</v>
      </c>
      <c r="AO104" s="59">
        <f t="shared" si="90"/>
        <v>202.05988514450519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52.830444401529441</v>
      </c>
      <c r="AV104" s="21">
        <f>EXP(-LN(2)/25)*AV103+(1-EXP(-LN(2)/25))/(LN(2)/25)*Calculateur!AQ104*Calculateur!AS104*VLOOKUP('Données projet'!$B$10,Paramètres!$A$1:$I$89,3,0)*0.475*44/12</f>
        <v>7.0106650819382779</v>
      </c>
      <c r="AW104" s="21">
        <f>EXP(-LN(2)/2)*AW103+(1-EXP(-LN(2)/2))/(LN(2)/2)*AQ104*AT104*VLOOKUP('Données projet'!$B$10,Paramètres!$A$1:$I$89,3,0)*0.475*44/12</f>
        <v>2.9013069676438039E-5</v>
      </c>
      <c r="AX104" s="21">
        <f t="shared" si="60"/>
        <v>59.841138496537397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-2.8421709430404007E-14</v>
      </c>
      <c r="BE104" s="13">
        <f>BD104*VLOOKUP('Données projet'!$B$11,Paramètres!$A$1:$I$89,3,0)*VLOOKUP('Données projet'!$B$11,Paramètres!$A$1:$I$89,5,0)</f>
        <v>-2.3055690689943732E-14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5.8584049049231908</v>
      </c>
      <c r="BJ104" s="59">
        <f t="shared" si="92"/>
        <v>42.266833200216638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6.8236143062796995E-9</v>
      </c>
      <c r="BS104" s="22">
        <f t="shared" si="63"/>
        <v>6.8236143062796995E-9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>
        <f>BY104*VLOOKUP('Données projet'!$B$12,Paramètres!$A$1:$I$89,3,0)*VLOOKUP('Données projet'!$B$12,Paramètres!$A$1:$I$89,5,0)</f>
        <v>0</v>
      </c>
      <c r="CA104" s="13" t="e">
        <f t="shared" si="93"/>
        <v>#NUM!</v>
      </c>
      <c r="CB104" s="20" t="e">
        <f t="shared" si="64"/>
        <v>#NUM!</v>
      </c>
      <c r="CC104" s="59" t="e">
        <f t="shared" si="65"/>
        <v>#NUM!</v>
      </c>
      <c r="CD104" s="59">
        <f ca="1">AVERAGE(OFFSET($CC$3,0,0,'Données projet'!$E$12+1,1))-AVERAGE(OFFSET($H$3,0,0,'Données projet'!$E$12+1,1))</f>
        <v>0</v>
      </c>
      <c r="CE104" s="59">
        <f t="shared" si="94"/>
        <v>0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0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>
        <f>CT104*VLOOKUP('Données projet'!$B$13,Paramètres!$A$1:$I$89,3,0)*VLOOKUP('Données projet'!$B$13,Paramètres!$A$1:$I$89,5,0)</f>
        <v>0</v>
      </c>
      <c r="CV104" s="13" t="e">
        <f t="shared" si="95"/>
        <v>#NUM!</v>
      </c>
      <c r="CW104" s="20" t="e">
        <f t="shared" si="67"/>
        <v>#NUM!</v>
      </c>
      <c r="CX104" s="59" t="e">
        <f t="shared" si="68"/>
        <v>#NUM!</v>
      </c>
      <c r="CY104" s="59">
        <f ca="1">AVERAGE(OFFSET($CX$3,0,0,'Données projet'!$E$13+1,1))-AVERAGE(OFFSET($H$3,0,0,'Données projet'!$E$13+1,1))</f>
        <v>0</v>
      </c>
      <c r="CZ104" s="59">
        <f t="shared" si="96"/>
        <v>0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</v>
      </c>
      <c r="DG104" s="21">
        <f>EXP(-LN(2)/25)*DG103+(1-EXP(-LN(2)/25))/(LN(2)/25)*Calculateur!DB104*Calculateur!DD104*VLOOKUP('Données projet'!$B$13,Paramètres!$A$1:$I$89,3,0)*0.475*44/12</f>
        <v>0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0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>
        <f>DO104*VLOOKUP('Données projet'!$B$14,Paramètres!$A$1:$I$89,3,0)*VLOOKUP('Données projet'!$B$14,Paramètres!$A$1:$I$89,5,0)</f>
        <v>0</v>
      </c>
      <c r="DQ104" s="13" t="e">
        <f t="shared" si="97"/>
        <v>#NUM!</v>
      </c>
      <c r="DR104" s="20" t="e">
        <f t="shared" si="70"/>
        <v>#NUM!</v>
      </c>
      <c r="DS104" s="59" t="e">
        <f t="shared" si="71"/>
        <v>#NUM!</v>
      </c>
      <c r="DT104" s="59">
        <f ca="1">AVERAGE(OFFSET($DS$3,0,0,'Données projet'!$E$14+1,1))-AVERAGE(OFFSET($H$3,0,0,'Données projet'!$E$14+1,1))</f>
        <v>0</v>
      </c>
      <c r="DU104" s="59">
        <f t="shared" si="98"/>
        <v>0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0</v>
      </c>
      <c r="EB104" s="21">
        <f>EXP(-LN(2)/25)*EB103+(1-EXP(-LN(2)/25))/(LN(2)/25)*Calculateur!DW104*Calculateur!DY104*VLOOKUP('Données projet'!$B$14,Paramètres!$A$1:$I$89,3,0)*0.475*44/12</f>
        <v>0</v>
      </c>
      <c r="EC104" s="21">
        <f>EXP(-LN(2)/2)*EC103+(1-EXP(-LN(2)/2))/(LN(2)/2)*DW104*DZ104*VLOOKUP('Données projet'!$B$14,Paramètres!$A$1:$I$89,3,0)*0.475*44/12</f>
        <v>0</v>
      </c>
      <c r="ED104" s="22">
        <f t="shared" si="72"/>
        <v>0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>
        <f>EJ104*VLOOKUP('Données projet'!$B$15,Paramètres!$A$1:$I$89,3,0)*VLOOKUP('Données projet'!$B$15,Paramètres!$A$1:$I$89,5,0)</f>
        <v>0</v>
      </c>
      <c r="EL104" s="13" t="e">
        <f t="shared" si="99"/>
        <v>#NUM!</v>
      </c>
      <c r="EM104" s="20" t="e">
        <f t="shared" si="73"/>
        <v>#NUM!</v>
      </c>
      <c r="EN104" s="59" t="e">
        <f t="shared" si="74"/>
        <v>#NUM!</v>
      </c>
      <c r="EO104" s="59">
        <f ca="1">AVERAGE(OFFSET($EN$3,0,0,'Données projet'!$E$15+1,1))-AVERAGE(OFFSET($H$3,0,0,'Données projet'!$E$15+1,1))</f>
        <v>0</v>
      </c>
      <c r="EP104" s="59">
        <f t="shared" si="100"/>
        <v>0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>
        <f>EXP(-LN(2)/35)*EV103+(1-EXP(-LN(2)/35))/(LN(2)/35)*ER104*ES104*VLOOKUP('Données projet'!$B$15,Paramètres!$A$1:$I$89,3,0)*0.475*44/12</f>
        <v>0</v>
      </c>
      <c r="EW104" s="21">
        <f>EXP(-LN(2)/25)*EW103+(1-EXP(-LN(2)/25))/(LN(2)/25)*Calculateur!ER104*Calculateur!ET104*VLOOKUP('Données projet'!$B$15,Paramètres!$A$1:$I$89,3,0)*0.475*44/12</f>
        <v>0</v>
      </c>
      <c r="EX104" s="21">
        <f>EXP(-LN(2)/2)*EX103+(1-EXP(-LN(2)/2))/(LN(2)/2)*ER104*EU104*VLOOKUP('Données projet'!$B$15,Paramètres!$A$1:$I$89,3,0)*0.475*44/12</f>
        <v>0</v>
      </c>
      <c r="EY104" s="22">
        <f t="shared" si="75"/>
        <v>0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>
        <f>FE104*VLOOKUP('Données projet'!$B$16,Paramètres!$A$1:$I$89,3,0)*VLOOKUP('Données projet'!$B$16,Paramètres!$A$1:$I$89,5,0)</f>
        <v>0</v>
      </c>
      <c r="FG104" s="13" t="e">
        <f t="shared" si="101"/>
        <v>#NUM!</v>
      </c>
      <c r="FH104" s="20" t="e">
        <f t="shared" si="76"/>
        <v>#NUM!</v>
      </c>
      <c r="FI104" s="59" t="e">
        <f t="shared" si="77"/>
        <v>#NUM!</v>
      </c>
      <c r="FJ104" s="59">
        <f ca="1">AVERAGE(OFFSET($FI$3,0,0,'Données projet'!$E$16+1,1))-AVERAGE(OFFSET($H$3,0,0,'Données projet'!$E$16+1,1))</f>
        <v>0</v>
      </c>
      <c r="FK104" s="59">
        <f t="shared" si="102"/>
        <v>0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>
        <f>EXP(-LN(2)/35)*FQ103+(1-EXP(-LN(2)/35))/(LN(2)/35)*FM104*FN104*VLOOKUP('Données projet'!$B$16,Paramètres!$A$1:$I$89,3,0)*0.475*44/12</f>
        <v>0</v>
      </c>
      <c r="FR104" s="21">
        <f>EXP(-LN(2)/25)*FR103+(1-EXP(-LN(2)/25))/(LN(2)/25)*Calculateur!FM104*Calculateur!FO104*VLOOKUP('Données projet'!$B$16,Paramètres!$A$1:$I$89,3,0)*0.475*44/12</f>
        <v>0</v>
      </c>
      <c r="FS104" s="21">
        <f>EXP(-LN(2)/2)*FS103+(1-EXP(-LN(2)/2))/(LN(2)/2)*FM104*FP104*VLOOKUP('Données projet'!$B$16,Paramètres!$A$1:$I$89,3,0)*0.475*44/12</f>
        <v>0</v>
      </c>
      <c r="FT104" s="22">
        <f t="shared" si="78"/>
        <v>0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56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186.90544184210381</v>
      </c>
      <c r="T105" s="59">
        <f t="shared" si="88"/>
        <v>202.05988514450519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51.794471610204738</v>
      </c>
      <c r="AA105" s="21">
        <f>EXP(-LN(2)/25)*AA104+(1-EXP(-LN(2)/25))/(LN(2)/25)*Calculateur!V105*Calculateur!X105*VLOOKUP('Données projet'!$B$9,Paramètres!$A$1:$I$89,3,0)*0.475*44/12</f>
        <v>6.8189580765978217</v>
      </c>
      <c r="AB105" s="21">
        <f>EXP(-LN(2)/2)*AB104+(1-EXP(-LN(2)/2))/(LN(2)/2)*V105*Y105*VLOOKUP('Données projet'!$B$9,Paramètres!$A$1:$I$89,3,0)*0.475*44/12</f>
        <v>2.0515338311247129E-5</v>
      </c>
      <c r="AC105" s="22">
        <f t="shared" si="57"/>
        <v>58.613450202140875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>
        <f>AI105*VLOOKUP('Données projet'!$B$10,Paramètres!$A$1:$I$89,3,0)*VLOOKUP('Données projet'!$B$10,Paramètres!$A$1:$I$89,5,0)</f>
        <v>0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186.90544184210381</v>
      </c>
      <c r="AO105" s="59">
        <f t="shared" si="90"/>
        <v>202.05988514450519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51.794471610204738</v>
      </c>
      <c r="AV105" s="21">
        <f>EXP(-LN(2)/25)*AV104+(1-EXP(-LN(2)/25))/(LN(2)/25)*Calculateur!AQ105*Calculateur!AS105*VLOOKUP('Données projet'!$B$10,Paramètres!$A$1:$I$89,3,0)*0.475*44/12</f>
        <v>6.8189580765978217</v>
      </c>
      <c r="AW105" s="21">
        <f>EXP(-LN(2)/2)*AW104+(1-EXP(-LN(2)/2))/(LN(2)/2)*AQ105*AT105*VLOOKUP('Données projet'!$B$10,Paramètres!$A$1:$I$89,3,0)*0.475*44/12</f>
        <v>2.0515338311247129E-5</v>
      </c>
      <c r="AX105" s="21">
        <f t="shared" si="60"/>
        <v>58.613450202140875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-2.8421709430404007E-14</v>
      </c>
      <c r="BE105" s="13">
        <f>BD105*VLOOKUP('Données projet'!$B$11,Paramètres!$A$1:$I$89,3,0)*VLOOKUP('Données projet'!$B$11,Paramètres!$A$1:$I$89,5,0)</f>
        <v>-2.3055690689943732E-14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5.8584049049231908</v>
      </c>
      <c r="BJ105" s="59">
        <f t="shared" si="92"/>
        <v>42.266833200216638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4.8250239481719147E-9</v>
      </c>
      <c r="BS105" s="22">
        <f t="shared" si="63"/>
        <v>4.8250239481719147E-9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>
        <f>BY105*VLOOKUP('Données projet'!$B$12,Paramètres!$A$1:$I$89,3,0)*VLOOKUP('Données projet'!$B$12,Paramètres!$A$1:$I$89,5,0)</f>
        <v>0</v>
      </c>
      <c r="CA105" s="13" t="e">
        <f t="shared" si="93"/>
        <v>#NUM!</v>
      </c>
      <c r="CB105" s="20" t="e">
        <f t="shared" si="64"/>
        <v>#NUM!</v>
      </c>
      <c r="CC105" s="59" t="e">
        <f t="shared" si="65"/>
        <v>#NUM!</v>
      </c>
      <c r="CD105" s="59">
        <f ca="1">AVERAGE(OFFSET($CC$3,0,0,'Données projet'!$E$12+1,1))-AVERAGE(OFFSET($H$3,0,0,'Données projet'!$E$12+1,1))</f>
        <v>0</v>
      </c>
      <c r="CE105" s="59">
        <f t="shared" si="94"/>
        <v>0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0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>
        <f>CT105*VLOOKUP('Données projet'!$B$13,Paramètres!$A$1:$I$89,3,0)*VLOOKUP('Données projet'!$B$13,Paramètres!$A$1:$I$89,5,0)</f>
        <v>0</v>
      </c>
      <c r="CV105" s="13" t="e">
        <f t="shared" si="95"/>
        <v>#NUM!</v>
      </c>
      <c r="CW105" s="20" t="e">
        <f t="shared" si="67"/>
        <v>#NUM!</v>
      </c>
      <c r="CX105" s="59" t="e">
        <f t="shared" si="68"/>
        <v>#NUM!</v>
      </c>
      <c r="CY105" s="59">
        <f ca="1">AVERAGE(OFFSET($CX$3,0,0,'Données projet'!$E$13+1,1))-AVERAGE(OFFSET($H$3,0,0,'Données projet'!$E$13+1,1))</f>
        <v>0</v>
      </c>
      <c r="CZ105" s="59">
        <f t="shared" si="96"/>
        <v>0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</v>
      </c>
      <c r="DG105" s="21">
        <f>EXP(-LN(2)/25)*DG104+(1-EXP(-LN(2)/25))/(LN(2)/25)*Calculateur!DB105*Calculateur!DD105*VLOOKUP('Données projet'!$B$13,Paramètres!$A$1:$I$89,3,0)*0.475*44/12</f>
        <v>0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0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>
        <f>DO105*VLOOKUP('Données projet'!$B$14,Paramètres!$A$1:$I$89,3,0)*VLOOKUP('Données projet'!$B$14,Paramètres!$A$1:$I$89,5,0)</f>
        <v>0</v>
      </c>
      <c r="DQ105" s="13" t="e">
        <f t="shared" si="97"/>
        <v>#NUM!</v>
      </c>
      <c r="DR105" s="20" t="e">
        <f t="shared" si="70"/>
        <v>#NUM!</v>
      </c>
      <c r="DS105" s="59" t="e">
        <f t="shared" si="71"/>
        <v>#NUM!</v>
      </c>
      <c r="DT105" s="59">
        <f ca="1">AVERAGE(OFFSET($DS$3,0,0,'Données projet'!$E$14+1,1))-AVERAGE(OFFSET($H$3,0,0,'Données projet'!$E$14+1,1))</f>
        <v>0</v>
      </c>
      <c r="DU105" s="59">
        <f t="shared" si="98"/>
        <v>0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0</v>
      </c>
      <c r="EB105" s="21">
        <f>EXP(-LN(2)/25)*EB104+(1-EXP(-LN(2)/25))/(LN(2)/25)*Calculateur!DW105*Calculateur!DY105*VLOOKUP('Données projet'!$B$14,Paramètres!$A$1:$I$89,3,0)*0.475*44/12</f>
        <v>0</v>
      </c>
      <c r="EC105" s="21">
        <f>EXP(-LN(2)/2)*EC104+(1-EXP(-LN(2)/2))/(LN(2)/2)*DW105*DZ105*VLOOKUP('Données projet'!$B$14,Paramètres!$A$1:$I$89,3,0)*0.475*44/12</f>
        <v>0</v>
      </c>
      <c r="ED105" s="22">
        <f t="shared" si="72"/>
        <v>0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>
        <f>EJ105*VLOOKUP('Données projet'!$B$15,Paramètres!$A$1:$I$89,3,0)*VLOOKUP('Données projet'!$B$15,Paramètres!$A$1:$I$89,5,0)</f>
        <v>0</v>
      </c>
      <c r="EL105" s="13" t="e">
        <f t="shared" si="99"/>
        <v>#NUM!</v>
      </c>
      <c r="EM105" s="20" t="e">
        <f t="shared" si="73"/>
        <v>#NUM!</v>
      </c>
      <c r="EN105" s="59" t="e">
        <f t="shared" si="74"/>
        <v>#NUM!</v>
      </c>
      <c r="EO105" s="59">
        <f ca="1">AVERAGE(OFFSET($EN$3,0,0,'Données projet'!$E$15+1,1))-AVERAGE(OFFSET($H$3,0,0,'Données projet'!$E$15+1,1))</f>
        <v>0</v>
      </c>
      <c r="EP105" s="59">
        <f t="shared" si="100"/>
        <v>0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>
        <f>EXP(-LN(2)/35)*EV104+(1-EXP(-LN(2)/35))/(LN(2)/35)*ER105*ES105*VLOOKUP('Données projet'!$B$15,Paramètres!$A$1:$I$89,3,0)*0.475*44/12</f>
        <v>0</v>
      </c>
      <c r="EW105" s="21">
        <f>EXP(-LN(2)/25)*EW104+(1-EXP(-LN(2)/25))/(LN(2)/25)*Calculateur!ER105*Calculateur!ET105*VLOOKUP('Données projet'!$B$15,Paramètres!$A$1:$I$89,3,0)*0.475*44/12</f>
        <v>0</v>
      </c>
      <c r="EX105" s="21">
        <f>EXP(-LN(2)/2)*EX104+(1-EXP(-LN(2)/2))/(LN(2)/2)*ER105*EU105*VLOOKUP('Données projet'!$B$15,Paramètres!$A$1:$I$89,3,0)*0.475*44/12</f>
        <v>0</v>
      </c>
      <c r="EY105" s="22">
        <f t="shared" si="75"/>
        <v>0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>
        <f>FE105*VLOOKUP('Données projet'!$B$16,Paramètres!$A$1:$I$89,3,0)*VLOOKUP('Données projet'!$B$16,Paramètres!$A$1:$I$89,5,0)</f>
        <v>0</v>
      </c>
      <c r="FG105" s="13" t="e">
        <f t="shared" si="101"/>
        <v>#NUM!</v>
      </c>
      <c r="FH105" s="20" t="e">
        <f t="shared" si="76"/>
        <v>#NUM!</v>
      </c>
      <c r="FI105" s="59" t="e">
        <f t="shared" si="77"/>
        <v>#NUM!</v>
      </c>
      <c r="FJ105" s="59">
        <f ca="1">AVERAGE(OFFSET($FI$3,0,0,'Données projet'!$E$16+1,1))-AVERAGE(OFFSET($H$3,0,0,'Données projet'!$E$16+1,1))</f>
        <v>0</v>
      </c>
      <c r="FK105" s="59">
        <f t="shared" si="102"/>
        <v>0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>
        <f>EXP(-LN(2)/35)*FQ104+(1-EXP(-LN(2)/35))/(LN(2)/35)*FM105*FN105*VLOOKUP('Données projet'!$B$16,Paramètres!$A$1:$I$89,3,0)*0.475*44/12</f>
        <v>0</v>
      </c>
      <c r="FR105" s="21">
        <f>EXP(-LN(2)/25)*FR104+(1-EXP(-LN(2)/25))/(LN(2)/25)*Calculateur!FM105*Calculateur!FO105*VLOOKUP('Données projet'!$B$16,Paramètres!$A$1:$I$89,3,0)*0.475*44/12</f>
        <v>0</v>
      </c>
      <c r="FS105" s="21">
        <f>EXP(-LN(2)/2)*FS104+(1-EXP(-LN(2)/2))/(LN(2)/2)*FM105*FP105*VLOOKUP('Données projet'!$B$16,Paramètres!$A$1:$I$89,3,0)*0.475*44/12</f>
        <v>0</v>
      </c>
      <c r="FT105" s="22">
        <f t="shared" si="78"/>
        <v>0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56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186.90544184210381</v>
      </c>
      <c r="T106" s="59">
        <f t="shared" si="88"/>
        <v>202.05988514450519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50.778813613436903</v>
      </c>
      <c r="AA106" s="21">
        <f>EXP(-LN(2)/25)*AA105+(1-EXP(-LN(2)/25))/(LN(2)/25)*Calculateur!V106*Calculateur!X106*VLOOKUP('Données projet'!$B$9,Paramètres!$A$1:$I$89,3,0)*0.475*44/12</f>
        <v>6.6324933093998339</v>
      </c>
      <c r="AB106" s="21">
        <f>EXP(-LN(2)/2)*AB105+(1-EXP(-LN(2)/2))/(LN(2)/2)*V106*Y106*VLOOKUP('Données projet'!$B$9,Paramètres!$A$1:$I$89,3,0)*0.475*44/12</f>
        <v>1.4506534838219019E-5</v>
      </c>
      <c r="AC106" s="22">
        <f t="shared" si="57"/>
        <v>57.411321429371576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>
        <f>AI106*VLOOKUP('Données projet'!$B$10,Paramètres!$A$1:$I$89,3,0)*VLOOKUP('Données projet'!$B$10,Paramètres!$A$1:$I$89,5,0)</f>
        <v>0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186.90544184210381</v>
      </c>
      <c r="AO106" s="59">
        <f t="shared" si="90"/>
        <v>202.05988514450519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50.778813613436903</v>
      </c>
      <c r="AV106" s="21">
        <f>EXP(-LN(2)/25)*AV105+(1-EXP(-LN(2)/25))/(LN(2)/25)*Calculateur!AQ106*Calculateur!AS106*VLOOKUP('Données projet'!$B$10,Paramètres!$A$1:$I$89,3,0)*0.475*44/12</f>
        <v>6.6324933093998339</v>
      </c>
      <c r="AW106" s="21">
        <f>EXP(-LN(2)/2)*AW105+(1-EXP(-LN(2)/2))/(LN(2)/2)*AQ106*AT106*VLOOKUP('Données projet'!$B$10,Paramètres!$A$1:$I$89,3,0)*0.475*44/12</f>
        <v>1.4506534838219019E-5</v>
      </c>
      <c r="AX106" s="21">
        <f t="shared" si="60"/>
        <v>57.411321429371576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-2.8421709430404007E-14</v>
      </c>
      <c r="BE106" s="13">
        <f>BD106*VLOOKUP('Données projet'!$B$11,Paramètres!$A$1:$I$89,3,0)*VLOOKUP('Données projet'!$B$11,Paramètres!$A$1:$I$89,5,0)</f>
        <v>-2.3055690689943732E-14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5.8584049049231908</v>
      </c>
      <c r="BJ106" s="59">
        <f t="shared" si="92"/>
        <v>42.266833200216638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3.4118071531398498E-9</v>
      </c>
      <c r="BS106" s="22">
        <f t="shared" si="63"/>
        <v>3.4118071531398498E-9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>
        <f>BY106*VLOOKUP('Données projet'!$B$12,Paramètres!$A$1:$I$89,3,0)*VLOOKUP('Données projet'!$B$12,Paramètres!$A$1:$I$89,5,0)</f>
        <v>0</v>
      </c>
      <c r="CA106" s="13" t="e">
        <f t="shared" si="93"/>
        <v>#NUM!</v>
      </c>
      <c r="CB106" s="20" t="e">
        <f t="shared" si="64"/>
        <v>#NUM!</v>
      </c>
      <c r="CC106" s="59" t="e">
        <f t="shared" si="65"/>
        <v>#NUM!</v>
      </c>
      <c r="CD106" s="59">
        <f ca="1">AVERAGE(OFFSET($CC$3,0,0,'Données projet'!$E$12+1,1))-AVERAGE(OFFSET($H$3,0,0,'Données projet'!$E$12+1,1))</f>
        <v>0</v>
      </c>
      <c r="CE106" s="59">
        <f t="shared" si="94"/>
        <v>0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0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>
        <f>CT106*VLOOKUP('Données projet'!$B$13,Paramètres!$A$1:$I$89,3,0)*VLOOKUP('Données projet'!$B$13,Paramètres!$A$1:$I$89,5,0)</f>
        <v>0</v>
      </c>
      <c r="CV106" s="13" t="e">
        <f t="shared" si="95"/>
        <v>#NUM!</v>
      </c>
      <c r="CW106" s="20" t="e">
        <f t="shared" si="67"/>
        <v>#NUM!</v>
      </c>
      <c r="CX106" s="59" t="e">
        <f t="shared" si="68"/>
        <v>#NUM!</v>
      </c>
      <c r="CY106" s="59">
        <f ca="1">AVERAGE(OFFSET($CX$3,0,0,'Données projet'!$E$13+1,1))-AVERAGE(OFFSET($H$3,0,0,'Données projet'!$E$13+1,1))</f>
        <v>0</v>
      </c>
      <c r="CZ106" s="59">
        <f t="shared" si="96"/>
        <v>0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</v>
      </c>
      <c r="DG106" s="21">
        <f>EXP(-LN(2)/25)*DG105+(1-EXP(-LN(2)/25))/(LN(2)/25)*Calculateur!DB106*Calculateur!DD106*VLOOKUP('Données projet'!$B$13,Paramètres!$A$1:$I$89,3,0)*0.475*44/12</f>
        <v>0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0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>
        <f>DO106*VLOOKUP('Données projet'!$B$14,Paramètres!$A$1:$I$89,3,0)*VLOOKUP('Données projet'!$B$14,Paramètres!$A$1:$I$89,5,0)</f>
        <v>0</v>
      </c>
      <c r="DQ106" s="13" t="e">
        <f t="shared" si="97"/>
        <v>#NUM!</v>
      </c>
      <c r="DR106" s="20" t="e">
        <f t="shared" si="70"/>
        <v>#NUM!</v>
      </c>
      <c r="DS106" s="59" t="e">
        <f t="shared" si="71"/>
        <v>#NUM!</v>
      </c>
      <c r="DT106" s="59">
        <f ca="1">AVERAGE(OFFSET($DS$3,0,0,'Données projet'!$E$14+1,1))-AVERAGE(OFFSET($H$3,0,0,'Données projet'!$E$14+1,1))</f>
        <v>0</v>
      </c>
      <c r="DU106" s="59">
        <f t="shared" si="98"/>
        <v>0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0</v>
      </c>
      <c r="EB106" s="21">
        <f>EXP(-LN(2)/25)*EB105+(1-EXP(-LN(2)/25))/(LN(2)/25)*Calculateur!DW106*Calculateur!DY106*VLOOKUP('Données projet'!$B$14,Paramètres!$A$1:$I$89,3,0)*0.475*44/12</f>
        <v>0</v>
      </c>
      <c r="EC106" s="21">
        <f>EXP(-LN(2)/2)*EC105+(1-EXP(-LN(2)/2))/(LN(2)/2)*DW106*DZ106*VLOOKUP('Données projet'!$B$14,Paramètres!$A$1:$I$89,3,0)*0.475*44/12</f>
        <v>0</v>
      </c>
      <c r="ED106" s="22">
        <f t="shared" si="72"/>
        <v>0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>
        <f>EJ106*VLOOKUP('Données projet'!$B$15,Paramètres!$A$1:$I$89,3,0)*VLOOKUP('Données projet'!$B$15,Paramètres!$A$1:$I$89,5,0)</f>
        <v>0</v>
      </c>
      <c r="EL106" s="13" t="e">
        <f t="shared" si="99"/>
        <v>#NUM!</v>
      </c>
      <c r="EM106" s="20" t="e">
        <f t="shared" si="73"/>
        <v>#NUM!</v>
      </c>
      <c r="EN106" s="59" t="e">
        <f t="shared" si="74"/>
        <v>#NUM!</v>
      </c>
      <c r="EO106" s="59">
        <f ca="1">AVERAGE(OFFSET($EN$3,0,0,'Données projet'!$E$15+1,1))-AVERAGE(OFFSET($H$3,0,0,'Données projet'!$E$15+1,1))</f>
        <v>0</v>
      </c>
      <c r="EP106" s="59">
        <f t="shared" si="100"/>
        <v>0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>
        <f>EXP(-LN(2)/35)*EV105+(1-EXP(-LN(2)/35))/(LN(2)/35)*ER106*ES106*VLOOKUP('Données projet'!$B$15,Paramètres!$A$1:$I$89,3,0)*0.475*44/12</f>
        <v>0</v>
      </c>
      <c r="EW106" s="21">
        <f>EXP(-LN(2)/25)*EW105+(1-EXP(-LN(2)/25))/(LN(2)/25)*Calculateur!ER106*Calculateur!ET106*VLOOKUP('Données projet'!$B$15,Paramètres!$A$1:$I$89,3,0)*0.475*44/12</f>
        <v>0</v>
      </c>
      <c r="EX106" s="21">
        <f>EXP(-LN(2)/2)*EX105+(1-EXP(-LN(2)/2))/(LN(2)/2)*ER106*EU106*VLOOKUP('Données projet'!$B$15,Paramètres!$A$1:$I$89,3,0)*0.475*44/12</f>
        <v>0</v>
      </c>
      <c r="EY106" s="22">
        <f t="shared" si="75"/>
        <v>0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>
        <f>FE106*VLOOKUP('Données projet'!$B$16,Paramètres!$A$1:$I$89,3,0)*VLOOKUP('Données projet'!$B$16,Paramètres!$A$1:$I$89,5,0)</f>
        <v>0</v>
      </c>
      <c r="FG106" s="13" t="e">
        <f t="shared" si="101"/>
        <v>#NUM!</v>
      </c>
      <c r="FH106" s="20" t="e">
        <f t="shared" si="76"/>
        <v>#NUM!</v>
      </c>
      <c r="FI106" s="59" t="e">
        <f t="shared" si="77"/>
        <v>#NUM!</v>
      </c>
      <c r="FJ106" s="59">
        <f ca="1">AVERAGE(OFFSET($FI$3,0,0,'Données projet'!$E$16+1,1))-AVERAGE(OFFSET($H$3,0,0,'Données projet'!$E$16+1,1))</f>
        <v>0</v>
      </c>
      <c r="FK106" s="59">
        <f t="shared" si="102"/>
        <v>0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>
        <f>EXP(-LN(2)/35)*FQ105+(1-EXP(-LN(2)/35))/(LN(2)/35)*FM106*FN106*VLOOKUP('Données projet'!$B$16,Paramètres!$A$1:$I$89,3,0)*0.475*44/12</f>
        <v>0</v>
      </c>
      <c r="FR106" s="21">
        <f>EXP(-LN(2)/25)*FR105+(1-EXP(-LN(2)/25))/(LN(2)/25)*Calculateur!FM106*Calculateur!FO106*VLOOKUP('Données projet'!$B$16,Paramètres!$A$1:$I$89,3,0)*0.475*44/12</f>
        <v>0</v>
      </c>
      <c r="FS106" s="21">
        <f>EXP(-LN(2)/2)*FS105+(1-EXP(-LN(2)/2))/(LN(2)/2)*FM106*FP106*VLOOKUP('Données projet'!$B$16,Paramètres!$A$1:$I$89,3,0)*0.475*44/12</f>
        <v>0</v>
      </c>
      <c r="FT106" s="22">
        <f t="shared" si="78"/>
        <v>0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56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186.90544184210381</v>
      </c>
      <c r="T107" s="59">
        <f t="shared" si="88"/>
        <v>202.05988514450519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49.783072050495477</v>
      </c>
      <c r="AA107" s="21">
        <f>EXP(-LN(2)/25)*AA106+(1-EXP(-LN(2)/25))/(LN(2)/25)*Calculateur!V107*Calculateur!X107*VLOOKUP('Données projet'!$B$9,Paramètres!$A$1:$I$89,3,0)*0.475*44/12</f>
        <v>6.4511274310666309</v>
      </c>
      <c r="AB107" s="21">
        <f>EXP(-LN(2)/2)*AB106+(1-EXP(-LN(2)/2))/(LN(2)/2)*V107*Y107*VLOOKUP('Données projet'!$B$9,Paramètres!$A$1:$I$89,3,0)*0.475*44/12</f>
        <v>1.0257669155623565E-5</v>
      </c>
      <c r="AC107" s="22">
        <f t="shared" si="57"/>
        <v>56.234209739231261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>
        <f>AI107*VLOOKUP('Données projet'!$B$10,Paramètres!$A$1:$I$89,3,0)*VLOOKUP('Données projet'!$B$10,Paramètres!$A$1:$I$89,5,0)</f>
        <v>0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186.90544184210381</v>
      </c>
      <c r="AO107" s="59">
        <f t="shared" si="90"/>
        <v>202.05988514450519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49.783072050495477</v>
      </c>
      <c r="AV107" s="21">
        <f>EXP(-LN(2)/25)*AV106+(1-EXP(-LN(2)/25))/(LN(2)/25)*Calculateur!AQ107*Calculateur!AS107*VLOOKUP('Données projet'!$B$10,Paramètres!$A$1:$I$89,3,0)*0.475*44/12</f>
        <v>6.4511274310666309</v>
      </c>
      <c r="AW107" s="21">
        <f>EXP(-LN(2)/2)*AW106+(1-EXP(-LN(2)/2))/(LN(2)/2)*AQ107*AT107*VLOOKUP('Données projet'!$B$10,Paramètres!$A$1:$I$89,3,0)*0.475*44/12</f>
        <v>1.0257669155623565E-5</v>
      </c>
      <c r="AX107" s="21">
        <f t="shared" si="60"/>
        <v>56.234209739231261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-2.8421709430404007E-14</v>
      </c>
      <c r="BE107" s="13">
        <f>BD107*VLOOKUP('Données projet'!$B$11,Paramètres!$A$1:$I$89,3,0)*VLOOKUP('Données projet'!$B$11,Paramètres!$A$1:$I$89,5,0)</f>
        <v>-2.3055690689943732E-14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5.8584049049231908</v>
      </c>
      <c r="BJ107" s="59">
        <f t="shared" si="92"/>
        <v>42.266833200216638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2.4125119740859573E-9</v>
      </c>
      <c r="BS107" s="22">
        <f t="shared" si="63"/>
        <v>2.4125119740859573E-9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>
        <f>BY107*VLOOKUP('Données projet'!$B$12,Paramètres!$A$1:$I$89,3,0)*VLOOKUP('Données projet'!$B$12,Paramètres!$A$1:$I$89,5,0)</f>
        <v>0</v>
      </c>
      <c r="CA107" s="13" t="e">
        <f t="shared" si="93"/>
        <v>#NUM!</v>
      </c>
      <c r="CB107" s="20" t="e">
        <f t="shared" si="64"/>
        <v>#NUM!</v>
      </c>
      <c r="CC107" s="59" t="e">
        <f t="shared" si="65"/>
        <v>#NUM!</v>
      </c>
      <c r="CD107" s="59">
        <f ca="1">AVERAGE(OFFSET($CC$3,0,0,'Données projet'!$E$12+1,1))-AVERAGE(OFFSET($H$3,0,0,'Données projet'!$E$12+1,1))</f>
        <v>0</v>
      </c>
      <c r="CE107" s="59">
        <f t="shared" si="94"/>
        <v>0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0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>
        <f>CT107*VLOOKUP('Données projet'!$B$13,Paramètres!$A$1:$I$89,3,0)*VLOOKUP('Données projet'!$B$13,Paramètres!$A$1:$I$89,5,0)</f>
        <v>0</v>
      </c>
      <c r="CV107" s="13" t="e">
        <f t="shared" si="95"/>
        <v>#NUM!</v>
      </c>
      <c r="CW107" s="20" t="e">
        <f t="shared" si="67"/>
        <v>#NUM!</v>
      </c>
      <c r="CX107" s="59" t="e">
        <f t="shared" si="68"/>
        <v>#NUM!</v>
      </c>
      <c r="CY107" s="59">
        <f ca="1">AVERAGE(OFFSET($CX$3,0,0,'Données projet'!$E$13+1,1))-AVERAGE(OFFSET($H$3,0,0,'Données projet'!$E$13+1,1))</f>
        <v>0</v>
      </c>
      <c r="CZ107" s="59">
        <f t="shared" si="96"/>
        <v>0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</v>
      </c>
      <c r="DG107" s="21">
        <f>EXP(-LN(2)/25)*DG106+(1-EXP(-LN(2)/25))/(LN(2)/25)*Calculateur!DB107*Calculateur!DD107*VLOOKUP('Données projet'!$B$13,Paramètres!$A$1:$I$89,3,0)*0.475*44/12</f>
        <v>0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0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>
        <f>DO107*VLOOKUP('Données projet'!$B$14,Paramètres!$A$1:$I$89,3,0)*VLOOKUP('Données projet'!$B$14,Paramètres!$A$1:$I$89,5,0)</f>
        <v>0</v>
      </c>
      <c r="DQ107" s="13" t="e">
        <f t="shared" si="97"/>
        <v>#NUM!</v>
      </c>
      <c r="DR107" s="20" t="e">
        <f t="shared" si="70"/>
        <v>#NUM!</v>
      </c>
      <c r="DS107" s="59" t="e">
        <f t="shared" si="71"/>
        <v>#NUM!</v>
      </c>
      <c r="DT107" s="59">
        <f ca="1">AVERAGE(OFFSET($DS$3,0,0,'Données projet'!$E$14+1,1))-AVERAGE(OFFSET($H$3,0,0,'Données projet'!$E$14+1,1))</f>
        <v>0</v>
      </c>
      <c r="DU107" s="59">
        <f t="shared" si="98"/>
        <v>0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0</v>
      </c>
      <c r="EB107" s="21">
        <f>EXP(-LN(2)/25)*EB106+(1-EXP(-LN(2)/25))/(LN(2)/25)*Calculateur!DW107*Calculateur!DY107*VLOOKUP('Données projet'!$B$14,Paramètres!$A$1:$I$89,3,0)*0.475*44/12</f>
        <v>0</v>
      </c>
      <c r="EC107" s="21">
        <f>EXP(-LN(2)/2)*EC106+(1-EXP(-LN(2)/2))/(LN(2)/2)*DW107*DZ107*VLOOKUP('Données projet'!$B$14,Paramètres!$A$1:$I$89,3,0)*0.475*44/12</f>
        <v>0</v>
      </c>
      <c r="ED107" s="22">
        <f t="shared" si="72"/>
        <v>0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>
        <f>EJ107*VLOOKUP('Données projet'!$B$15,Paramètres!$A$1:$I$89,3,0)*VLOOKUP('Données projet'!$B$15,Paramètres!$A$1:$I$89,5,0)</f>
        <v>0</v>
      </c>
      <c r="EL107" s="13" t="e">
        <f t="shared" si="99"/>
        <v>#NUM!</v>
      </c>
      <c r="EM107" s="20" t="e">
        <f t="shared" si="73"/>
        <v>#NUM!</v>
      </c>
      <c r="EN107" s="59" t="e">
        <f t="shared" si="74"/>
        <v>#NUM!</v>
      </c>
      <c r="EO107" s="59">
        <f ca="1">AVERAGE(OFFSET($EN$3,0,0,'Données projet'!$E$15+1,1))-AVERAGE(OFFSET($H$3,0,0,'Données projet'!$E$15+1,1))</f>
        <v>0</v>
      </c>
      <c r="EP107" s="59">
        <f t="shared" si="100"/>
        <v>0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>
        <f>EXP(-LN(2)/35)*EV106+(1-EXP(-LN(2)/35))/(LN(2)/35)*ER107*ES107*VLOOKUP('Données projet'!$B$15,Paramètres!$A$1:$I$89,3,0)*0.475*44/12</f>
        <v>0</v>
      </c>
      <c r="EW107" s="21">
        <f>EXP(-LN(2)/25)*EW106+(1-EXP(-LN(2)/25))/(LN(2)/25)*Calculateur!ER107*Calculateur!ET107*VLOOKUP('Données projet'!$B$15,Paramètres!$A$1:$I$89,3,0)*0.475*44/12</f>
        <v>0</v>
      </c>
      <c r="EX107" s="21">
        <f>EXP(-LN(2)/2)*EX106+(1-EXP(-LN(2)/2))/(LN(2)/2)*ER107*EU107*VLOOKUP('Données projet'!$B$15,Paramètres!$A$1:$I$89,3,0)*0.475*44/12</f>
        <v>0</v>
      </c>
      <c r="EY107" s="22">
        <f t="shared" si="75"/>
        <v>0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>
        <f>FE107*VLOOKUP('Données projet'!$B$16,Paramètres!$A$1:$I$89,3,0)*VLOOKUP('Données projet'!$B$16,Paramètres!$A$1:$I$89,5,0)</f>
        <v>0</v>
      </c>
      <c r="FG107" s="13" t="e">
        <f t="shared" si="101"/>
        <v>#NUM!</v>
      </c>
      <c r="FH107" s="20" t="e">
        <f t="shared" si="76"/>
        <v>#NUM!</v>
      </c>
      <c r="FI107" s="59" t="e">
        <f t="shared" si="77"/>
        <v>#NUM!</v>
      </c>
      <c r="FJ107" s="59">
        <f ca="1">AVERAGE(OFFSET($FI$3,0,0,'Données projet'!$E$16+1,1))-AVERAGE(OFFSET($H$3,0,0,'Données projet'!$E$16+1,1))</f>
        <v>0</v>
      </c>
      <c r="FK107" s="59">
        <f t="shared" si="102"/>
        <v>0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>
        <f>EXP(-LN(2)/35)*FQ106+(1-EXP(-LN(2)/35))/(LN(2)/35)*FM107*FN107*VLOOKUP('Données projet'!$B$16,Paramètres!$A$1:$I$89,3,0)*0.475*44/12</f>
        <v>0</v>
      </c>
      <c r="FR107" s="21">
        <f>EXP(-LN(2)/25)*FR106+(1-EXP(-LN(2)/25))/(LN(2)/25)*Calculateur!FM107*Calculateur!FO107*VLOOKUP('Données projet'!$B$16,Paramètres!$A$1:$I$89,3,0)*0.475*44/12</f>
        <v>0</v>
      </c>
      <c r="FS107" s="21">
        <f>EXP(-LN(2)/2)*FS106+(1-EXP(-LN(2)/2))/(LN(2)/2)*FM107*FP107*VLOOKUP('Données projet'!$B$16,Paramètres!$A$1:$I$89,3,0)*0.475*44/12</f>
        <v>0</v>
      </c>
      <c r="FT107" s="22">
        <f t="shared" si="78"/>
        <v>0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56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186.90544184210381</v>
      </c>
      <c r="T108" s="59">
        <f t="shared" si="88"/>
        <v>202.05988514450519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48.806856372260945</v>
      </c>
      <c r="AA108" s="21">
        <f>EXP(-LN(2)/25)*AA107+(1-EXP(-LN(2)/25))/(LN(2)/25)*Calculateur!V108*Calculateur!X108*VLOOKUP('Données projet'!$B$9,Paramètres!$A$1:$I$89,3,0)*0.475*44/12</f>
        <v>6.2747210122140666</v>
      </c>
      <c r="AB108" s="21">
        <f>EXP(-LN(2)/2)*AB107+(1-EXP(-LN(2)/2))/(LN(2)/2)*V108*Y108*VLOOKUP('Données projet'!$B$9,Paramètres!$A$1:$I$89,3,0)*0.475*44/12</f>
        <v>7.2532674191095097E-6</v>
      </c>
      <c r="AC108" s="22">
        <f t="shared" si="57"/>
        <v>55.081584637742431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>
        <f>AI108*VLOOKUP('Données projet'!$B$10,Paramètres!$A$1:$I$89,3,0)*VLOOKUP('Données projet'!$B$10,Paramètres!$A$1:$I$89,5,0)</f>
        <v>0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186.90544184210381</v>
      </c>
      <c r="AO108" s="59">
        <f t="shared" si="90"/>
        <v>202.05988514450519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48.806856372260945</v>
      </c>
      <c r="AV108" s="21">
        <f>EXP(-LN(2)/25)*AV107+(1-EXP(-LN(2)/25))/(LN(2)/25)*Calculateur!AQ108*Calculateur!AS108*VLOOKUP('Données projet'!$B$10,Paramètres!$A$1:$I$89,3,0)*0.475*44/12</f>
        <v>6.2747210122140666</v>
      </c>
      <c r="AW108" s="21">
        <f>EXP(-LN(2)/2)*AW107+(1-EXP(-LN(2)/2))/(LN(2)/2)*AQ108*AT108*VLOOKUP('Données projet'!$B$10,Paramètres!$A$1:$I$89,3,0)*0.475*44/12</f>
        <v>7.2532674191095097E-6</v>
      </c>
      <c r="AX108" s="21">
        <f t="shared" si="60"/>
        <v>55.081584637742431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-2.8421709430404007E-14</v>
      </c>
      <c r="BE108" s="13">
        <f>BD108*VLOOKUP('Données projet'!$B$11,Paramètres!$A$1:$I$89,3,0)*VLOOKUP('Données projet'!$B$11,Paramètres!$A$1:$I$89,5,0)</f>
        <v>-2.3055690689943732E-14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5.8584049049231908</v>
      </c>
      <c r="BJ108" s="59">
        <f t="shared" si="92"/>
        <v>42.266833200216638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1.7059035765699249E-9</v>
      </c>
      <c r="BS108" s="22">
        <f t="shared" si="63"/>
        <v>1.7059035765699249E-9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>
        <f>BY108*VLOOKUP('Données projet'!$B$12,Paramètres!$A$1:$I$89,3,0)*VLOOKUP('Données projet'!$B$12,Paramètres!$A$1:$I$89,5,0)</f>
        <v>0</v>
      </c>
      <c r="CA108" s="13" t="e">
        <f t="shared" si="93"/>
        <v>#NUM!</v>
      </c>
      <c r="CB108" s="20" t="e">
        <f t="shared" si="64"/>
        <v>#NUM!</v>
      </c>
      <c r="CC108" s="59" t="e">
        <f t="shared" si="65"/>
        <v>#NUM!</v>
      </c>
      <c r="CD108" s="59">
        <f ca="1">AVERAGE(OFFSET($CC$3,0,0,'Données projet'!$E$12+1,1))-AVERAGE(OFFSET($H$3,0,0,'Données projet'!$E$12+1,1))</f>
        <v>0</v>
      </c>
      <c r="CE108" s="59">
        <f t="shared" si="94"/>
        <v>0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0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>
        <f>CT108*VLOOKUP('Données projet'!$B$13,Paramètres!$A$1:$I$89,3,0)*VLOOKUP('Données projet'!$B$13,Paramètres!$A$1:$I$89,5,0)</f>
        <v>0</v>
      </c>
      <c r="CV108" s="13" t="e">
        <f t="shared" si="95"/>
        <v>#NUM!</v>
      </c>
      <c r="CW108" s="20" t="e">
        <f t="shared" si="67"/>
        <v>#NUM!</v>
      </c>
      <c r="CX108" s="59" t="e">
        <f t="shared" si="68"/>
        <v>#NUM!</v>
      </c>
      <c r="CY108" s="59">
        <f ca="1">AVERAGE(OFFSET($CX$3,0,0,'Données projet'!$E$13+1,1))-AVERAGE(OFFSET($H$3,0,0,'Données projet'!$E$13+1,1))</f>
        <v>0</v>
      </c>
      <c r="CZ108" s="59">
        <f t="shared" si="96"/>
        <v>0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</v>
      </c>
      <c r="DG108" s="21">
        <f>EXP(-LN(2)/25)*DG107+(1-EXP(-LN(2)/25))/(LN(2)/25)*Calculateur!DB108*Calculateur!DD108*VLOOKUP('Données projet'!$B$13,Paramètres!$A$1:$I$89,3,0)*0.475*44/12</f>
        <v>0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0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>
        <f>DO108*VLOOKUP('Données projet'!$B$14,Paramètres!$A$1:$I$89,3,0)*VLOOKUP('Données projet'!$B$14,Paramètres!$A$1:$I$89,5,0)</f>
        <v>0</v>
      </c>
      <c r="DQ108" s="13" t="e">
        <f t="shared" si="97"/>
        <v>#NUM!</v>
      </c>
      <c r="DR108" s="20" t="e">
        <f t="shared" si="70"/>
        <v>#NUM!</v>
      </c>
      <c r="DS108" s="59" t="e">
        <f t="shared" si="71"/>
        <v>#NUM!</v>
      </c>
      <c r="DT108" s="59">
        <f ca="1">AVERAGE(OFFSET($DS$3,0,0,'Données projet'!$E$14+1,1))-AVERAGE(OFFSET($H$3,0,0,'Données projet'!$E$14+1,1))</f>
        <v>0</v>
      </c>
      <c r="DU108" s="59">
        <f t="shared" si="98"/>
        <v>0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0</v>
      </c>
      <c r="EB108" s="21">
        <f>EXP(-LN(2)/25)*EB107+(1-EXP(-LN(2)/25))/(LN(2)/25)*Calculateur!DW108*Calculateur!DY108*VLOOKUP('Données projet'!$B$14,Paramètres!$A$1:$I$89,3,0)*0.475*44/12</f>
        <v>0</v>
      </c>
      <c r="EC108" s="21">
        <f>EXP(-LN(2)/2)*EC107+(1-EXP(-LN(2)/2))/(LN(2)/2)*DW108*DZ108*VLOOKUP('Données projet'!$B$14,Paramètres!$A$1:$I$89,3,0)*0.475*44/12</f>
        <v>0</v>
      </c>
      <c r="ED108" s="22">
        <f t="shared" si="72"/>
        <v>0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>
        <f>EJ108*VLOOKUP('Données projet'!$B$15,Paramètres!$A$1:$I$89,3,0)*VLOOKUP('Données projet'!$B$15,Paramètres!$A$1:$I$89,5,0)</f>
        <v>0</v>
      </c>
      <c r="EL108" s="13" t="e">
        <f t="shared" si="99"/>
        <v>#NUM!</v>
      </c>
      <c r="EM108" s="20" t="e">
        <f t="shared" si="73"/>
        <v>#NUM!</v>
      </c>
      <c r="EN108" s="59" t="e">
        <f t="shared" si="74"/>
        <v>#NUM!</v>
      </c>
      <c r="EO108" s="59">
        <f ca="1">AVERAGE(OFFSET($EN$3,0,0,'Données projet'!$E$15+1,1))-AVERAGE(OFFSET($H$3,0,0,'Données projet'!$E$15+1,1))</f>
        <v>0</v>
      </c>
      <c r="EP108" s="59">
        <f t="shared" si="100"/>
        <v>0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>
        <f>EXP(-LN(2)/35)*EV107+(1-EXP(-LN(2)/35))/(LN(2)/35)*ER108*ES108*VLOOKUP('Données projet'!$B$15,Paramètres!$A$1:$I$89,3,0)*0.475*44/12</f>
        <v>0</v>
      </c>
      <c r="EW108" s="21">
        <f>EXP(-LN(2)/25)*EW107+(1-EXP(-LN(2)/25))/(LN(2)/25)*Calculateur!ER108*Calculateur!ET108*VLOOKUP('Données projet'!$B$15,Paramètres!$A$1:$I$89,3,0)*0.475*44/12</f>
        <v>0</v>
      </c>
      <c r="EX108" s="21">
        <f>EXP(-LN(2)/2)*EX107+(1-EXP(-LN(2)/2))/(LN(2)/2)*ER108*EU108*VLOOKUP('Données projet'!$B$15,Paramètres!$A$1:$I$89,3,0)*0.475*44/12</f>
        <v>0</v>
      </c>
      <c r="EY108" s="22">
        <f t="shared" si="75"/>
        <v>0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>
        <f>FE108*VLOOKUP('Données projet'!$B$16,Paramètres!$A$1:$I$89,3,0)*VLOOKUP('Données projet'!$B$16,Paramètres!$A$1:$I$89,5,0)</f>
        <v>0</v>
      </c>
      <c r="FG108" s="13" t="e">
        <f t="shared" si="101"/>
        <v>#NUM!</v>
      </c>
      <c r="FH108" s="20" t="e">
        <f t="shared" si="76"/>
        <v>#NUM!</v>
      </c>
      <c r="FI108" s="59" t="e">
        <f t="shared" si="77"/>
        <v>#NUM!</v>
      </c>
      <c r="FJ108" s="59">
        <f ca="1">AVERAGE(OFFSET($FI$3,0,0,'Données projet'!$E$16+1,1))-AVERAGE(OFFSET($H$3,0,0,'Données projet'!$E$16+1,1))</f>
        <v>0</v>
      </c>
      <c r="FK108" s="59">
        <f t="shared" si="102"/>
        <v>0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>
        <f>EXP(-LN(2)/35)*FQ107+(1-EXP(-LN(2)/35))/(LN(2)/35)*FM108*FN108*VLOOKUP('Données projet'!$B$16,Paramètres!$A$1:$I$89,3,0)*0.475*44/12</f>
        <v>0</v>
      </c>
      <c r="FR108" s="21">
        <f>EXP(-LN(2)/25)*FR107+(1-EXP(-LN(2)/25))/(LN(2)/25)*Calculateur!FM108*Calculateur!FO108*VLOOKUP('Données projet'!$B$16,Paramètres!$A$1:$I$89,3,0)*0.475*44/12</f>
        <v>0</v>
      </c>
      <c r="FS108" s="21">
        <f>EXP(-LN(2)/2)*FS107+(1-EXP(-LN(2)/2))/(LN(2)/2)*FM108*FP108*VLOOKUP('Données projet'!$B$16,Paramètres!$A$1:$I$89,3,0)*0.475*44/12</f>
        <v>0</v>
      </c>
      <c r="FT108" s="22">
        <f t="shared" si="78"/>
        <v>0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56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186.90544184210381</v>
      </c>
      <c r="T109" s="59">
        <f t="shared" si="88"/>
        <v>202.05988514450519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47.849783688043829</v>
      </c>
      <c r="AA109" s="21">
        <f>EXP(-LN(2)/25)*AA108+(1-EXP(-LN(2)/25))/(LN(2)/25)*Calculateur!V109*Calculateur!X109*VLOOKUP('Données projet'!$B$9,Paramètres!$A$1:$I$89,3,0)*0.475*44/12</f>
        <v>6.1031384361618359</v>
      </c>
      <c r="AB109" s="21">
        <f>EXP(-LN(2)/2)*AB108+(1-EXP(-LN(2)/2))/(LN(2)/2)*V109*Y109*VLOOKUP('Données projet'!$B$9,Paramètres!$A$1:$I$89,3,0)*0.475*44/12</f>
        <v>5.1288345778117823E-6</v>
      </c>
      <c r="AC109" s="22">
        <f t="shared" si="57"/>
        <v>53.952927253040244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>
        <f>AI109*VLOOKUP('Données projet'!$B$10,Paramètres!$A$1:$I$89,3,0)*VLOOKUP('Données projet'!$B$10,Paramètres!$A$1:$I$89,5,0)</f>
        <v>0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186.90544184210381</v>
      </c>
      <c r="AO109" s="59">
        <f t="shared" si="90"/>
        <v>202.05988514450519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47.849783688043829</v>
      </c>
      <c r="AV109" s="21">
        <f>EXP(-LN(2)/25)*AV108+(1-EXP(-LN(2)/25))/(LN(2)/25)*Calculateur!AQ109*Calculateur!AS109*VLOOKUP('Données projet'!$B$10,Paramètres!$A$1:$I$89,3,0)*0.475*44/12</f>
        <v>6.1031384361618359</v>
      </c>
      <c r="AW109" s="21">
        <f>EXP(-LN(2)/2)*AW108+(1-EXP(-LN(2)/2))/(LN(2)/2)*AQ109*AT109*VLOOKUP('Données projet'!$B$10,Paramètres!$A$1:$I$89,3,0)*0.475*44/12</f>
        <v>5.1288345778117823E-6</v>
      </c>
      <c r="AX109" s="21">
        <f t="shared" si="60"/>
        <v>53.952927253040244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-2.8421709430404007E-14</v>
      </c>
      <c r="BE109" s="13">
        <f>BD109*VLOOKUP('Données projet'!$B$11,Paramètres!$A$1:$I$89,3,0)*VLOOKUP('Données projet'!$B$11,Paramètres!$A$1:$I$89,5,0)</f>
        <v>-2.3055690689943732E-14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5.8584049049231908</v>
      </c>
      <c r="BJ109" s="59">
        <f t="shared" si="92"/>
        <v>42.266833200216638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1.2062559870429787E-9</v>
      </c>
      <c r="BS109" s="22">
        <f t="shared" si="63"/>
        <v>1.2062559870429787E-9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>
        <f>BY109*VLOOKUP('Données projet'!$B$12,Paramètres!$A$1:$I$89,3,0)*VLOOKUP('Données projet'!$B$12,Paramètres!$A$1:$I$89,5,0)</f>
        <v>0</v>
      </c>
      <c r="CA109" s="13" t="e">
        <f t="shared" si="93"/>
        <v>#NUM!</v>
      </c>
      <c r="CB109" s="20" t="e">
        <f t="shared" si="64"/>
        <v>#NUM!</v>
      </c>
      <c r="CC109" s="59" t="e">
        <f t="shared" si="65"/>
        <v>#NUM!</v>
      </c>
      <c r="CD109" s="59">
        <f ca="1">AVERAGE(OFFSET($CC$3,0,0,'Données projet'!$E$12+1,1))-AVERAGE(OFFSET($H$3,0,0,'Données projet'!$E$12+1,1))</f>
        <v>0</v>
      </c>
      <c r="CE109" s="59">
        <f t="shared" si="94"/>
        <v>0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0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>
        <f>CT109*VLOOKUP('Données projet'!$B$13,Paramètres!$A$1:$I$89,3,0)*VLOOKUP('Données projet'!$B$13,Paramètres!$A$1:$I$89,5,0)</f>
        <v>0</v>
      </c>
      <c r="CV109" s="13" t="e">
        <f t="shared" si="95"/>
        <v>#NUM!</v>
      </c>
      <c r="CW109" s="20" t="e">
        <f t="shared" si="67"/>
        <v>#NUM!</v>
      </c>
      <c r="CX109" s="59" t="e">
        <f t="shared" si="68"/>
        <v>#NUM!</v>
      </c>
      <c r="CY109" s="59">
        <f ca="1">AVERAGE(OFFSET($CX$3,0,0,'Données projet'!$E$13+1,1))-AVERAGE(OFFSET($H$3,0,0,'Données projet'!$E$13+1,1))</f>
        <v>0</v>
      </c>
      <c r="CZ109" s="59">
        <f t="shared" si="96"/>
        <v>0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</v>
      </c>
      <c r="DG109" s="21">
        <f>EXP(-LN(2)/25)*DG108+(1-EXP(-LN(2)/25))/(LN(2)/25)*Calculateur!DB109*Calculateur!DD109*VLOOKUP('Données projet'!$B$13,Paramètres!$A$1:$I$89,3,0)*0.475*44/12</f>
        <v>0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0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>
        <f>DO109*VLOOKUP('Données projet'!$B$14,Paramètres!$A$1:$I$89,3,0)*VLOOKUP('Données projet'!$B$14,Paramètres!$A$1:$I$89,5,0)</f>
        <v>0</v>
      </c>
      <c r="DQ109" s="13" t="e">
        <f t="shared" si="97"/>
        <v>#NUM!</v>
      </c>
      <c r="DR109" s="20" t="e">
        <f t="shared" si="70"/>
        <v>#NUM!</v>
      </c>
      <c r="DS109" s="59" t="e">
        <f t="shared" si="71"/>
        <v>#NUM!</v>
      </c>
      <c r="DT109" s="59">
        <f ca="1">AVERAGE(OFFSET($DS$3,0,0,'Données projet'!$E$14+1,1))-AVERAGE(OFFSET($H$3,0,0,'Données projet'!$E$14+1,1))</f>
        <v>0</v>
      </c>
      <c r="DU109" s="59">
        <f t="shared" si="98"/>
        <v>0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</v>
      </c>
      <c r="EB109" s="21">
        <f>EXP(-LN(2)/25)*EB108+(1-EXP(-LN(2)/25))/(LN(2)/25)*Calculateur!DW109*Calculateur!DY109*VLOOKUP('Données projet'!$B$14,Paramètres!$A$1:$I$89,3,0)*0.475*44/12</f>
        <v>0</v>
      </c>
      <c r="EC109" s="21">
        <f>EXP(-LN(2)/2)*EC108+(1-EXP(-LN(2)/2))/(LN(2)/2)*DW109*DZ109*VLOOKUP('Données projet'!$B$14,Paramètres!$A$1:$I$89,3,0)*0.475*44/12</f>
        <v>0</v>
      </c>
      <c r="ED109" s="22">
        <f t="shared" si="72"/>
        <v>0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>
        <f>EJ109*VLOOKUP('Données projet'!$B$15,Paramètres!$A$1:$I$89,3,0)*VLOOKUP('Données projet'!$B$15,Paramètres!$A$1:$I$89,5,0)</f>
        <v>0</v>
      </c>
      <c r="EL109" s="13" t="e">
        <f t="shared" si="99"/>
        <v>#NUM!</v>
      </c>
      <c r="EM109" s="20" t="e">
        <f t="shared" si="73"/>
        <v>#NUM!</v>
      </c>
      <c r="EN109" s="59" t="e">
        <f t="shared" si="74"/>
        <v>#NUM!</v>
      </c>
      <c r="EO109" s="59">
        <f ca="1">AVERAGE(OFFSET($EN$3,0,0,'Données projet'!$E$15+1,1))-AVERAGE(OFFSET($H$3,0,0,'Données projet'!$E$15+1,1))</f>
        <v>0</v>
      </c>
      <c r="EP109" s="59">
        <f t="shared" si="100"/>
        <v>0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>
        <f>EXP(-LN(2)/35)*EV108+(1-EXP(-LN(2)/35))/(LN(2)/35)*ER109*ES109*VLOOKUP('Données projet'!$B$15,Paramètres!$A$1:$I$89,3,0)*0.475*44/12</f>
        <v>0</v>
      </c>
      <c r="EW109" s="21">
        <f>EXP(-LN(2)/25)*EW108+(1-EXP(-LN(2)/25))/(LN(2)/25)*Calculateur!ER109*Calculateur!ET109*VLOOKUP('Données projet'!$B$15,Paramètres!$A$1:$I$89,3,0)*0.475*44/12</f>
        <v>0</v>
      </c>
      <c r="EX109" s="21">
        <f>EXP(-LN(2)/2)*EX108+(1-EXP(-LN(2)/2))/(LN(2)/2)*ER109*EU109*VLOOKUP('Données projet'!$B$15,Paramètres!$A$1:$I$89,3,0)*0.475*44/12</f>
        <v>0</v>
      </c>
      <c r="EY109" s="22">
        <f t="shared" si="75"/>
        <v>0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>
        <f>FE109*VLOOKUP('Données projet'!$B$16,Paramètres!$A$1:$I$89,3,0)*VLOOKUP('Données projet'!$B$16,Paramètres!$A$1:$I$89,5,0)</f>
        <v>0</v>
      </c>
      <c r="FG109" s="13" t="e">
        <f t="shared" si="101"/>
        <v>#NUM!</v>
      </c>
      <c r="FH109" s="20" t="e">
        <f t="shared" si="76"/>
        <v>#NUM!</v>
      </c>
      <c r="FI109" s="59" t="e">
        <f t="shared" si="77"/>
        <v>#NUM!</v>
      </c>
      <c r="FJ109" s="59">
        <f ca="1">AVERAGE(OFFSET($FI$3,0,0,'Données projet'!$E$16+1,1))-AVERAGE(OFFSET($H$3,0,0,'Données projet'!$E$16+1,1))</f>
        <v>0</v>
      </c>
      <c r="FK109" s="59">
        <f t="shared" si="102"/>
        <v>0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>
        <f>EXP(-LN(2)/35)*FQ108+(1-EXP(-LN(2)/35))/(LN(2)/35)*FM109*FN109*VLOOKUP('Données projet'!$B$16,Paramètres!$A$1:$I$89,3,0)*0.475*44/12</f>
        <v>0</v>
      </c>
      <c r="FR109" s="21">
        <f>EXP(-LN(2)/25)*FR108+(1-EXP(-LN(2)/25))/(LN(2)/25)*Calculateur!FM109*Calculateur!FO109*VLOOKUP('Données projet'!$B$16,Paramètres!$A$1:$I$89,3,0)*0.475*44/12</f>
        <v>0</v>
      </c>
      <c r="FS109" s="21">
        <f>EXP(-LN(2)/2)*FS108+(1-EXP(-LN(2)/2))/(LN(2)/2)*FM109*FP109*VLOOKUP('Données projet'!$B$16,Paramètres!$A$1:$I$89,3,0)*0.475*44/12</f>
        <v>0</v>
      </c>
      <c r="FT109" s="22">
        <f t="shared" si="78"/>
        <v>0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56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186.90544184210381</v>
      </c>
      <c r="T110" s="59">
        <f t="shared" si="88"/>
        <v>202.05988514450519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46.911478615407511</v>
      </c>
      <c r="AA110" s="21">
        <f>EXP(-LN(2)/25)*AA109+(1-EXP(-LN(2)/25))/(LN(2)/25)*Calculateur!V110*Calculateur!X110*VLOOKUP('Données projet'!$B$9,Paramètres!$A$1:$I$89,3,0)*0.475*44/12</f>
        <v>5.9362477946748893</v>
      </c>
      <c r="AB110" s="21">
        <f>EXP(-LN(2)/2)*AB109+(1-EXP(-LN(2)/2))/(LN(2)/2)*V110*Y110*VLOOKUP('Données projet'!$B$9,Paramètres!$A$1:$I$89,3,0)*0.475*44/12</f>
        <v>3.6266337095547548E-6</v>
      </c>
      <c r="AC110" s="22">
        <f t="shared" si="57"/>
        <v>52.847730036716108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>
        <f>AI110*VLOOKUP('Données projet'!$B$10,Paramètres!$A$1:$I$89,3,0)*VLOOKUP('Données projet'!$B$10,Paramètres!$A$1:$I$89,5,0)</f>
        <v>0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186.90544184210381</v>
      </c>
      <c r="AO110" s="59">
        <f t="shared" si="90"/>
        <v>202.05988514450519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46.911478615407511</v>
      </c>
      <c r="AV110" s="21">
        <f>EXP(-LN(2)/25)*AV109+(1-EXP(-LN(2)/25))/(LN(2)/25)*Calculateur!AQ110*Calculateur!AS110*VLOOKUP('Données projet'!$B$10,Paramètres!$A$1:$I$89,3,0)*0.475*44/12</f>
        <v>5.9362477946748893</v>
      </c>
      <c r="AW110" s="21">
        <f>EXP(-LN(2)/2)*AW109+(1-EXP(-LN(2)/2))/(LN(2)/2)*AQ110*AT110*VLOOKUP('Données projet'!$B$10,Paramètres!$A$1:$I$89,3,0)*0.475*44/12</f>
        <v>3.6266337095547548E-6</v>
      </c>
      <c r="AX110" s="21">
        <f t="shared" si="60"/>
        <v>52.847730036716108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-2.8421709430404007E-14</v>
      </c>
      <c r="BE110" s="13">
        <f>BD110*VLOOKUP('Données projet'!$B$11,Paramètres!$A$1:$I$89,3,0)*VLOOKUP('Données projet'!$B$11,Paramètres!$A$1:$I$89,5,0)</f>
        <v>-2.3055690689943732E-14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5.8584049049231908</v>
      </c>
      <c r="BJ110" s="59">
        <f t="shared" si="92"/>
        <v>42.266833200216638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8.5295178828496244E-10</v>
      </c>
      <c r="BS110" s="22">
        <f t="shared" si="63"/>
        <v>8.5295178828496244E-10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>
        <f>BY110*VLOOKUP('Données projet'!$B$12,Paramètres!$A$1:$I$89,3,0)*VLOOKUP('Données projet'!$B$12,Paramètres!$A$1:$I$89,5,0)</f>
        <v>0</v>
      </c>
      <c r="CA110" s="13" t="e">
        <f t="shared" si="93"/>
        <v>#NUM!</v>
      </c>
      <c r="CB110" s="20" t="e">
        <f t="shared" si="64"/>
        <v>#NUM!</v>
      </c>
      <c r="CC110" s="59" t="e">
        <f t="shared" si="65"/>
        <v>#NUM!</v>
      </c>
      <c r="CD110" s="59">
        <f ca="1">AVERAGE(OFFSET($CC$3,0,0,'Données projet'!$E$12+1,1))-AVERAGE(OFFSET($H$3,0,0,'Données projet'!$E$12+1,1))</f>
        <v>0</v>
      </c>
      <c r="CE110" s="59">
        <f t="shared" si="94"/>
        <v>0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0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>
        <f>CT110*VLOOKUP('Données projet'!$B$13,Paramètres!$A$1:$I$89,3,0)*VLOOKUP('Données projet'!$B$13,Paramètres!$A$1:$I$89,5,0)</f>
        <v>0</v>
      </c>
      <c r="CV110" s="13" t="e">
        <f t="shared" si="95"/>
        <v>#NUM!</v>
      </c>
      <c r="CW110" s="20" t="e">
        <f t="shared" si="67"/>
        <v>#NUM!</v>
      </c>
      <c r="CX110" s="59" t="e">
        <f t="shared" si="68"/>
        <v>#NUM!</v>
      </c>
      <c r="CY110" s="59">
        <f ca="1">AVERAGE(OFFSET($CX$3,0,0,'Données projet'!$E$13+1,1))-AVERAGE(OFFSET($H$3,0,0,'Données projet'!$E$13+1,1))</f>
        <v>0</v>
      </c>
      <c r="CZ110" s="59">
        <f t="shared" si="96"/>
        <v>0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</v>
      </c>
      <c r="DG110" s="21">
        <f>EXP(-LN(2)/25)*DG109+(1-EXP(-LN(2)/25))/(LN(2)/25)*Calculateur!DB110*Calculateur!DD110*VLOOKUP('Données projet'!$B$13,Paramètres!$A$1:$I$89,3,0)*0.475*44/12</f>
        <v>0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0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>
        <f>DO110*VLOOKUP('Données projet'!$B$14,Paramètres!$A$1:$I$89,3,0)*VLOOKUP('Données projet'!$B$14,Paramètres!$A$1:$I$89,5,0)</f>
        <v>0</v>
      </c>
      <c r="DQ110" s="13" t="e">
        <f t="shared" si="97"/>
        <v>#NUM!</v>
      </c>
      <c r="DR110" s="20" t="e">
        <f t="shared" si="70"/>
        <v>#NUM!</v>
      </c>
      <c r="DS110" s="59" t="e">
        <f t="shared" si="71"/>
        <v>#NUM!</v>
      </c>
      <c r="DT110" s="59">
        <f ca="1">AVERAGE(OFFSET($DS$3,0,0,'Données projet'!$E$14+1,1))-AVERAGE(OFFSET($H$3,0,0,'Données projet'!$E$14+1,1))</f>
        <v>0</v>
      </c>
      <c r="DU110" s="59">
        <f t="shared" si="98"/>
        <v>0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</v>
      </c>
      <c r="EB110" s="21">
        <f>EXP(-LN(2)/25)*EB109+(1-EXP(-LN(2)/25))/(LN(2)/25)*Calculateur!DW110*Calculateur!DY110*VLOOKUP('Données projet'!$B$14,Paramètres!$A$1:$I$89,3,0)*0.475*44/12</f>
        <v>0</v>
      </c>
      <c r="EC110" s="21">
        <f>EXP(-LN(2)/2)*EC109+(1-EXP(-LN(2)/2))/(LN(2)/2)*DW110*DZ110*VLOOKUP('Données projet'!$B$14,Paramètres!$A$1:$I$89,3,0)*0.475*44/12</f>
        <v>0</v>
      </c>
      <c r="ED110" s="22">
        <f t="shared" si="72"/>
        <v>0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>
        <f>EJ110*VLOOKUP('Données projet'!$B$15,Paramètres!$A$1:$I$89,3,0)*VLOOKUP('Données projet'!$B$15,Paramètres!$A$1:$I$89,5,0)</f>
        <v>0</v>
      </c>
      <c r="EL110" s="13" t="e">
        <f t="shared" si="99"/>
        <v>#NUM!</v>
      </c>
      <c r="EM110" s="20" t="e">
        <f t="shared" si="73"/>
        <v>#NUM!</v>
      </c>
      <c r="EN110" s="59" t="e">
        <f t="shared" si="74"/>
        <v>#NUM!</v>
      </c>
      <c r="EO110" s="59">
        <f ca="1">AVERAGE(OFFSET($EN$3,0,0,'Données projet'!$E$15+1,1))-AVERAGE(OFFSET($H$3,0,0,'Données projet'!$E$15+1,1))</f>
        <v>0</v>
      </c>
      <c r="EP110" s="59">
        <f t="shared" si="100"/>
        <v>0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>
        <f>EXP(-LN(2)/35)*EV109+(1-EXP(-LN(2)/35))/(LN(2)/35)*ER110*ES110*VLOOKUP('Données projet'!$B$15,Paramètres!$A$1:$I$89,3,0)*0.475*44/12</f>
        <v>0</v>
      </c>
      <c r="EW110" s="21">
        <f>EXP(-LN(2)/25)*EW109+(1-EXP(-LN(2)/25))/(LN(2)/25)*Calculateur!ER110*Calculateur!ET110*VLOOKUP('Données projet'!$B$15,Paramètres!$A$1:$I$89,3,0)*0.475*44/12</f>
        <v>0</v>
      </c>
      <c r="EX110" s="21">
        <f>EXP(-LN(2)/2)*EX109+(1-EXP(-LN(2)/2))/(LN(2)/2)*ER110*EU110*VLOOKUP('Données projet'!$B$15,Paramètres!$A$1:$I$89,3,0)*0.475*44/12</f>
        <v>0</v>
      </c>
      <c r="EY110" s="22">
        <f t="shared" si="75"/>
        <v>0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>
        <f>FE110*VLOOKUP('Données projet'!$B$16,Paramètres!$A$1:$I$89,3,0)*VLOOKUP('Données projet'!$B$16,Paramètres!$A$1:$I$89,5,0)</f>
        <v>0</v>
      </c>
      <c r="FG110" s="13" t="e">
        <f t="shared" si="101"/>
        <v>#NUM!</v>
      </c>
      <c r="FH110" s="20" t="e">
        <f t="shared" si="76"/>
        <v>#NUM!</v>
      </c>
      <c r="FI110" s="59" t="e">
        <f t="shared" si="77"/>
        <v>#NUM!</v>
      </c>
      <c r="FJ110" s="59">
        <f ca="1">AVERAGE(OFFSET($FI$3,0,0,'Données projet'!$E$16+1,1))-AVERAGE(OFFSET($H$3,0,0,'Données projet'!$E$16+1,1))</f>
        <v>0</v>
      </c>
      <c r="FK110" s="59">
        <f t="shared" si="102"/>
        <v>0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>
        <f>EXP(-LN(2)/35)*FQ109+(1-EXP(-LN(2)/35))/(LN(2)/35)*FM110*FN110*VLOOKUP('Données projet'!$B$16,Paramètres!$A$1:$I$89,3,0)*0.475*44/12</f>
        <v>0</v>
      </c>
      <c r="FR110" s="21">
        <f>EXP(-LN(2)/25)*FR109+(1-EXP(-LN(2)/25))/(LN(2)/25)*Calculateur!FM110*Calculateur!FO110*VLOOKUP('Données projet'!$B$16,Paramètres!$A$1:$I$89,3,0)*0.475*44/12</f>
        <v>0</v>
      </c>
      <c r="FS110" s="21">
        <f>EXP(-LN(2)/2)*FS109+(1-EXP(-LN(2)/2))/(LN(2)/2)*FM110*FP110*VLOOKUP('Données projet'!$B$16,Paramètres!$A$1:$I$89,3,0)*0.475*44/12</f>
        <v>0</v>
      </c>
      <c r="FT110" s="22">
        <f t="shared" si="78"/>
        <v>0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56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186.90544184210381</v>
      </c>
      <c r="T111" s="59">
        <f t="shared" si="88"/>
        <v>202.05988514450519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45.991573132936011</v>
      </c>
      <c r="AA111" s="21">
        <f>EXP(-LN(2)/25)*AA110+(1-EXP(-LN(2)/25))/(LN(2)/25)*Calculateur!V111*Calculateur!X111*VLOOKUP('Données projet'!$B$9,Paramètres!$A$1:$I$89,3,0)*0.475*44/12</f>
        <v>5.7739207865558004</v>
      </c>
      <c r="AB111" s="21">
        <f>EXP(-LN(2)/2)*AB110+(1-EXP(-LN(2)/2))/(LN(2)/2)*V111*Y111*VLOOKUP('Données projet'!$B$9,Paramètres!$A$1:$I$89,3,0)*0.475*44/12</f>
        <v>2.5644172889058911E-6</v>
      </c>
      <c r="AC111" s="22">
        <f t="shared" si="57"/>
        <v>51.765496483909097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>
        <f>AI111*VLOOKUP('Données projet'!$B$10,Paramètres!$A$1:$I$89,3,0)*VLOOKUP('Données projet'!$B$10,Paramètres!$A$1:$I$89,5,0)</f>
        <v>0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186.90544184210381</v>
      </c>
      <c r="AO111" s="59">
        <f t="shared" si="90"/>
        <v>202.05988514450519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45.991573132936011</v>
      </c>
      <c r="AV111" s="21">
        <f>EXP(-LN(2)/25)*AV110+(1-EXP(-LN(2)/25))/(LN(2)/25)*Calculateur!AQ111*Calculateur!AS111*VLOOKUP('Données projet'!$B$10,Paramètres!$A$1:$I$89,3,0)*0.475*44/12</f>
        <v>5.7739207865558004</v>
      </c>
      <c r="AW111" s="21">
        <f>EXP(-LN(2)/2)*AW110+(1-EXP(-LN(2)/2))/(LN(2)/2)*AQ111*AT111*VLOOKUP('Données projet'!$B$10,Paramètres!$A$1:$I$89,3,0)*0.475*44/12</f>
        <v>2.5644172889058911E-6</v>
      </c>
      <c r="AX111" s="21">
        <f t="shared" si="60"/>
        <v>51.765496483909097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-2.8421709430404007E-14</v>
      </c>
      <c r="BE111" s="13">
        <f>BD111*VLOOKUP('Données projet'!$B$11,Paramètres!$A$1:$I$89,3,0)*VLOOKUP('Données projet'!$B$11,Paramètres!$A$1:$I$89,5,0)</f>
        <v>-2.3055690689943732E-14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5.8584049049231908</v>
      </c>
      <c r="BJ111" s="59">
        <f t="shared" si="92"/>
        <v>42.266833200216638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6.0312799352148934E-10</v>
      </c>
      <c r="BS111" s="22">
        <f t="shared" si="63"/>
        <v>6.0312799352148934E-10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>
        <f>BY111*VLOOKUP('Données projet'!$B$12,Paramètres!$A$1:$I$89,3,0)*VLOOKUP('Données projet'!$B$12,Paramètres!$A$1:$I$89,5,0)</f>
        <v>0</v>
      </c>
      <c r="CA111" s="13" t="e">
        <f t="shared" si="93"/>
        <v>#NUM!</v>
      </c>
      <c r="CB111" s="20" t="e">
        <f t="shared" si="64"/>
        <v>#NUM!</v>
      </c>
      <c r="CC111" s="59" t="e">
        <f t="shared" si="65"/>
        <v>#NUM!</v>
      </c>
      <c r="CD111" s="59">
        <f ca="1">AVERAGE(OFFSET($CC$3,0,0,'Données projet'!$E$12+1,1))-AVERAGE(OFFSET($H$3,0,0,'Données projet'!$E$12+1,1))</f>
        <v>0</v>
      </c>
      <c r="CE111" s="59">
        <f t="shared" si="94"/>
        <v>0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0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>
        <f>CT111*VLOOKUP('Données projet'!$B$13,Paramètres!$A$1:$I$89,3,0)*VLOOKUP('Données projet'!$B$13,Paramètres!$A$1:$I$89,5,0)</f>
        <v>0</v>
      </c>
      <c r="CV111" s="13" t="e">
        <f t="shared" si="95"/>
        <v>#NUM!</v>
      </c>
      <c r="CW111" s="20" t="e">
        <f t="shared" si="67"/>
        <v>#NUM!</v>
      </c>
      <c r="CX111" s="59" t="e">
        <f t="shared" si="68"/>
        <v>#NUM!</v>
      </c>
      <c r="CY111" s="59">
        <f ca="1">AVERAGE(OFFSET($CX$3,0,0,'Données projet'!$E$13+1,1))-AVERAGE(OFFSET($H$3,0,0,'Données projet'!$E$13+1,1))</f>
        <v>0</v>
      </c>
      <c r="CZ111" s="59">
        <f t="shared" si="96"/>
        <v>0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</v>
      </c>
      <c r="DG111" s="21">
        <f>EXP(-LN(2)/25)*DG110+(1-EXP(-LN(2)/25))/(LN(2)/25)*Calculateur!DB111*Calculateur!DD111*VLOOKUP('Données projet'!$B$13,Paramètres!$A$1:$I$89,3,0)*0.475*44/12</f>
        <v>0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0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>
        <f>DO111*VLOOKUP('Données projet'!$B$14,Paramètres!$A$1:$I$89,3,0)*VLOOKUP('Données projet'!$B$14,Paramètres!$A$1:$I$89,5,0)</f>
        <v>0</v>
      </c>
      <c r="DQ111" s="13" t="e">
        <f t="shared" si="97"/>
        <v>#NUM!</v>
      </c>
      <c r="DR111" s="20" t="e">
        <f t="shared" si="70"/>
        <v>#NUM!</v>
      </c>
      <c r="DS111" s="59" t="e">
        <f t="shared" si="71"/>
        <v>#NUM!</v>
      </c>
      <c r="DT111" s="59">
        <f ca="1">AVERAGE(OFFSET($DS$3,0,0,'Données projet'!$E$14+1,1))-AVERAGE(OFFSET($H$3,0,0,'Données projet'!$E$14+1,1))</f>
        <v>0</v>
      </c>
      <c r="DU111" s="59">
        <f t="shared" si="98"/>
        <v>0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</v>
      </c>
      <c r="EB111" s="21">
        <f>EXP(-LN(2)/25)*EB110+(1-EXP(-LN(2)/25))/(LN(2)/25)*Calculateur!DW111*Calculateur!DY111*VLOOKUP('Données projet'!$B$14,Paramètres!$A$1:$I$89,3,0)*0.475*44/12</f>
        <v>0</v>
      </c>
      <c r="EC111" s="21">
        <f>EXP(-LN(2)/2)*EC110+(1-EXP(-LN(2)/2))/(LN(2)/2)*DW111*DZ111*VLOOKUP('Données projet'!$B$14,Paramètres!$A$1:$I$89,3,0)*0.475*44/12</f>
        <v>0</v>
      </c>
      <c r="ED111" s="22">
        <f t="shared" si="72"/>
        <v>0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>
        <f>EJ111*VLOOKUP('Données projet'!$B$15,Paramètres!$A$1:$I$89,3,0)*VLOOKUP('Données projet'!$B$15,Paramètres!$A$1:$I$89,5,0)</f>
        <v>0</v>
      </c>
      <c r="EL111" s="13" t="e">
        <f t="shared" si="99"/>
        <v>#NUM!</v>
      </c>
      <c r="EM111" s="20" t="e">
        <f t="shared" si="73"/>
        <v>#NUM!</v>
      </c>
      <c r="EN111" s="59" t="e">
        <f t="shared" si="74"/>
        <v>#NUM!</v>
      </c>
      <c r="EO111" s="59">
        <f ca="1">AVERAGE(OFFSET($EN$3,0,0,'Données projet'!$E$15+1,1))-AVERAGE(OFFSET($H$3,0,0,'Données projet'!$E$15+1,1))</f>
        <v>0</v>
      </c>
      <c r="EP111" s="59">
        <f t="shared" si="100"/>
        <v>0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>
        <f>EXP(-LN(2)/35)*EV110+(1-EXP(-LN(2)/35))/(LN(2)/35)*ER111*ES111*VLOOKUP('Données projet'!$B$15,Paramètres!$A$1:$I$89,3,0)*0.475*44/12</f>
        <v>0</v>
      </c>
      <c r="EW111" s="21">
        <f>EXP(-LN(2)/25)*EW110+(1-EXP(-LN(2)/25))/(LN(2)/25)*Calculateur!ER111*Calculateur!ET111*VLOOKUP('Données projet'!$B$15,Paramètres!$A$1:$I$89,3,0)*0.475*44/12</f>
        <v>0</v>
      </c>
      <c r="EX111" s="21">
        <f>EXP(-LN(2)/2)*EX110+(1-EXP(-LN(2)/2))/(LN(2)/2)*ER111*EU111*VLOOKUP('Données projet'!$B$15,Paramètres!$A$1:$I$89,3,0)*0.475*44/12</f>
        <v>0</v>
      </c>
      <c r="EY111" s="22">
        <f t="shared" si="75"/>
        <v>0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>
        <f>FE111*VLOOKUP('Données projet'!$B$16,Paramètres!$A$1:$I$89,3,0)*VLOOKUP('Données projet'!$B$16,Paramètres!$A$1:$I$89,5,0)</f>
        <v>0</v>
      </c>
      <c r="FG111" s="13" t="e">
        <f t="shared" si="101"/>
        <v>#NUM!</v>
      </c>
      <c r="FH111" s="20" t="e">
        <f t="shared" si="76"/>
        <v>#NUM!</v>
      </c>
      <c r="FI111" s="59" t="e">
        <f t="shared" si="77"/>
        <v>#NUM!</v>
      </c>
      <c r="FJ111" s="59">
        <f ca="1">AVERAGE(OFFSET($FI$3,0,0,'Données projet'!$E$16+1,1))-AVERAGE(OFFSET($H$3,0,0,'Données projet'!$E$16+1,1))</f>
        <v>0</v>
      </c>
      <c r="FK111" s="59">
        <f t="shared" si="102"/>
        <v>0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>
        <f>EXP(-LN(2)/35)*FQ110+(1-EXP(-LN(2)/35))/(LN(2)/35)*FM111*FN111*VLOOKUP('Données projet'!$B$16,Paramètres!$A$1:$I$89,3,0)*0.475*44/12</f>
        <v>0</v>
      </c>
      <c r="FR111" s="21">
        <f>EXP(-LN(2)/25)*FR110+(1-EXP(-LN(2)/25))/(LN(2)/25)*Calculateur!FM111*Calculateur!FO111*VLOOKUP('Données projet'!$B$16,Paramètres!$A$1:$I$89,3,0)*0.475*44/12</f>
        <v>0</v>
      </c>
      <c r="FS111" s="21">
        <f>EXP(-LN(2)/2)*FS110+(1-EXP(-LN(2)/2))/(LN(2)/2)*FM111*FP111*VLOOKUP('Données projet'!$B$16,Paramètres!$A$1:$I$89,3,0)*0.475*44/12</f>
        <v>0</v>
      </c>
      <c r="FT111" s="22">
        <f t="shared" si="78"/>
        <v>0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56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186.90544184210381</v>
      </c>
      <c r="T112" s="59">
        <f t="shared" si="88"/>
        <v>202.05988514450519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45.089706435888836</v>
      </c>
      <c r="AA112" s="21">
        <f>EXP(-LN(2)/25)*AA111+(1-EXP(-LN(2)/25))/(LN(2)/25)*Calculateur!V112*Calculateur!X112*VLOOKUP('Données projet'!$B$9,Paramètres!$A$1:$I$89,3,0)*0.475*44/12</f>
        <v>5.6160326190101344</v>
      </c>
      <c r="AB112" s="21">
        <f>EXP(-LN(2)/2)*AB111+(1-EXP(-LN(2)/2))/(LN(2)/2)*V112*Y112*VLOOKUP('Données projet'!$B$9,Paramètres!$A$1:$I$89,3,0)*0.475*44/12</f>
        <v>1.8133168547773774E-6</v>
      </c>
      <c r="AC112" s="22">
        <f t="shared" si="57"/>
        <v>50.705740868215827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>
        <f>AI112*VLOOKUP('Données projet'!$B$10,Paramètres!$A$1:$I$89,3,0)*VLOOKUP('Données projet'!$B$10,Paramètres!$A$1:$I$89,5,0)</f>
        <v>0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186.90544184210381</v>
      </c>
      <c r="AO112" s="59">
        <f t="shared" si="90"/>
        <v>202.05988514450519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45.089706435888836</v>
      </c>
      <c r="AV112" s="21">
        <f>EXP(-LN(2)/25)*AV111+(1-EXP(-LN(2)/25))/(LN(2)/25)*Calculateur!AQ112*Calculateur!AS112*VLOOKUP('Données projet'!$B$10,Paramètres!$A$1:$I$89,3,0)*0.475*44/12</f>
        <v>5.6160326190101344</v>
      </c>
      <c r="AW112" s="21">
        <f>EXP(-LN(2)/2)*AW111+(1-EXP(-LN(2)/2))/(LN(2)/2)*AQ112*AT112*VLOOKUP('Données projet'!$B$10,Paramètres!$A$1:$I$89,3,0)*0.475*44/12</f>
        <v>1.8133168547773774E-6</v>
      </c>
      <c r="AX112" s="21">
        <f t="shared" si="60"/>
        <v>50.705740868215827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-2.8421709430404007E-14</v>
      </c>
      <c r="BE112" s="13">
        <f>BD112*VLOOKUP('Données projet'!$B$11,Paramètres!$A$1:$I$89,3,0)*VLOOKUP('Données projet'!$B$11,Paramètres!$A$1:$I$89,5,0)</f>
        <v>-2.3055690689943732E-14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5.8584049049231908</v>
      </c>
      <c r="BJ112" s="59">
        <f t="shared" si="92"/>
        <v>42.266833200216638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4.2647589414248122E-10</v>
      </c>
      <c r="BS112" s="22">
        <f t="shared" si="63"/>
        <v>4.2647589414248122E-10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>
        <f>BY112*VLOOKUP('Données projet'!$B$12,Paramètres!$A$1:$I$89,3,0)*VLOOKUP('Données projet'!$B$12,Paramètres!$A$1:$I$89,5,0)</f>
        <v>0</v>
      </c>
      <c r="CA112" s="13" t="e">
        <f t="shared" si="93"/>
        <v>#NUM!</v>
      </c>
      <c r="CB112" s="20" t="e">
        <f t="shared" si="64"/>
        <v>#NUM!</v>
      </c>
      <c r="CC112" s="59" t="e">
        <f t="shared" si="65"/>
        <v>#NUM!</v>
      </c>
      <c r="CD112" s="59">
        <f ca="1">AVERAGE(OFFSET($CC$3,0,0,'Données projet'!$E$12+1,1))-AVERAGE(OFFSET($H$3,0,0,'Données projet'!$E$12+1,1))</f>
        <v>0</v>
      </c>
      <c r="CE112" s="59">
        <f t="shared" si="94"/>
        <v>0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0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>
        <f>CT112*VLOOKUP('Données projet'!$B$13,Paramètres!$A$1:$I$89,3,0)*VLOOKUP('Données projet'!$B$13,Paramètres!$A$1:$I$89,5,0)</f>
        <v>0</v>
      </c>
      <c r="CV112" s="13" t="e">
        <f t="shared" si="95"/>
        <v>#NUM!</v>
      </c>
      <c r="CW112" s="20" t="e">
        <f t="shared" si="67"/>
        <v>#NUM!</v>
      </c>
      <c r="CX112" s="59" t="e">
        <f t="shared" si="68"/>
        <v>#NUM!</v>
      </c>
      <c r="CY112" s="59">
        <f ca="1">AVERAGE(OFFSET($CX$3,0,0,'Données projet'!$E$13+1,1))-AVERAGE(OFFSET($H$3,0,0,'Données projet'!$E$13+1,1))</f>
        <v>0</v>
      </c>
      <c r="CZ112" s="59">
        <f t="shared" si="96"/>
        <v>0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</v>
      </c>
      <c r="DG112" s="21">
        <f>EXP(-LN(2)/25)*DG111+(1-EXP(-LN(2)/25))/(LN(2)/25)*Calculateur!DB112*Calculateur!DD112*VLOOKUP('Données projet'!$B$13,Paramètres!$A$1:$I$89,3,0)*0.475*44/12</f>
        <v>0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0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>
        <f>DO112*VLOOKUP('Données projet'!$B$14,Paramètres!$A$1:$I$89,3,0)*VLOOKUP('Données projet'!$B$14,Paramètres!$A$1:$I$89,5,0)</f>
        <v>0</v>
      </c>
      <c r="DQ112" s="13" t="e">
        <f t="shared" si="97"/>
        <v>#NUM!</v>
      </c>
      <c r="DR112" s="20" t="e">
        <f t="shared" si="70"/>
        <v>#NUM!</v>
      </c>
      <c r="DS112" s="59" t="e">
        <f t="shared" si="71"/>
        <v>#NUM!</v>
      </c>
      <c r="DT112" s="59">
        <f ca="1">AVERAGE(OFFSET($DS$3,0,0,'Données projet'!$E$14+1,1))-AVERAGE(OFFSET($H$3,0,0,'Données projet'!$E$14+1,1))</f>
        <v>0</v>
      </c>
      <c r="DU112" s="59">
        <f t="shared" si="98"/>
        <v>0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</v>
      </c>
      <c r="EB112" s="21">
        <f>EXP(-LN(2)/25)*EB111+(1-EXP(-LN(2)/25))/(LN(2)/25)*Calculateur!DW112*Calculateur!DY112*VLOOKUP('Données projet'!$B$14,Paramètres!$A$1:$I$89,3,0)*0.475*44/12</f>
        <v>0</v>
      </c>
      <c r="EC112" s="21">
        <f>EXP(-LN(2)/2)*EC111+(1-EXP(-LN(2)/2))/(LN(2)/2)*DW112*DZ112*VLOOKUP('Données projet'!$B$14,Paramètres!$A$1:$I$89,3,0)*0.475*44/12</f>
        <v>0</v>
      </c>
      <c r="ED112" s="22">
        <f t="shared" si="72"/>
        <v>0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>
        <f>EJ112*VLOOKUP('Données projet'!$B$15,Paramètres!$A$1:$I$89,3,0)*VLOOKUP('Données projet'!$B$15,Paramètres!$A$1:$I$89,5,0)</f>
        <v>0</v>
      </c>
      <c r="EL112" s="13" t="e">
        <f t="shared" si="99"/>
        <v>#NUM!</v>
      </c>
      <c r="EM112" s="20" t="e">
        <f t="shared" si="73"/>
        <v>#NUM!</v>
      </c>
      <c r="EN112" s="59" t="e">
        <f t="shared" si="74"/>
        <v>#NUM!</v>
      </c>
      <c r="EO112" s="59">
        <f ca="1">AVERAGE(OFFSET($EN$3,0,0,'Données projet'!$E$15+1,1))-AVERAGE(OFFSET($H$3,0,0,'Données projet'!$E$15+1,1))</f>
        <v>0</v>
      </c>
      <c r="EP112" s="59">
        <f t="shared" si="100"/>
        <v>0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>
        <f>EXP(-LN(2)/35)*EV111+(1-EXP(-LN(2)/35))/(LN(2)/35)*ER112*ES112*VLOOKUP('Données projet'!$B$15,Paramètres!$A$1:$I$89,3,0)*0.475*44/12</f>
        <v>0</v>
      </c>
      <c r="EW112" s="21">
        <f>EXP(-LN(2)/25)*EW111+(1-EXP(-LN(2)/25))/(LN(2)/25)*Calculateur!ER112*Calculateur!ET112*VLOOKUP('Données projet'!$B$15,Paramètres!$A$1:$I$89,3,0)*0.475*44/12</f>
        <v>0</v>
      </c>
      <c r="EX112" s="21">
        <f>EXP(-LN(2)/2)*EX111+(1-EXP(-LN(2)/2))/(LN(2)/2)*ER112*EU112*VLOOKUP('Données projet'!$B$15,Paramètres!$A$1:$I$89,3,0)*0.475*44/12</f>
        <v>0</v>
      </c>
      <c r="EY112" s="22">
        <f t="shared" si="75"/>
        <v>0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>
        <f>FE112*VLOOKUP('Données projet'!$B$16,Paramètres!$A$1:$I$89,3,0)*VLOOKUP('Données projet'!$B$16,Paramètres!$A$1:$I$89,5,0)</f>
        <v>0</v>
      </c>
      <c r="FG112" s="13" t="e">
        <f t="shared" si="101"/>
        <v>#NUM!</v>
      </c>
      <c r="FH112" s="20" t="e">
        <f t="shared" si="76"/>
        <v>#NUM!</v>
      </c>
      <c r="FI112" s="59" t="e">
        <f t="shared" si="77"/>
        <v>#NUM!</v>
      </c>
      <c r="FJ112" s="59">
        <f ca="1">AVERAGE(OFFSET($FI$3,0,0,'Données projet'!$E$16+1,1))-AVERAGE(OFFSET($H$3,0,0,'Données projet'!$E$16+1,1))</f>
        <v>0</v>
      </c>
      <c r="FK112" s="59">
        <f t="shared" si="102"/>
        <v>0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>
        <f>EXP(-LN(2)/35)*FQ111+(1-EXP(-LN(2)/35))/(LN(2)/35)*FM112*FN112*VLOOKUP('Données projet'!$B$16,Paramètres!$A$1:$I$89,3,0)*0.475*44/12</f>
        <v>0</v>
      </c>
      <c r="FR112" s="21">
        <f>EXP(-LN(2)/25)*FR111+(1-EXP(-LN(2)/25))/(LN(2)/25)*Calculateur!FM112*Calculateur!FO112*VLOOKUP('Données projet'!$B$16,Paramètres!$A$1:$I$89,3,0)*0.475*44/12</f>
        <v>0</v>
      </c>
      <c r="FS112" s="21">
        <f>EXP(-LN(2)/2)*FS111+(1-EXP(-LN(2)/2))/(LN(2)/2)*FM112*FP112*VLOOKUP('Données projet'!$B$16,Paramètres!$A$1:$I$89,3,0)*0.475*44/12</f>
        <v>0</v>
      </c>
      <c r="FT112" s="22">
        <f t="shared" si="78"/>
        <v>0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56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186.90544184210381</v>
      </c>
      <c r="T113" s="59">
        <f t="shared" si="88"/>
        <v>202.05988514450519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44.205524794686383</v>
      </c>
      <c r="AA113" s="21">
        <f>EXP(-LN(2)/25)*AA112+(1-EXP(-LN(2)/25))/(LN(2)/25)*Calculateur!V113*Calculateur!X113*VLOOKUP('Données projet'!$B$9,Paramètres!$A$1:$I$89,3,0)*0.475*44/12</f>
        <v>5.4624619117089823</v>
      </c>
      <c r="AB113" s="21">
        <f>EXP(-LN(2)/2)*AB112+(1-EXP(-LN(2)/2))/(LN(2)/2)*V113*Y113*VLOOKUP('Données projet'!$B$9,Paramètres!$A$1:$I$89,3,0)*0.475*44/12</f>
        <v>1.2822086444529456E-6</v>
      </c>
      <c r="AC113" s="22">
        <f t="shared" si="57"/>
        <v>49.667987988604011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>
        <f>AI113*VLOOKUP('Données projet'!$B$10,Paramètres!$A$1:$I$89,3,0)*VLOOKUP('Données projet'!$B$10,Paramètres!$A$1:$I$89,5,0)</f>
        <v>0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186.90544184210381</v>
      </c>
      <c r="AO113" s="59">
        <f t="shared" si="90"/>
        <v>202.05988514450519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44.205524794686383</v>
      </c>
      <c r="AV113" s="21">
        <f>EXP(-LN(2)/25)*AV112+(1-EXP(-LN(2)/25))/(LN(2)/25)*Calculateur!AQ113*Calculateur!AS113*VLOOKUP('Données projet'!$B$10,Paramètres!$A$1:$I$89,3,0)*0.475*44/12</f>
        <v>5.4624619117089823</v>
      </c>
      <c r="AW113" s="21">
        <f>EXP(-LN(2)/2)*AW112+(1-EXP(-LN(2)/2))/(LN(2)/2)*AQ113*AT113*VLOOKUP('Données projet'!$B$10,Paramètres!$A$1:$I$89,3,0)*0.475*44/12</f>
        <v>1.2822086444529456E-6</v>
      </c>
      <c r="AX113" s="21">
        <f t="shared" si="60"/>
        <v>49.667987988604011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-2.8421709430404007E-14</v>
      </c>
      <c r="BE113" s="13">
        <f>BD113*VLOOKUP('Données projet'!$B$11,Paramètres!$A$1:$I$89,3,0)*VLOOKUP('Données projet'!$B$11,Paramètres!$A$1:$I$89,5,0)</f>
        <v>-2.3055690689943732E-14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5.8584049049231908</v>
      </c>
      <c r="BJ113" s="59">
        <f t="shared" si="92"/>
        <v>42.266833200216638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3.0156399676074467E-10</v>
      </c>
      <c r="BS113" s="22">
        <f t="shared" si="63"/>
        <v>3.0156399676074467E-10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>
        <f>BY113*VLOOKUP('Données projet'!$B$12,Paramètres!$A$1:$I$89,3,0)*VLOOKUP('Données projet'!$B$12,Paramètres!$A$1:$I$89,5,0)</f>
        <v>0</v>
      </c>
      <c r="CA113" s="13" t="e">
        <f t="shared" si="93"/>
        <v>#NUM!</v>
      </c>
      <c r="CB113" s="20" t="e">
        <f t="shared" si="64"/>
        <v>#NUM!</v>
      </c>
      <c r="CC113" s="59" t="e">
        <f t="shared" si="65"/>
        <v>#NUM!</v>
      </c>
      <c r="CD113" s="59">
        <f ca="1">AVERAGE(OFFSET($CC$3,0,0,'Données projet'!$E$12+1,1))-AVERAGE(OFFSET($H$3,0,0,'Données projet'!$E$12+1,1))</f>
        <v>0</v>
      </c>
      <c r="CE113" s="59">
        <f t="shared" si="94"/>
        <v>0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0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>
        <f>CT113*VLOOKUP('Données projet'!$B$13,Paramètres!$A$1:$I$89,3,0)*VLOOKUP('Données projet'!$B$13,Paramètres!$A$1:$I$89,5,0)</f>
        <v>0</v>
      </c>
      <c r="CV113" s="13" t="e">
        <f t="shared" si="95"/>
        <v>#NUM!</v>
      </c>
      <c r="CW113" s="20" t="e">
        <f t="shared" si="67"/>
        <v>#NUM!</v>
      </c>
      <c r="CX113" s="59" t="e">
        <f t="shared" si="68"/>
        <v>#NUM!</v>
      </c>
      <c r="CY113" s="59">
        <f ca="1">AVERAGE(OFFSET($CX$3,0,0,'Données projet'!$E$13+1,1))-AVERAGE(OFFSET($H$3,0,0,'Données projet'!$E$13+1,1))</f>
        <v>0</v>
      </c>
      <c r="CZ113" s="59">
        <f t="shared" si="96"/>
        <v>0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</v>
      </c>
      <c r="DG113" s="21">
        <f>EXP(-LN(2)/25)*DG112+(1-EXP(-LN(2)/25))/(LN(2)/25)*Calculateur!DB113*Calculateur!DD113*VLOOKUP('Données projet'!$B$13,Paramètres!$A$1:$I$89,3,0)*0.475*44/12</f>
        <v>0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0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>
        <f>DO113*VLOOKUP('Données projet'!$B$14,Paramètres!$A$1:$I$89,3,0)*VLOOKUP('Données projet'!$B$14,Paramètres!$A$1:$I$89,5,0)</f>
        <v>0</v>
      </c>
      <c r="DQ113" s="13" t="e">
        <f t="shared" si="97"/>
        <v>#NUM!</v>
      </c>
      <c r="DR113" s="20" t="e">
        <f t="shared" si="70"/>
        <v>#NUM!</v>
      </c>
      <c r="DS113" s="59" t="e">
        <f t="shared" si="71"/>
        <v>#NUM!</v>
      </c>
      <c r="DT113" s="59">
        <f ca="1">AVERAGE(OFFSET($DS$3,0,0,'Données projet'!$E$14+1,1))-AVERAGE(OFFSET($H$3,0,0,'Données projet'!$E$14+1,1))</f>
        <v>0</v>
      </c>
      <c r="DU113" s="59">
        <f t="shared" si="98"/>
        <v>0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</v>
      </c>
      <c r="EB113" s="21">
        <f>EXP(-LN(2)/25)*EB112+(1-EXP(-LN(2)/25))/(LN(2)/25)*Calculateur!DW113*Calculateur!DY113*VLOOKUP('Données projet'!$B$14,Paramètres!$A$1:$I$89,3,0)*0.475*44/12</f>
        <v>0</v>
      </c>
      <c r="EC113" s="21">
        <f>EXP(-LN(2)/2)*EC112+(1-EXP(-LN(2)/2))/(LN(2)/2)*DW113*DZ113*VLOOKUP('Données projet'!$B$14,Paramètres!$A$1:$I$89,3,0)*0.475*44/12</f>
        <v>0</v>
      </c>
      <c r="ED113" s="22">
        <f t="shared" si="72"/>
        <v>0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>
        <f>EJ113*VLOOKUP('Données projet'!$B$15,Paramètres!$A$1:$I$89,3,0)*VLOOKUP('Données projet'!$B$15,Paramètres!$A$1:$I$89,5,0)</f>
        <v>0</v>
      </c>
      <c r="EL113" s="13" t="e">
        <f t="shared" si="99"/>
        <v>#NUM!</v>
      </c>
      <c r="EM113" s="20" t="e">
        <f t="shared" si="73"/>
        <v>#NUM!</v>
      </c>
      <c r="EN113" s="59" t="e">
        <f t="shared" si="74"/>
        <v>#NUM!</v>
      </c>
      <c r="EO113" s="59">
        <f ca="1">AVERAGE(OFFSET($EN$3,0,0,'Données projet'!$E$15+1,1))-AVERAGE(OFFSET($H$3,0,0,'Données projet'!$E$15+1,1))</f>
        <v>0</v>
      </c>
      <c r="EP113" s="59">
        <f t="shared" si="100"/>
        <v>0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>
        <f>EXP(-LN(2)/35)*EV112+(1-EXP(-LN(2)/35))/(LN(2)/35)*ER113*ES113*VLOOKUP('Données projet'!$B$15,Paramètres!$A$1:$I$89,3,0)*0.475*44/12</f>
        <v>0</v>
      </c>
      <c r="EW113" s="21">
        <f>EXP(-LN(2)/25)*EW112+(1-EXP(-LN(2)/25))/(LN(2)/25)*Calculateur!ER113*Calculateur!ET113*VLOOKUP('Données projet'!$B$15,Paramètres!$A$1:$I$89,3,0)*0.475*44/12</f>
        <v>0</v>
      </c>
      <c r="EX113" s="21">
        <f>EXP(-LN(2)/2)*EX112+(1-EXP(-LN(2)/2))/(LN(2)/2)*ER113*EU113*VLOOKUP('Données projet'!$B$15,Paramètres!$A$1:$I$89,3,0)*0.475*44/12</f>
        <v>0</v>
      </c>
      <c r="EY113" s="22">
        <f t="shared" si="75"/>
        <v>0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>
        <f>FE113*VLOOKUP('Données projet'!$B$16,Paramètres!$A$1:$I$89,3,0)*VLOOKUP('Données projet'!$B$16,Paramètres!$A$1:$I$89,5,0)</f>
        <v>0</v>
      </c>
      <c r="FG113" s="13" t="e">
        <f t="shared" si="101"/>
        <v>#NUM!</v>
      </c>
      <c r="FH113" s="20" t="e">
        <f t="shared" si="76"/>
        <v>#NUM!</v>
      </c>
      <c r="FI113" s="59" t="e">
        <f t="shared" si="77"/>
        <v>#NUM!</v>
      </c>
      <c r="FJ113" s="59">
        <f ca="1">AVERAGE(OFFSET($FI$3,0,0,'Données projet'!$E$16+1,1))-AVERAGE(OFFSET($H$3,0,0,'Données projet'!$E$16+1,1))</f>
        <v>0</v>
      </c>
      <c r="FK113" s="59">
        <f t="shared" si="102"/>
        <v>0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>
        <f>EXP(-LN(2)/35)*FQ112+(1-EXP(-LN(2)/35))/(LN(2)/35)*FM113*FN113*VLOOKUP('Données projet'!$B$16,Paramètres!$A$1:$I$89,3,0)*0.475*44/12</f>
        <v>0</v>
      </c>
      <c r="FR113" s="21">
        <f>EXP(-LN(2)/25)*FR112+(1-EXP(-LN(2)/25))/(LN(2)/25)*Calculateur!FM113*Calculateur!FO113*VLOOKUP('Données projet'!$B$16,Paramètres!$A$1:$I$89,3,0)*0.475*44/12</f>
        <v>0</v>
      </c>
      <c r="FS113" s="21">
        <f>EXP(-LN(2)/2)*FS112+(1-EXP(-LN(2)/2))/(LN(2)/2)*FM113*FP113*VLOOKUP('Données projet'!$B$16,Paramètres!$A$1:$I$89,3,0)*0.475*44/12</f>
        <v>0</v>
      </c>
      <c r="FT113" s="22">
        <f t="shared" si="78"/>
        <v>0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56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186.90544184210381</v>
      </c>
      <c r="T114" s="59">
        <f t="shared" si="88"/>
        <v>202.05988514450519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43.33868141617036</v>
      </c>
      <c r="AA114" s="21">
        <f>EXP(-LN(2)/25)*AA113+(1-EXP(-LN(2)/25))/(LN(2)/25)*Calculateur!V114*Calculateur!X114*VLOOKUP('Données projet'!$B$9,Paramètres!$A$1:$I$89,3,0)*0.475*44/12</f>
        <v>5.3130906034749126</v>
      </c>
      <c r="AB114" s="21">
        <f>EXP(-LN(2)/2)*AB113+(1-EXP(-LN(2)/2))/(LN(2)/2)*V114*Y114*VLOOKUP('Données projet'!$B$9,Paramètres!$A$1:$I$89,3,0)*0.475*44/12</f>
        <v>9.0665842738868871E-7</v>
      </c>
      <c r="AC114" s="22">
        <f t="shared" si="57"/>
        <v>48.6517729263037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>
        <f>AI114*VLOOKUP('Données projet'!$B$10,Paramètres!$A$1:$I$89,3,0)*VLOOKUP('Données projet'!$B$10,Paramètres!$A$1:$I$89,5,0)</f>
        <v>0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186.90544184210381</v>
      </c>
      <c r="AO114" s="59">
        <f t="shared" si="90"/>
        <v>202.05988514450519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43.33868141617036</v>
      </c>
      <c r="AV114" s="21">
        <f>EXP(-LN(2)/25)*AV113+(1-EXP(-LN(2)/25))/(LN(2)/25)*Calculateur!AQ114*Calculateur!AS114*VLOOKUP('Données projet'!$B$10,Paramètres!$A$1:$I$89,3,0)*0.475*44/12</f>
        <v>5.3130906034749126</v>
      </c>
      <c r="AW114" s="21">
        <f>EXP(-LN(2)/2)*AW113+(1-EXP(-LN(2)/2))/(LN(2)/2)*AQ114*AT114*VLOOKUP('Données projet'!$B$10,Paramètres!$A$1:$I$89,3,0)*0.475*44/12</f>
        <v>9.0665842738868871E-7</v>
      </c>
      <c r="AX114" s="21">
        <f t="shared" si="60"/>
        <v>48.6517729263037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-2.8421709430404007E-14</v>
      </c>
      <c r="BE114" s="13">
        <f>BD114*VLOOKUP('Données projet'!$B$11,Paramètres!$A$1:$I$89,3,0)*VLOOKUP('Données projet'!$B$11,Paramètres!$A$1:$I$89,5,0)</f>
        <v>-2.3055690689943732E-14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5.8584049049231908</v>
      </c>
      <c r="BJ114" s="59">
        <f t="shared" si="92"/>
        <v>42.266833200216638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2.1323794707124061E-10</v>
      </c>
      <c r="BS114" s="22">
        <f t="shared" si="63"/>
        <v>2.1323794707124061E-10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>
        <f>BY114*VLOOKUP('Données projet'!$B$12,Paramètres!$A$1:$I$89,3,0)*VLOOKUP('Données projet'!$B$12,Paramètres!$A$1:$I$89,5,0)</f>
        <v>0</v>
      </c>
      <c r="CA114" s="13" t="e">
        <f t="shared" si="93"/>
        <v>#NUM!</v>
      </c>
      <c r="CB114" s="20" t="e">
        <f t="shared" si="64"/>
        <v>#NUM!</v>
      </c>
      <c r="CC114" s="59" t="e">
        <f t="shared" si="65"/>
        <v>#NUM!</v>
      </c>
      <c r="CD114" s="59">
        <f ca="1">AVERAGE(OFFSET($CC$3,0,0,'Données projet'!$E$12+1,1))-AVERAGE(OFFSET($H$3,0,0,'Données projet'!$E$12+1,1))</f>
        <v>0</v>
      </c>
      <c r="CE114" s="59">
        <f t="shared" si="94"/>
        <v>0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0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>
        <f>CT114*VLOOKUP('Données projet'!$B$13,Paramètres!$A$1:$I$89,3,0)*VLOOKUP('Données projet'!$B$13,Paramètres!$A$1:$I$89,5,0)</f>
        <v>0</v>
      </c>
      <c r="CV114" s="13" t="e">
        <f t="shared" si="95"/>
        <v>#NUM!</v>
      </c>
      <c r="CW114" s="20" t="e">
        <f t="shared" si="67"/>
        <v>#NUM!</v>
      </c>
      <c r="CX114" s="59" t="e">
        <f t="shared" si="68"/>
        <v>#NUM!</v>
      </c>
      <c r="CY114" s="59">
        <f ca="1">AVERAGE(OFFSET($CX$3,0,0,'Données projet'!$E$13+1,1))-AVERAGE(OFFSET($H$3,0,0,'Données projet'!$E$13+1,1))</f>
        <v>0</v>
      </c>
      <c r="CZ114" s="59">
        <f t="shared" si="96"/>
        <v>0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</v>
      </c>
      <c r="DG114" s="21">
        <f>EXP(-LN(2)/25)*DG113+(1-EXP(-LN(2)/25))/(LN(2)/25)*Calculateur!DB114*Calculateur!DD114*VLOOKUP('Données projet'!$B$13,Paramètres!$A$1:$I$89,3,0)*0.475*44/12</f>
        <v>0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0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>
        <f>DO114*VLOOKUP('Données projet'!$B$14,Paramètres!$A$1:$I$89,3,0)*VLOOKUP('Données projet'!$B$14,Paramètres!$A$1:$I$89,5,0)</f>
        <v>0</v>
      </c>
      <c r="DQ114" s="13" t="e">
        <f t="shared" si="97"/>
        <v>#NUM!</v>
      </c>
      <c r="DR114" s="20" t="e">
        <f t="shared" si="70"/>
        <v>#NUM!</v>
      </c>
      <c r="DS114" s="59" t="e">
        <f t="shared" si="71"/>
        <v>#NUM!</v>
      </c>
      <c r="DT114" s="59">
        <f ca="1">AVERAGE(OFFSET($DS$3,0,0,'Données projet'!$E$14+1,1))-AVERAGE(OFFSET($H$3,0,0,'Données projet'!$E$14+1,1))</f>
        <v>0</v>
      </c>
      <c r="DU114" s="59">
        <f t="shared" si="98"/>
        <v>0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</v>
      </c>
      <c r="EB114" s="21">
        <f>EXP(-LN(2)/25)*EB113+(1-EXP(-LN(2)/25))/(LN(2)/25)*Calculateur!DW114*Calculateur!DY114*VLOOKUP('Données projet'!$B$14,Paramètres!$A$1:$I$89,3,0)*0.475*44/12</f>
        <v>0</v>
      </c>
      <c r="EC114" s="21">
        <f>EXP(-LN(2)/2)*EC113+(1-EXP(-LN(2)/2))/(LN(2)/2)*DW114*DZ114*VLOOKUP('Données projet'!$B$14,Paramètres!$A$1:$I$89,3,0)*0.475*44/12</f>
        <v>0</v>
      </c>
      <c r="ED114" s="22">
        <f t="shared" si="72"/>
        <v>0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>
        <f>EJ114*VLOOKUP('Données projet'!$B$15,Paramètres!$A$1:$I$89,3,0)*VLOOKUP('Données projet'!$B$15,Paramètres!$A$1:$I$89,5,0)</f>
        <v>0</v>
      </c>
      <c r="EL114" s="13" t="e">
        <f t="shared" si="99"/>
        <v>#NUM!</v>
      </c>
      <c r="EM114" s="20" t="e">
        <f t="shared" si="73"/>
        <v>#NUM!</v>
      </c>
      <c r="EN114" s="59" t="e">
        <f t="shared" si="74"/>
        <v>#NUM!</v>
      </c>
      <c r="EO114" s="59">
        <f ca="1">AVERAGE(OFFSET($EN$3,0,0,'Données projet'!$E$15+1,1))-AVERAGE(OFFSET($H$3,0,0,'Données projet'!$E$15+1,1))</f>
        <v>0</v>
      </c>
      <c r="EP114" s="59">
        <f t="shared" si="100"/>
        <v>0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>
        <f>EXP(-LN(2)/35)*EV113+(1-EXP(-LN(2)/35))/(LN(2)/35)*ER114*ES114*VLOOKUP('Données projet'!$B$15,Paramètres!$A$1:$I$89,3,0)*0.475*44/12</f>
        <v>0</v>
      </c>
      <c r="EW114" s="21">
        <f>EXP(-LN(2)/25)*EW113+(1-EXP(-LN(2)/25))/(LN(2)/25)*Calculateur!ER114*Calculateur!ET114*VLOOKUP('Données projet'!$B$15,Paramètres!$A$1:$I$89,3,0)*0.475*44/12</f>
        <v>0</v>
      </c>
      <c r="EX114" s="21">
        <f>EXP(-LN(2)/2)*EX113+(1-EXP(-LN(2)/2))/(LN(2)/2)*ER114*EU114*VLOOKUP('Données projet'!$B$15,Paramètres!$A$1:$I$89,3,0)*0.475*44/12</f>
        <v>0</v>
      </c>
      <c r="EY114" s="22">
        <f t="shared" si="75"/>
        <v>0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>
        <f>FE114*VLOOKUP('Données projet'!$B$16,Paramètres!$A$1:$I$89,3,0)*VLOOKUP('Données projet'!$B$16,Paramètres!$A$1:$I$89,5,0)</f>
        <v>0</v>
      </c>
      <c r="FG114" s="13" t="e">
        <f t="shared" si="101"/>
        <v>#NUM!</v>
      </c>
      <c r="FH114" s="20" t="e">
        <f t="shared" si="76"/>
        <v>#NUM!</v>
      </c>
      <c r="FI114" s="59" t="e">
        <f t="shared" si="77"/>
        <v>#NUM!</v>
      </c>
      <c r="FJ114" s="59">
        <f ca="1">AVERAGE(OFFSET($FI$3,0,0,'Données projet'!$E$16+1,1))-AVERAGE(OFFSET($H$3,0,0,'Données projet'!$E$16+1,1))</f>
        <v>0</v>
      </c>
      <c r="FK114" s="59">
        <f t="shared" si="102"/>
        <v>0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>
        <f>EXP(-LN(2)/35)*FQ113+(1-EXP(-LN(2)/35))/(LN(2)/35)*FM114*FN114*VLOOKUP('Données projet'!$B$16,Paramètres!$A$1:$I$89,3,0)*0.475*44/12</f>
        <v>0</v>
      </c>
      <c r="FR114" s="21">
        <f>EXP(-LN(2)/25)*FR113+(1-EXP(-LN(2)/25))/(LN(2)/25)*Calculateur!FM114*Calculateur!FO114*VLOOKUP('Données projet'!$B$16,Paramètres!$A$1:$I$89,3,0)*0.475*44/12</f>
        <v>0</v>
      </c>
      <c r="FS114" s="21">
        <f>EXP(-LN(2)/2)*FS113+(1-EXP(-LN(2)/2))/(LN(2)/2)*FM114*FP114*VLOOKUP('Données projet'!$B$16,Paramètres!$A$1:$I$89,3,0)*0.475*44/12</f>
        <v>0</v>
      </c>
      <c r="FT114" s="22">
        <f t="shared" si="78"/>
        <v>0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56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186.90544184210381</v>
      </c>
      <c r="T115" s="59">
        <f t="shared" si="88"/>
        <v>202.05988514450519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42.488836307584783</v>
      </c>
      <c r="AA115" s="21">
        <f>EXP(-LN(2)/25)*AA114+(1-EXP(-LN(2)/25))/(LN(2)/25)*Calculateur!V115*Calculateur!X115*VLOOKUP('Données projet'!$B$9,Paramètres!$A$1:$I$89,3,0)*0.475*44/12</f>
        <v>5.1678038615195998</v>
      </c>
      <c r="AB115" s="21">
        <f>EXP(-LN(2)/2)*AB114+(1-EXP(-LN(2)/2))/(LN(2)/2)*V115*Y115*VLOOKUP('Données projet'!$B$9,Paramètres!$A$1:$I$89,3,0)*0.475*44/12</f>
        <v>6.4110432222647279E-7</v>
      </c>
      <c r="AC115" s="22">
        <f t="shared" si="57"/>
        <v>47.656640810208707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>
        <f>AI115*VLOOKUP('Données projet'!$B$10,Paramètres!$A$1:$I$89,3,0)*VLOOKUP('Données projet'!$B$10,Paramètres!$A$1:$I$89,5,0)</f>
        <v>0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186.90544184210381</v>
      </c>
      <c r="AO115" s="59">
        <f t="shared" si="90"/>
        <v>202.05988514450519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42.488836307584783</v>
      </c>
      <c r="AV115" s="21">
        <f>EXP(-LN(2)/25)*AV114+(1-EXP(-LN(2)/25))/(LN(2)/25)*Calculateur!AQ115*Calculateur!AS115*VLOOKUP('Données projet'!$B$10,Paramètres!$A$1:$I$89,3,0)*0.475*44/12</f>
        <v>5.1678038615195998</v>
      </c>
      <c r="AW115" s="21">
        <f>EXP(-LN(2)/2)*AW114+(1-EXP(-LN(2)/2))/(LN(2)/2)*AQ115*AT115*VLOOKUP('Données projet'!$B$10,Paramètres!$A$1:$I$89,3,0)*0.475*44/12</f>
        <v>6.4110432222647279E-7</v>
      </c>
      <c r="AX115" s="21">
        <f t="shared" si="60"/>
        <v>47.656640810208707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-2.8421709430404007E-14</v>
      </c>
      <c r="BE115" s="13">
        <f>BD115*VLOOKUP('Données projet'!$B$11,Paramètres!$A$1:$I$89,3,0)*VLOOKUP('Données projet'!$B$11,Paramètres!$A$1:$I$89,5,0)</f>
        <v>-2.3055690689943732E-14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5.8584049049231908</v>
      </c>
      <c r="BJ115" s="59">
        <f t="shared" si="92"/>
        <v>42.266833200216638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1.5078199838037233E-10</v>
      </c>
      <c r="BS115" s="22">
        <f t="shared" si="63"/>
        <v>1.5078199838037233E-10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>
        <f>BY115*VLOOKUP('Données projet'!$B$12,Paramètres!$A$1:$I$89,3,0)*VLOOKUP('Données projet'!$B$12,Paramètres!$A$1:$I$89,5,0)</f>
        <v>0</v>
      </c>
      <c r="CA115" s="13" t="e">
        <f t="shared" si="93"/>
        <v>#NUM!</v>
      </c>
      <c r="CB115" s="20" t="e">
        <f t="shared" si="64"/>
        <v>#NUM!</v>
      </c>
      <c r="CC115" s="59" t="e">
        <f t="shared" si="65"/>
        <v>#NUM!</v>
      </c>
      <c r="CD115" s="59">
        <f ca="1">AVERAGE(OFFSET($CC$3,0,0,'Données projet'!$E$12+1,1))-AVERAGE(OFFSET($H$3,0,0,'Données projet'!$E$12+1,1))</f>
        <v>0</v>
      </c>
      <c r="CE115" s="59">
        <f t="shared" si="94"/>
        <v>0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0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>
        <f>CT115*VLOOKUP('Données projet'!$B$13,Paramètres!$A$1:$I$89,3,0)*VLOOKUP('Données projet'!$B$13,Paramètres!$A$1:$I$89,5,0)</f>
        <v>0</v>
      </c>
      <c r="CV115" s="13" t="e">
        <f t="shared" si="95"/>
        <v>#NUM!</v>
      </c>
      <c r="CW115" s="20" t="e">
        <f t="shared" si="67"/>
        <v>#NUM!</v>
      </c>
      <c r="CX115" s="59" t="e">
        <f t="shared" si="68"/>
        <v>#NUM!</v>
      </c>
      <c r="CY115" s="59">
        <f ca="1">AVERAGE(OFFSET($CX$3,0,0,'Données projet'!$E$13+1,1))-AVERAGE(OFFSET($H$3,0,0,'Données projet'!$E$13+1,1))</f>
        <v>0</v>
      </c>
      <c r="CZ115" s="59">
        <f t="shared" si="96"/>
        <v>0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</v>
      </c>
      <c r="DG115" s="21">
        <f>EXP(-LN(2)/25)*DG114+(1-EXP(-LN(2)/25))/(LN(2)/25)*Calculateur!DB115*Calculateur!DD115*VLOOKUP('Données projet'!$B$13,Paramètres!$A$1:$I$89,3,0)*0.475*44/12</f>
        <v>0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0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>
        <f>DO115*VLOOKUP('Données projet'!$B$14,Paramètres!$A$1:$I$89,3,0)*VLOOKUP('Données projet'!$B$14,Paramètres!$A$1:$I$89,5,0)</f>
        <v>0</v>
      </c>
      <c r="DQ115" s="13" t="e">
        <f t="shared" si="97"/>
        <v>#NUM!</v>
      </c>
      <c r="DR115" s="20" t="e">
        <f t="shared" si="70"/>
        <v>#NUM!</v>
      </c>
      <c r="DS115" s="59" t="e">
        <f t="shared" si="71"/>
        <v>#NUM!</v>
      </c>
      <c r="DT115" s="59">
        <f ca="1">AVERAGE(OFFSET($DS$3,0,0,'Données projet'!$E$14+1,1))-AVERAGE(OFFSET($H$3,0,0,'Données projet'!$E$14+1,1))</f>
        <v>0</v>
      </c>
      <c r="DU115" s="59">
        <f t="shared" si="98"/>
        <v>0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</v>
      </c>
      <c r="EB115" s="21">
        <f>EXP(-LN(2)/25)*EB114+(1-EXP(-LN(2)/25))/(LN(2)/25)*Calculateur!DW115*Calculateur!DY115*VLOOKUP('Données projet'!$B$14,Paramètres!$A$1:$I$89,3,0)*0.475*44/12</f>
        <v>0</v>
      </c>
      <c r="EC115" s="21">
        <f>EXP(-LN(2)/2)*EC114+(1-EXP(-LN(2)/2))/(LN(2)/2)*DW115*DZ115*VLOOKUP('Données projet'!$B$14,Paramètres!$A$1:$I$89,3,0)*0.475*44/12</f>
        <v>0</v>
      </c>
      <c r="ED115" s="22">
        <f t="shared" si="72"/>
        <v>0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>
        <f>EJ115*VLOOKUP('Données projet'!$B$15,Paramètres!$A$1:$I$89,3,0)*VLOOKUP('Données projet'!$B$15,Paramètres!$A$1:$I$89,5,0)</f>
        <v>0</v>
      </c>
      <c r="EL115" s="13" t="e">
        <f t="shared" si="99"/>
        <v>#NUM!</v>
      </c>
      <c r="EM115" s="20" t="e">
        <f t="shared" si="73"/>
        <v>#NUM!</v>
      </c>
      <c r="EN115" s="59" t="e">
        <f t="shared" si="74"/>
        <v>#NUM!</v>
      </c>
      <c r="EO115" s="59">
        <f ca="1">AVERAGE(OFFSET($EN$3,0,0,'Données projet'!$E$15+1,1))-AVERAGE(OFFSET($H$3,0,0,'Données projet'!$E$15+1,1))</f>
        <v>0</v>
      </c>
      <c r="EP115" s="59">
        <f t="shared" si="100"/>
        <v>0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>
        <f>EXP(-LN(2)/35)*EV114+(1-EXP(-LN(2)/35))/(LN(2)/35)*ER115*ES115*VLOOKUP('Données projet'!$B$15,Paramètres!$A$1:$I$89,3,0)*0.475*44/12</f>
        <v>0</v>
      </c>
      <c r="EW115" s="21">
        <f>EXP(-LN(2)/25)*EW114+(1-EXP(-LN(2)/25))/(LN(2)/25)*Calculateur!ER115*Calculateur!ET115*VLOOKUP('Données projet'!$B$15,Paramètres!$A$1:$I$89,3,0)*0.475*44/12</f>
        <v>0</v>
      </c>
      <c r="EX115" s="21">
        <f>EXP(-LN(2)/2)*EX114+(1-EXP(-LN(2)/2))/(LN(2)/2)*ER115*EU115*VLOOKUP('Données projet'!$B$15,Paramètres!$A$1:$I$89,3,0)*0.475*44/12</f>
        <v>0</v>
      </c>
      <c r="EY115" s="22">
        <f t="shared" si="75"/>
        <v>0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>
        <f>FE115*VLOOKUP('Données projet'!$B$16,Paramètres!$A$1:$I$89,3,0)*VLOOKUP('Données projet'!$B$16,Paramètres!$A$1:$I$89,5,0)</f>
        <v>0</v>
      </c>
      <c r="FG115" s="13" t="e">
        <f t="shared" si="101"/>
        <v>#NUM!</v>
      </c>
      <c r="FH115" s="20" t="e">
        <f t="shared" si="76"/>
        <v>#NUM!</v>
      </c>
      <c r="FI115" s="59" t="e">
        <f t="shared" si="77"/>
        <v>#NUM!</v>
      </c>
      <c r="FJ115" s="59">
        <f ca="1">AVERAGE(OFFSET($FI$3,0,0,'Données projet'!$E$16+1,1))-AVERAGE(OFFSET($H$3,0,0,'Données projet'!$E$16+1,1))</f>
        <v>0</v>
      </c>
      <c r="FK115" s="59">
        <f t="shared" si="102"/>
        <v>0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>
        <f>EXP(-LN(2)/35)*FQ114+(1-EXP(-LN(2)/35))/(LN(2)/35)*FM115*FN115*VLOOKUP('Données projet'!$B$16,Paramètres!$A$1:$I$89,3,0)*0.475*44/12</f>
        <v>0</v>
      </c>
      <c r="FR115" s="21">
        <f>EXP(-LN(2)/25)*FR114+(1-EXP(-LN(2)/25))/(LN(2)/25)*Calculateur!FM115*Calculateur!FO115*VLOOKUP('Données projet'!$B$16,Paramètres!$A$1:$I$89,3,0)*0.475*44/12</f>
        <v>0</v>
      </c>
      <c r="FS115" s="21">
        <f>EXP(-LN(2)/2)*FS114+(1-EXP(-LN(2)/2))/(LN(2)/2)*FM115*FP115*VLOOKUP('Données projet'!$B$16,Paramètres!$A$1:$I$89,3,0)*0.475*44/12</f>
        <v>0</v>
      </c>
      <c r="FT115" s="22">
        <f t="shared" si="78"/>
        <v>0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56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186.90544184210381</v>
      </c>
      <c r="T116" s="59">
        <f t="shared" si="88"/>
        <v>202.05988514450519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41.655656143224235</v>
      </c>
      <c r="AA116" s="21">
        <f>EXP(-LN(2)/25)*AA115+(1-EXP(-LN(2)/25))/(LN(2)/25)*Calculateur!V116*Calculateur!X116*VLOOKUP('Données projet'!$B$9,Paramètres!$A$1:$I$89,3,0)*0.475*44/12</f>
        <v>5.0264899931633522</v>
      </c>
      <c r="AB116" s="21">
        <f>EXP(-LN(2)/2)*AB115+(1-EXP(-LN(2)/2))/(LN(2)/2)*V116*Y116*VLOOKUP('Données projet'!$B$9,Paramètres!$A$1:$I$89,3,0)*0.475*44/12</f>
        <v>4.5332921369434435E-7</v>
      </c>
      <c r="AC116" s="22">
        <f t="shared" si="57"/>
        <v>46.682146589716801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>
        <f>AI116*VLOOKUP('Données projet'!$B$10,Paramètres!$A$1:$I$89,3,0)*VLOOKUP('Données projet'!$B$10,Paramètres!$A$1:$I$89,5,0)</f>
        <v>0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186.90544184210381</v>
      </c>
      <c r="AO116" s="59">
        <f t="shared" si="90"/>
        <v>202.05988514450519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41.655656143224235</v>
      </c>
      <c r="AV116" s="21">
        <f>EXP(-LN(2)/25)*AV115+(1-EXP(-LN(2)/25))/(LN(2)/25)*Calculateur!AQ116*Calculateur!AS116*VLOOKUP('Données projet'!$B$10,Paramètres!$A$1:$I$89,3,0)*0.475*44/12</f>
        <v>5.0264899931633522</v>
      </c>
      <c r="AW116" s="21">
        <f>EXP(-LN(2)/2)*AW115+(1-EXP(-LN(2)/2))/(LN(2)/2)*AQ116*AT116*VLOOKUP('Données projet'!$B$10,Paramètres!$A$1:$I$89,3,0)*0.475*44/12</f>
        <v>4.5332921369434435E-7</v>
      </c>
      <c r="AX116" s="21">
        <f t="shared" si="60"/>
        <v>46.682146589716801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-2.8421709430404007E-14</v>
      </c>
      <c r="BE116" s="13">
        <f>BD116*VLOOKUP('Données projet'!$B$11,Paramètres!$A$1:$I$89,3,0)*VLOOKUP('Données projet'!$B$11,Paramètres!$A$1:$I$89,5,0)</f>
        <v>-2.3055690689943732E-14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5.8584049049231908</v>
      </c>
      <c r="BJ116" s="59">
        <f t="shared" si="92"/>
        <v>42.266833200216638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1.066189735356203E-10</v>
      </c>
      <c r="BS116" s="22">
        <f t="shared" si="63"/>
        <v>1.066189735356203E-10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>
        <f>BY116*VLOOKUP('Données projet'!$B$12,Paramètres!$A$1:$I$89,3,0)*VLOOKUP('Données projet'!$B$12,Paramètres!$A$1:$I$89,5,0)</f>
        <v>0</v>
      </c>
      <c r="CA116" s="13" t="e">
        <f t="shared" si="93"/>
        <v>#NUM!</v>
      </c>
      <c r="CB116" s="20" t="e">
        <f t="shared" si="64"/>
        <v>#NUM!</v>
      </c>
      <c r="CC116" s="59" t="e">
        <f t="shared" si="65"/>
        <v>#NUM!</v>
      </c>
      <c r="CD116" s="59">
        <f ca="1">AVERAGE(OFFSET($CC$3,0,0,'Données projet'!$E$12+1,1))-AVERAGE(OFFSET($H$3,0,0,'Données projet'!$E$12+1,1))</f>
        <v>0</v>
      </c>
      <c r="CE116" s="59">
        <f t="shared" si="94"/>
        <v>0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0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>
        <f>CT116*VLOOKUP('Données projet'!$B$13,Paramètres!$A$1:$I$89,3,0)*VLOOKUP('Données projet'!$B$13,Paramètres!$A$1:$I$89,5,0)</f>
        <v>0</v>
      </c>
      <c r="CV116" s="13" t="e">
        <f t="shared" si="95"/>
        <v>#NUM!</v>
      </c>
      <c r="CW116" s="20" t="e">
        <f t="shared" si="67"/>
        <v>#NUM!</v>
      </c>
      <c r="CX116" s="59" t="e">
        <f t="shared" si="68"/>
        <v>#NUM!</v>
      </c>
      <c r="CY116" s="59">
        <f ca="1">AVERAGE(OFFSET($CX$3,0,0,'Données projet'!$E$13+1,1))-AVERAGE(OFFSET($H$3,0,0,'Données projet'!$E$13+1,1))</f>
        <v>0</v>
      </c>
      <c r="CZ116" s="59">
        <f t="shared" si="96"/>
        <v>0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</v>
      </c>
      <c r="DG116" s="21">
        <f>EXP(-LN(2)/25)*DG115+(1-EXP(-LN(2)/25))/(LN(2)/25)*Calculateur!DB116*Calculateur!DD116*VLOOKUP('Données projet'!$B$13,Paramètres!$A$1:$I$89,3,0)*0.475*44/12</f>
        <v>0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0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>
        <f>DO116*VLOOKUP('Données projet'!$B$14,Paramètres!$A$1:$I$89,3,0)*VLOOKUP('Données projet'!$B$14,Paramètres!$A$1:$I$89,5,0)</f>
        <v>0</v>
      </c>
      <c r="DQ116" s="13" t="e">
        <f t="shared" si="97"/>
        <v>#NUM!</v>
      </c>
      <c r="DR116" s="20" t="e">
        <f t="shared" si="70"/>
        <v>#NUM!</v>
      </c>
      <c r="DS116" s="59" t="e">
        <f t="shared" si="71"/>
        <v>#NUM!</v>
      </c>
      <c r="DT116" s="59">
        <f ca="1">AVERAGE(OFFSET($DS$3,0,0,'Données projet'!$E$14+1,1))-AVERAGE(OFFSET($H$3,0,0,'Données projet'!$E$14+1,1))</f>
        <v>0</v>
      </c>
      <c r="DU116" s="59">
        <f t="shared" si="98"/>
        <v>0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</v>
      </c>
      <c r="EB116" s="21">
        <f>EXP(-LN(2)/25)*EB115+(1-EXP(-LN(2)/25))/(LN(2)/25)*Calculateur!DW116*Calculateur!DY116*VLOOKUP('Données projet'!$B$14,Paramètres!$A$1:$I$89,3,0)*0.475*44/12</f>
        <v>0</v>
      </c>
      <c r="EC116" s="21">
        <f>EXP(-LN(2)/2)*EC115+(1-EXP(-LN(2)/2))/(LN(2)/2)*DW116*DZ116*VLOOKUP('Données projet'!$B$14,Paramètres!$A$1:$I$89,3,0)*0.475*44/12</f>
        <v>0</v>
      </c>
      <c r="ED116" s="22">
        <f t="shared" si="72"/>
        <v>0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>
        <f>EJ116*VLOOKUP('Données projet'!$B$15,Paramètres!$A$1:$I$89,3,0)*VLOOKUP('Données projet'!$B$15,Paramètres!$A$1:$I$89,5,0)</f>
        <v>0</v>
      </c>
      <c r="EL116" s="13" t="e">
        <f t="shared" si="99"/>
        <v>#NUM!</v>
      </c>
      <c r="EM116" s="20" t="e">
        <f t="shared" si="73"/>
        <v>#NUM!</v>
      </c>
      <c r="EN116" s="59" t="e">
        <f t="shared" si="74"/>
        <v>#NUM!</v>
      </c>
      <c r="EO116" s="59">
        <f ca="1">AVERAGE(OFFSET($EN$3,0,0,'Données projet'!$E$15+1,1))-AVERAGE(OFFSET($H$3,0,0,'Données projet'!$E$15+1,1))</f>
        <v>0</v>
      </c>
      <c r="EP116" s="59">
        <f t="shared" si="100"/>
        <v>0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>
        <f>EXP(-LN(2)/35)*EV115+(1-EXP(-LN(2)/35))/(LN(2)/35)*ER116*ES116*VLOOKUP('Données projet'!$B$15,Paramètres!$A$1:$I$89,3,0)*0.475*44/12</f>
        <v>0</v>
      </c>
      <c r="EW116" s="21">
        <f>EXP(-LN(2)/25)*EW115+(1-EXP(-LN(2)/25))/(LN(2)/25)*Calculateur!ER116*Calculateur!ET116*VLOOKUP('Données projet'!$B$15,Paramètres!$A$1:$I$89,3,0)*0.475*44/12</f>
        <v>0</v>
      </c>
      <c r="EX116" s="21">
        <f>EXP(-LN(2)/2)*EX115+(1-EXP(-LN(2)/2))/(LN(2)/2)*ER116*EU116*VLOOKUP('Données projet'!$B$15,Paramètres!$A$1:$I$89,3,0)*0.475*44/12</f>
        <v>0</v>
      </c>
      <c r="EY116" s="22">
        <f t="shared" si="75"/>
        <v>0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>
        <f>FE116*VLOOKUP('Données projet'!$B$16,Paramètres!$A$1:$I$89,3,0)*VLOOKUP('Données projet'!$B$16,Paramètres!$A$1:$I$89,5,0)</f>
        <v>0</v>
      </c>
      <c r="FG116" s="13" t="e">
        <f t="shared" si="101"/>
        <v>#NUM!</v>
      </c>
      <c r="FH116" s="20" t="e">
        <f t="shared" si="76"/>
        <v>#NUM!</v>
      </c>
      <c r="FI116" s="59" t="e">
        <f t="shared" si="77"/>
        <v>#NUM!</v>
      </c>
      <c r="FJ116" s="59">
        <f ca="1">AVERAGE(OFFSET($FI$3,0,0,'Données projet'!$E$16+1,1))-AVERAGE(OFFSET($H$3,0,0,'Données projet'!$E$16+1,1))</f>
        <v>0</v>
      </c>
      <c r="FK116" s="59">
        <f t="shared" si="102"/>
        <v>0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>
        <f>EXP(-LN(2)/35)*FQ115+(1-EXP(-LN(2)/35))/(LN(2)/35)*FM116*FN116*VLOOKUP('Données projet'!$B$16,Paramètres!$A$1:$I$89,3,0)*0.475*44/12</f>
        <v>0</v>
      </c>
      <c r="FR116" s="21">
        <f>EXP(-LN(2)/25)*FR115+(1-EXP(-LN(2)/25))/(LN(2)/25)*Calculateur!FM116*Calculateur!FO116*VLOOKUP('Données projet'!$B$16,Paramètres!$A$1:$I$89,3,0)*0.475*44/12</f>
        <v>0</v>
      </c>
      <c r="FS116" s="21">
        <f>EXP(-LN(2)/2)*FS115+(1-EXP(-LN(2)/2))/(LN(2)/2)*FM116*FP116*VLOOKUP('Données projet'!$B$16,Paramètres!$A$1:$I$89,3,0)*0.475*44/12</f>
        <v>0</v>
      </c>
      <c r="FT116" s="22">
        <f t="shared" si="78"/>
        <v>0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56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186.90544184210381</v>
      </c>
      <c r="T117" s="59">
        <f t="shared" si="88"/>
        <v>202.05988514450519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40.838814133697078</v>
      </c>
      <c r="AA117" s="21">
        <f>EXP(-LN(2)/25)*AA116+(1-EXP(-LN(2)/25))/(LN(2)/25)*Calculateur!V117*Calculateur!X117*VLOOKUP('Données projet'!$B$9,Paramètres!$A$1:$I$89,3,0)*0.475*44/12</f>
        <v>4.8890403599686794</v>
      </c>
      <c r="AB117" s="21">
        <f>EXP(-LN(2)/2)*AB116+(1-EXP(-LN(2)/2))/(LN(2)/2)*V117*Y117*VLOOKUP('Données projet'!$B$9,Paramètres!$A$1:$I$89,3,0)*0.475*44/12</f>
        <v>3.2055216111323639E-7</v>
      </c>
      <c r="AC117" s="22">
        <f t="shared" si="57"/>
        <v>45.72785481421792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>
        <f>AI117*VLOOKUP('Données projet'!$B$10,Paramètres!$A$1:$I$89,3,0)*VLOOKUP('Données projet'!$B$10,Paramètres!$A$1:$I$89,5,0)</f>
        <v>0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186.90544184210381</v>
      </c>
      <c r="AO117" s="59">
        <f t="shared" si="90"/>
        <v>202.05988514450519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40.838814133697078</v>
      </c>
      <c r="AV117" s="21">
        <f>EXP(-LN(2)/25)*AV116+(1-EXP(-LN(2)/25))/(LN(2)/25)*Calculateur!AQ117*Calculateur!AS117*VLOOKUP('Données projet'!$B$10,Paramètres!$A$1:$I$89,3,0)*0.475*44/12</f>
        <v>4.8890403599686794</v>
      </c>
      <c r="AW117" s="21">
        <f>EXP(-LN(2)/2)*AW116+(1-EXP(-LN(2)/2))/(LN(2)/2)*AQ117*AT117*VLOOKUP('Données projet'!$B$10,Paramètres!$A$1:$I$89,3,0)*0.475*44/12</f>
        <v>3.2055216111323639E-7</v>
      </c>
      <c r="AX117" s="21">
        <f t="shared" si="60"/>
        <v>45.72785481421792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-2.8421709430404007E-14</v>
      </c>
      <c r="BE117" s="13">
        <f>BD117*VLOOKUP('Données projet'!$B$11,Paramètres!$A$1:$I$89,3,0)*VLOOKUP('Données projet'!$B$11,Paramètres!$A$1:$I$89,5,0)</f>
        <v>-2.3055690689943732E-14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5.8584049049231908</v>
      </c>
      <c r="BJ117" s="59">
        <f t="shared" si="92"/>
        <v>42.266833200216638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7.5390999190186167E-11</v>
      </c>
      <c r="BS117" s="22">
        <f t="shared" si="63"/>
        <v>7.5390999190186167E-11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>
        <f>BY117*VLOOKUP('Données projet'!$B$12,Paramètres!$A$1:$I$89,3,0)*VLOOKUP('Données projet'!$B$12,Paramètres!$A$1:$I$89,5,0)</f>
        <v>0</v>
      </c>
      <c r="CA117" s="13" t="e">
        <f t="shared" si="93"/>
        <v>#NUM!</v>
      </c>
      <c r="CB117" s="20" t="e">
        <f t="shared" si="64"/>
        <v>#NUM!</v>
      </c>
      <c r="CC117" s="59" t="e">
        <f t="shared" si="65"/>
        <v>#NUM!</v>
      </c>
      <c r="CD117" s="59">
        <f ca="1">AVERAGE(OFFSET($CC$3,0,0,'Données projet'!$E$12+1,1))-AVERAGE(OFFSET($H$3,0,0,'Données projet'!$E$12+1,1))</f>
        <v>0</v>
      </c>
      <c r="CE117" s="59">
        <f t="shared" si="94"/>
        <v>0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0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>
        <f>CT117*VLOOKUP('Données projet'!$B$13,Paramètres!$A$1:$I$89,3,0)*VLOOKUP('Données projet'!$B$13,Paramètres!$A$1:$I$89,5,0)</f>
        <v>0</v>
      </c>
      <c r="CV117" s="13" t="e">
        <f t="shared" si="95"/>
        <v>#NUM!</v>
      </c>
      <c r="CW117" s="20" t="e">
        <f t="shared" si="67"/>
        <v>#NUM!</v>
      </c>
      <c r="CX117" s="59" t="e">
        <f t="shared" si="68"/>
        <v>#NUM!</v>
      </c>
      <c r="CY117" s="59">
        <f ca="1">AVERAGE(OFFSET($CX$3,0,0,'Données projet'!$E$13+1,1))-AVERAGE(OFFSET($H$3,0,0,'Données projet'!$E$13+1,1))</f>
        <v>0</v>
      </c>
      <c r="CZ117" s="59">
        <f t="shared" si="96"/>
        <v>0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</v>
      </c>
      <c r="DG117" s="21">
        <f>EXP(-LN(2)/25)*DG116+(1-EXP(-LN(2)/25))/(LN(2)/25)*Calculateur!DB117*Calculateur!DD117*VLOOKUP('Données projet'!$B$13,Paramètres!$A$1:$I$89,3,0)*0.475*44/12</f>
        <v>0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0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>
        <f>DO117*VLOOKUP('Données projet'!$B$14,Paramètres!$A$1:$I$89,3,0)*VLOOKUP('Données projet'!$B$14,Paramètres!$A$1:$I$89,5,0)</f>
        <v>0</v>
      </c>
      <c r="DQ117" s="13" t="e">
        <f t="shared" si="97"/>
        <v>#NUM!</v>
      </c>
      <c r="DR117" s="20" t="e">
        <f t="shared" si="70"/>
        <v>#NUM!</v>
      </c>
      <c r="DS117" s="59" t="e">
        <f t="shared" si="71"/>
        <v>#NUM!</v>
      </c>
      <c r="DT117" s="59">
        <f ca="1">AVERAGE(OFFSET($DS$3,0,0,'Données projet'!$E$14+1,1))-AVERAGE(OFFSET($H$3,0,0,'Données projet'!$E$14+1,1))</f>
        <v>0</v>
      </c>
      <c r="DU117" s="59">
        <f t="shared" si="98"/>
        <v>0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</v>
      </c>
      <c r="EB117" s="21">
        <f>EXP(-LN(2)/25)*EB116+(1-EXP(-LN(2)/25))/(LN(2)/25)*Calculateur!DW117*Calculateur!DY117*VLOOKUP('Données projet'!$B$14,Paramètres!$A$1:$I$89,3,0)*0.475*44/12</f>
        <v>0</v>
      </c>
      <c r="EC117" s="21">
        <f>EXP(-LN(2)/2)*EC116+(1-EXP(-LN(2)/2))/(LN(2)/2)*DW117*DZ117*VLOOKUP('Données projet'!$B$14,Paramètres!$A$1:$I$89,3,0)*0.475*44/12</f>
        <v>0</v>
      </c>
      <c r="ED117" s="22">
        <f t="shared" si="72"/>
        <v>0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>
        <f>EJ117*VLOOKUP('Données projet'!$B$15,Paramètres!$A$1:$I$89,3,0)*VLOOKUP('Données projet'!$B$15,Paramètres!$A$1:$I$89,5,0)</f>
        <v>0</v>
      </c>
      <c r="EL117" s="13" t="e">
        <f t="shared" si="99"/>
        <v>#NUM!</v>
      </c>
      <c r="EM117" s="20" t="e">
        <f t="shared" si="73"/>
        <v>#NUM!</v>
      </c>
      <c r="EN117" s="59" t="e">
        <f t="shared" si="74"/>
        <v>#NUM!</v>
      </c>
      <c r="EO117" s="59">
        <f ca="1">AVERAGE(OFFSET($EN$3,0,0,'Données projet'!$E$15+1,1))-AVERAGE(OFFSET($H$3,0,0,'Données projet'!$E$15+1,1))</f>
        <v>0</v>
      </c>
      <c r="EP117" s="59">
        <f t="shared" si="100"/>
        <v>0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>
        <f>EXP(-LN(2)/35)*EV116+(1-EXP(-LN(2)/35))/(LN(2)/35)*ER117*ES117*VLOOKUP('Données projet'!$B$15,Paramètres!$A$1:$I$89,3,0)*0.475*44/12</f>
        <v>0</v>
      </c>
      <c r="EW117" s="21">
        <f>EXP(-LN(2)/25)*EW116+(1-EXP(-LN(2)/25))/(LN(2)/25)*Calculateur!ER117*Calculateur!ET117*VLOOKUP('Données projet'!$B$15,Paramètres!$A$1:$I$89,3,0)*0.475*44/12</f>
        <v>0</v>
      </c>
      <c r="EX117" s="21">
        <f>EXP(-LN(2)/2)*EX116+(1-EXP(-LN(2)/2))/(LN(2)/2)*ER117*EU117*VLOOKUP('Données projet'!$B$15,Paramètres!$A$1:$I$89,3,0)*0.475*44/12</f>
        <v>0</v>
      </c>
      <c r="EY117" s="22">
        <f t="shared" si="75"/>
        <v>0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>
        <f>FE117*VLOOKUP('Données projet'!$B$16,Paramètres!$A$1:$I$89,3,0)*VLOOKUP('Données projet'!$B$16,Paramètres!$A$1:$I$89,5,0)</f>
        <v>0</v>
      </c>
      <c r="FG117" s="13" t="e">
        <f t="shared" si="101"/>
        <v>#NUM!</v>
      </c>
      <c r="FH117" s="20" t="e">
        <f t="shared" si="76"/>
        <v>#NUM!</v>
      </c>
      <c r="FI117" s="59" t="e">
        <f t="shared" si="77"/>
        <v>#NUM!</v>
      </c>
      <c r="FJ117" s="59">
        <f ca="1">AVERAGE(OFFSET($FI$3,0,0,'Données projet'!$E$16+1,1))-AVERAGE(OFFSET($H$3,0,0,'Données projet'!$E$16+1,1))</f>
        <v>0</v>
      </c>
      <c r="FK117" s="59">
        <f t="shared" si="102"/>
        <v>0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>
        <f>EXP(-LN(2)/35)*FQ116+(1-EXP(-LN(2)/35))/(LN(2)/35)*FM117*FN117*VLOOKUP('Données projet'!$B$16,Paramètres!$A$1:$I$89,3,0)*0.475*44/12</f>
        <v>0</v>
      </c>
      <c r="FR117" s="21">
        <f>EXP(-LN(2)/25)*FR116+(1-EXP(-LN(2)/25))/(LN(2)/25)*Calculateur!FM117*Calculateur!FO117*VLOOKUP('Données projet'!$B$16,Paramètres!$A$1:$I$89,3,0)*0.475*44/12</f>
        <v>0</v>
      </c>
      <c r="FS117" s="21">
        <f>EXP(-LN(2)/2)*FS116+(1-EXP(-LN(2)/2))/(LN(2)/2)*FM117*FP117*VLOOKUP('Données projet'!$B$16,Paramètres!$A$1:$I$89,3,0)*0.475*44/12</f>
        <v>0</v>
      </c>
      <c r="FT117" s="22">
        <f t="shared" si="78"/>
        <v>0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56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186.90544184210381</v>
      </c>
      <c r="T118" s="59">
        <f t="shared" si="88"/>
        <v>202.05988514450519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40.037989897752318</v>
      </c>
      <c r="AA118" s="21">
        <f>EXP(-LN(2)/25)*AA117+(1-EXP(-LN(2)/25))/(LN(2)/25)*Calculateur!V118*Calculateur!X118*VLOOKUP('Données projet'!$B$9,Paramètres!$A$1:$I$89,3,0)*0.475*44/12</f>
        <v>4.7553492942218769</v>
      </c>
      <c r="AB118" s="21">
        <f>EXP(-LN(2)/2)*AB117+(1-EXP(-LN(2)/2))/(LN(2)/2)*V118*Y118*VLOOKUP('Données projet'!$B$9,Paramètres!$A$1:$I$89,3,0)*0.475*44/12</f>
        <v>2.2666460684717218E-7</v>
      </c>
      <c r="AC118" s="22">
        <f t="shared" si="57"/>
        <v>44.793339418638801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>
        <f>AI118*VLOOKUP('Données projet'!$B$10,Paramètres!$A$1:$I$89,3,0)*VLOOKUP('Données projet'!$B$10,Paramètres!$A$1:$I$89,5,0)</f>
        <v>0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186.90544184210381</v>
      </c>
      <c r="AO118" s="59">
        <f t="shared" si="90"/>
        <v>202.05988514450519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40.037989897752318</v>
      </c>
      <c r="AV118" s="21">
        <f>EXP(-LN(2)/25)*AV117+(1-EXP(-LN(2)/25))/(LN(2)/25)*Calculateur!AQ118*Calculateur!AS118*VLOOKUP('Données projet'!$B$10,Paramètres!$A$1:$I$89,3,0)*0.475*44/12</f>
        <v>4.7553492942218769</v>
      </c>
      <c r="AW118" s="21">
        <f>EXP(-LN(2)/2)*AW117+(1-EXP(-LN(2)/2))/(LN(2)/2)*AQ118*AT118*VLOOKUP('Données projet'!$B$10,Paramètres!$A$1:$I$89,3,0)*0.475*44/12</f>
        <v>2.2666460684717218E-7</v>
      </c>
      <c r="AX118" s="21">
        <f t="shared" si="60"/>
        <v>44.793339418638801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-2.8421709430404007E-14</v>
      </c>
      <c r="BE118" s="13">
        <f>BD118*VLOOKUP('Données projet'!$B$11,Paramètres!$A$1:$I$89,3,0)*VLOOKUP('Données projet'!$B$11,Paramètres!$A$1:$I$89,5,0)</f>
        <v>-2.3055690689943732E-14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5.8584049049231908</v>
      </c>
      <c r="BJ118" s="59">
        <f t="shared" si="92"/>
        <v>42.266833200216638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5.3309486767810152E-11</v>
      </c>
      <c r="BS118" s="22">
        <f t="shared" si="63"/>
        <v>5.3309486767810152E-11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>
        <f>BY118*VLOOKUP('Données projet'!$B$12,Paramètres!$A$1:$I$89,3,0)*VLOOKUP('Données projet'!$B$12,Paramètres!$A$1:$I$89,5,0)</f>
        <v>0</v>
      </c>
      <c r="CA118" s="13" t="e">
        <f t="shared" si="93"/>
        <v>#NUM!</v>
      </c>
      <c r="CB118" s="20" t="e">
        <f t="shared" si="64"/>
        <v>#NUM!</v>
      </c>
      <c r="CC118" s="59" t="e">
        <f t="shared" si="65"/>
        <v>#NUM!</v>
      </c>
      <c r="CD118" s="59">
        <f ca="1">AVERAGE(OFFSET($CC$3,0,0,'Données projet'!$E$12+1,1))-AVERAGE(OFFSET($H$3,0,0,'Données projet'!$E$12+1,1))</f>
        <v>0</v>
      </c>
      <c r="CE118" s="59">
        <f t="shared" si="94"/>
        <v>0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0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>
        <f>CT118*VLOOKUP('Données projet'!$B$13,Paramètres!$A$1:$I$89,3,0)*VLOOKUP('Données projet'!$B$13,Paramètres!$A$1:$I$89,5,0)</f>
        <v>0</v>
      </c>
      <c r="CV118" s="13" t="e">
        <f t="shared" si="95"/>
        <v>#NUM!</v>
      </c>
      <c r="CW118" s="20" t="e">
        <f t="shared" si="67"/>
        <v>#NUM!</v>
      </c>
      <c r="CX118" s="59" t="e">
        <f t="shared" si="68"/>
        <v>#NUM!</v>
      </c>
      <c r="CY118" s="59">
        <f ca="1">AVERAGE(OFFSET($CX$3,0,0,'Données projet'!$E$13+1,1))-AVERAGE(OFFSET($H$3,0,0,'Données projet'!$E$13+1,1))</f>
        <v>0</v>
      </c>
      <c r="CZ118" s="59">
        <f t="shared" si="96"/>
        <v>0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</v>
      </c>
      <c r="DG118" s="21">
        <f>EXP(-LN(2)/25)*DG117+(1-EXP(-LN(2)/25))/(LN(2)/25)*Calculateur!DB118*Calculateur!DD118*VLOOKUP('Données projet'!$B$13,Paramètres!$A$1:$I$89,3,0)*0.475*44/12</f>
        <v>0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0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>
        <f>DO118*VLOOKUP('Données projet'!$B$14,Paramètres!$A$1:$I$89,3,0)*VLOOKUP('Données projet'!$B$14,Paramètres!$A$1:$I$89,5,0)</f>
        <v>0</v>
      </c>
      <c r="DQ118" s="13" t="e">
        <f t="shared" si="97"/>
        <v>#NUM!</v>
      </c>
      <c r="DR118" s="20" t="e">
        <f t="shared" si="70"/>
        <v>#NUM!</v>
      </c>
      <c r="DS118" s="59" t="e">
        <f t="shared" si="71"/>
        <v>#NUM!</v>
      </c>
      <c r="DT118" s="59">
        <f ca="1">AVERAGE(OFFSET($DS$3,0,0,'Données projet'!$E$14+1,1))-AVERAGE(OFFSET($H$3,0,0,'Données projet'!$E$14+1,1))</f>
        <v>0</v>
      </c>
      <c r="DU118" s="59">
        <f t="shared" si="98"/>
        <v>0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</v>
      </c>
      <c r="EB118" s="21">
        <f>EXP(-LN(2)/25)*EB117+(1-EXP(-LN(2)/25))/(LN(2)/25)*Calculateur!DW118*Calculateur!DY118*VLOOKUP('Données projet'!$B$14,Paramètres!$A$1:$I$89,3,0)*0.475*44/12</f>
        <v>0</v>
      </c>
      <c r="EC118" s="21">
        <f>EXP(-LN(2)/2)*EC117+(1-EXP(-LN(2)/2))/(LN(2)/2)*DW118*DZ118*VLOOKUP('Données projet'!$B$14,Paramètres!$A$1:$I$89,3,0)*0.475*44/12</f>
        <v>0</v>
      </c>
      <c r="ED118" s="22">
        <f t="shared" si="72"/>
        <v>0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>
        <f>EJ118*VLOOKUP('Données projet'!$B$15,Paramètres!$A$1:$I$89,3,0)*VLOOKUP('Données projet'!$B$15,Paramètres!$A$1:$I$89,5,0)</f>
        <v>0</v>
      </c>
      <c r="EL118" s="13" t="e">
        <f t="shared" si="99"/>
        <v>#NUM!</v>
      </c>
      <c r="EM118" s="20" t="e">
        <f t="shared" si="73"/>
        <v>#NUM!</v>
      </c>
      <c r="EN118" s="59" t="e">
        <f t="shared" si="74"/>
        <v>#NUM!</v>
      </c>
      <c r="EO118" s="59">
        <f ca="1">AVERAGE(OFFSET($EN$3,0,0,'Données projet'!$E$15+1,1))-AVERAGE(OFFSET($H$3,0,0,'Données projet'!$E$15+1,1))</f>
        <v>0</v>
      </c>
      <c r="EP118" s="59">
        <f t="shared" si="100"/>
        <v>0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>
        <f>EXP(-LN(2)/35)*EV117+(1-EXP(-LN(2)/35))/(LN(2)/35)*ER118*ES118*VLOOKUP('Données projet'!$B$15,Paramètres!$A$1:$I$89,3,0)*0.475*44/12</f>
        <v>0</v>
      </c>
      <c r="EW118" s="21">
        <f>EXP(-LN(2)/25)*EW117+(1-EXP(-LN(2)/25))/(LN(2)/25)*Calculateur!ER118*Calculateur!ET118*VLOOKUP('Données projet'!$B$15,Paramètres!$A$1:$I$89,3,0)*0.475*44/12</f>
        <v>0</v>
      </c>
      <c r="EX118" s="21">
        <f>EXP(-LN(2)/2)*EX117+(1-EXP(-LN(2)/2))/(LN(2)/2)*ER118*EU118*VLOOKUP('Données projet'!$B$15,Paramètres!$A$1:$I$89,3,0)*0.475*44/12</f>
        <v>0</v>
      </c>
      <c r="EY118" s="22">
        <f t="shared" si="75"/>
        <v>0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>
        <f>FE118*VLOOKUP('Données projet'!$B$16,Paramètres!$A$1:$I$89,3,0)*VLOOKUP('Données projet'!$B$16,Paramètres!$A$1:$I$89,5,0)</f>
        <v>0</v>
      </c>
      <c r="FG118" s="13" t="e">
        <f t="shared" si="101"/>
        <v>#NUM!</v>
      </c>
      <c r="FH118" s="20" t="e">
        <f t="shared" si="76"/>
        <v>#NUM!</v>
      </c>
      <c r="FI118" s="59" t="e">
        <f t="shared" si="77"/>
        <v>#NUM!</v>
      </c>
      <c r="FJ118" s="59">
        <f ca="1">AVERAGE(OFFSET($FI$3,0,0,'Données projet'!$E$16+1,1))-AVERAGE(OFFSET($H$3,0,0,'Données projet'!$E$16+1,1))</f>
        <v>0</v>
      </c>
      <c r="FK118" s="59">
        <f t="shared" si="102"/>
        <v>0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>
        <f>EXP(-LN(2)/35)*FQ117+(1-EXP(-LN(2)/35))/(LN(2)/35)*FM118*FN118*VLOOKUP('Données projet'!$B$16,Paramètres!$A$1:$I$89,3,0)*0.475*44/12</f>
        <v>0</v>
      </c>
      <c r="FR118" s="21">
        <f>EXP(-LN(2)/25)*FR117+(1-EXP(-LN(2)/25))/(LN(2)/25)*Calculateur!FM118*Calculateur!FO118*VLOOKUP('Données projet'!$B$16,Paramètres!$A$1:$I$89,3,0)*0.475*44/12</f>
        <v>0</v>
      </c>
      <c r="FS118" s="21">
        <f>EXP(-LN(2)/2)*FS117+(1-EXP(-LN(2)/2))/(LN(2)/2)*FM118*FP118*VLOOKUP('Données projet'!$B$16,Paramètres!$A$1:$I$89,3,0)*0.475*44/12</f>
        <v>0</v>
      </c>
      <c r="FT118" s="22">
        <f t="shared" si="78"/>
        <v>0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56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186.90544184210381</v>
      </c>
      <c r="T119" s="59">
        <f t="shared" si="88"/>
        <v>202.05988514450519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39.252869336619881</v>
      </c>
      <c r="AA119" s="21">
        <f>EXP(-LN(2)/25)*AA118+(1-EXP(-LN(2)/25))/(LN(2)/25)*Calculateur!V119*Calculateur!X119*VLOOKUP('Données projet'!$B$9,Paramètres!$A$1:$I$89,3,0)*0.475*44/12</f>
        <v>4.6253140176984289</v>
      </c>
      <c r="AB119" s="21">
        <f>EXP(-LN(2)/2)*AB118+(1-EXP(-LN(2)/2))/(LN(2)/2)*V119*Y119*VLOOKUP('Données projet'!$B$9,Paramètres!$A$1:$I$89,3,0)*0.475*44/12</f>
        <v>1.602760805566182E-7</v>
      </c>
      <c r="AC119" s="22">
        <f t="shared" si="57"/>
        <v>43.87818351459439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>
        <f>AI119*VLOOKUP('Données projet'!$B$10,Paramètres!$A$1:$I$89,3,0)*VLOOKUP('Données projet'!$B$10,Paramètres!$A$1:$I$89,5,0)</f>
        <v>0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186.90544184210381</v>
      </c>
      <c r="AO119" s="59">
        <f t="shared" si="90"/>
        <v>202.05988514450519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39.252869336619881</v>
      </c>
      <c r="AV119" s="21">
        <f>EXP(-LN(2)/25)*AV118+(1-EXP(-LN(2)/25))/(LN(2)/25)*Calculateur!AQ119*Calculateur!AS119*VLOOKUP('Données projet'!$B$10,Paramètres!$A$1:$I$89,3,0)*0.475*44/12</f>
        <v>4.6253140176984289</v>
      </c>
      <c r="AW119" s="21">
        <f>EXP(-LN(2)/2)*AW118+(1-EXP(-LN(2)/2))/(LN(2)/2)*AQ119*AT119*VLOOKUP('Données projet'!$B$10,Paramètres!$A$1:$I$89,3,0)*0.475*44/12</f>
        <v>1.602760805566182E-7</v>
      </c>
      <c r="AX119" s="21">
        <f t="shared" si="60"/>
        <v>43.87818351459439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-2.8421709430404007E-14</v>
      </c>
      <c r="BE119" s="13">
        <f>BD119*VLOOKUP('Données projet'!$B$11,Paramètres!$A$1:$I$89,3,0)*VLOOKUP('Données projet'!$B$11,Paramètres!$A$1:$I$89,5,0)</f>
        <v>-2.3055690689943732E-14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5.8584049049231908</v>
      </c>
      <c r="BJ119" s="59">
        <f t="shared" si="92"/>
        <v>42.266833200216638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3.7695499595093083E-11</v>
      </c>
      <c r="BS119" s="22">
        <f t="shared" si="63"/>
        <v>3.7695499595093083E-11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>
        <f>BY119*VLOOKUP('Données projet'!$B$12,Paramètres!$A$1:$I$89,3,0)*VLOOKUP('Données projet'!$B$12,Paramètres!$A$1:$I$89,5,0)</f>
        <v>0</v>
      </c>
      <c r="CA119" s="13" t="e">
        <f t="shared" si="93"/>
        <v>#NUM!</v>
      </c>
      <c r="CB119" s="20" t="e">
        <f t="shared" si="64"/>
        <v>#NUM!</v>
      </c>
      <c r="CC119" s="59" t="e">
        <f t="shared" si="65"/>
        <v>#NUM!</v>
      </c>
      <c r="CD119" s="59">
        <f ca="1">AVERAGE(OFFSET($CC$3,0,0,'Données projet'!$E$12+1,1))-AVERAGE(OFFSET($H$3,0,0,'Données projet'!$E$12+1,1))</f>
        <v>0</v>
      </c>
      <c r="CE119" s="59">
        <f t="shared" si="94"/>
        <v>0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0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>
        <f>CT119*VLOOKUP('Données projet'!$B$13,Paramètres!$A$1:$I$89,3,0)*VLOOKUP('Données projet'!$B$13,Paramètres!$A$1:$I$89,5,0)</f>
        <v>0</v>
      </c>
      <c r="CV119" s="13" t="e">
        <f t="shared" si="95"/>
        <v>#NUM!</v>
      </c>
      <c r="CW119" s="20" t="e">
        <f t="shared" si="67"/>
        <v>#NUM!</v>
      </c>
      <c r="CX119" s="59" t="e">
        <f t="shared" si="68"/>
        <v>#NUM!</v>
      </c>
      <c r="CY119" s="59">
        <f ca="1">AVERAGE(OFFSET($CX$3,0,0,'Données projet'!$E$13+1,1))-AVERAGE(OFFSET($H$3,0,0,'Données projet'!$E$13+1,1))</f>
        <v>0</v>
      </c>
      <c r="CZ119" s="59">
        <f t="shared" si="96"/>
        <v>0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</v>
      </c>
      <c r="DG119" s="21">
        <f>EXP(-LN(2)/25)*DG118+(1-EXP(-LN(2)/25))/(LN(2)/25)*Calculateur!DB119*Calculateur!DD119*VLOOKUP('Données projet'!$B$13,Paramètres!$A$1:$I$89,3,0)*0.475*44/12</f>
        <v>0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0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>
        <f>DO119*VLOOKUP('Données projet'!$B$14,Paramètres!$A$1:$I$89,3,0)*VLOOKUP('Données projet'!$B$14,Paramètres!$A$1:$I$89,5,0)</f>
        <v>0</v>
      </c>
      <c r="DQ119" s="13" t="e">
        <f t="shared" si="97"/>
        <v>#NUM!</v>
      </c>
      <c r="DR119" s="20" t="e">
        <f t="shared" si="70"/>
        <v>#NUM!</v>
      </c>
      <c r="DS119" s="59" t="e">
        <f t="shared" si="71"/>
        <v>#NUM!</v>
      </c>
      <c r="DT119" s="59">
        <f ca="1">AVERAGE(OFFSET($DS$3,0,0,'Données projet'!$E$14+1,1))-AVERAGE(OFFSET($H$3,0,0,'Données projet'!$E$14+1,1))</f>
        <v>0</v>
      </c>
      <c r="DU119" s="59">
        <f t="shared" si="98"/>
        <v>0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</v>
      </c>
      <c r="EB119" s="21">
        <f>EXP(-LN(2)/25)*EB118+(1-EXP(-LN(2)/25))/(LN(2)/25)*Calculateur!DW119*Calculateur!DY119*VLOOKUP('Données projet'!$B$14,Paramètres!$A$1:$I$89,3,0)*0.475*44/12</f>
        <v>0</v>
      </c>
      <c r="EC119" s="21">
        <f>EXP(-LN(2)/2)*EC118+(1-EXP(-LN(2)/2))/(LN(2)/2)*DW119*DZ119*VLOOKUP('Données projet'!$B$14,Paramètres!$A$1:$I$89,3,0)*0.475*44/12</f>
        <v>0</v>
      </c>
      <c r="ED119" s="22">
        <f t="shared" si="72"/>
        <v>0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>
        <f>EJ119*VLOOKUP('Données projet'!$B$15,Paramètres!$A$1:$I$89,3,0)*VLOOKUP('Données projet'!$B$15,Paramètres!$A$1:$I$89,5,0)</f>
        <v>0</v>
      </c>
      <c r="EL119" s="13" t="e">
        <f t="shared" si="99"/>
        <v>#NUM!</v>
      </c>
      <c r="EM119" s="20" t="e">
        <f t="shared" si="73"/>
        <v>#NUM!</v>
      </c>
      <c r="EN119" s="59" t="e">
        <f t="shared" si="74"/>
        <v>#NUM!</v>
      </c>
      <c r="EO119" s="59">
        <f ca="1">AVERAGE(OFFSET($EN$3,0,0,'Données projet'!$E$15+1,1))-AVERAGE(OFFSET($H$3,0,0,'Données projet'!$E$15+1,1))</f>
        <v>0</v>
      </c>
      <c r="EP119" s="59">
        <f t="shared" si="100"/>
        <v>0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>
        <f>EXP(-LN(2)/35)*EV118+(1-EXP(-LN(2)/35))/(LN(2)/35)*ER119*ES119*VLOOKUP('Données projet'!$B$15,Paramètres!$A$1:$I$89,3,0)*0.475*44/12</f>
        <v>0</v>
      </c>
      <c r="EW119" s="21">
        <f>EXP(-LN(2)/25)*EW118+(1-EXP(-LN(2)/25))/(LN(2)/25)*Calculateur!ER119*Calculateur!ET119*VLOOKUP('Données projet'!$B$15,Paramètres!$A$1:$I$89,3,0)*0.475*44/12</f>
        <v>0</v>
      </c>
      <c r="EX119" s="21">
        <f>EXP(-LN(2)/2)*EX118+(1-EXP(-LN(2)/2))/(LN(2)/2)*ER119*EU119*VLOOKUP('Données projet'!$B$15,Paramètres!$A$1:$I$89,3,0)*0.475*44/12</f>
        <v>0</v>
      </c>
      <c r="EY119" s="22">
        <f t="shared" si="75"/>
        <v>0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>
        <f>FE119*VLOOKUP('Données projet'!$B$16,Paramètres!$A$1:$I$89,3,0)*VLOOKUP('Données projet'!$B$16,Paramètres!$A$1:$I$89,5,0)</f>
        <v>0</v>
      </c>
      <c r="FG119" s="13" t="e">
        <f t="shared" si="101"/>
        <v>#NUM!</v>
      </c>
      <c r="FH119" s="20" t="e">
        <f t="shared" si="76"/>
        <v>#NUM!</v>
      </c>
      <c r="FI119" s="59" t="e">
        <f t="shared" si="77"/>
        <v>#NUM!</v>
      </c>
      <c r="FJ119" s="59">
        <f ca="1">AVERAGE(OFFSET($FI$3,0,0,'Données projet'!$E$16+1,1))-AVERAGE(OFFSET($H$3,0,0,'Données projet'!$E$16+1,1))</f>
        <v>0</v>
      </c>
      <c r="FK119" s="59">
        <f t="shared" si="102"/>
        <v>0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>
        <f>EXP(-LN(2)/35)*FQ118+(1-EXP(-LN(2)/35))/(LN(2)/35)*FM119*FN119*VLOOKUP('Données projet'!$B$16,Paramètres!$A$1:$I$89,3,0)*0.475*44/12</f>
        <v>0</v>
      </c>
      <c r="FR119" s="21">
        <f>EXP(-LN(2)/25)*FR118+(1-EXP(-LN(2)/25))/(LN(2)/25)*Calculateur!FM119*Calculateur!FO119*VLOOKUP('Données projet'!$B$16,Paramètres!$A$1:$I$89,3,0)*0.475*44/12</f>
        <v>0</v>
      </c>
      <c r="FS119" s="21">
        <f>EXP(-LN(2)/2)*FS118+(1-EXP(-LN(2)/2))/(LN(2)/2)*FM119*FP119*VLOOKUP('Données projet'!$B$16,Paramètres!$A$1:$I$89,3,0)*0.475*44/12</f>
        <v>0</v>
      </c>
      <c r="FT119" s="22">
        <f t="shared" si="78"/>
        <v>0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56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186.90544184210381</v>
      </c>
      <c r="T120" s="59">
        <f t="shared" si="88"/>
        <v>202.05988514450519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38.483144510814995</v>
      </c>
      <c r="AA120" s="21">
        <f>EXP(-LN(2)/25)*AA119+(1-EXP(-LN(2)/25))/(LN(2)/25)*Calculateur!V120*Calculateur!X120*VLOOKUP('Données projet'!$B$9,Paramètres!$A$1:$I$89,3,0)*0.475*44/12</f>
        <v>4.4988345626497726</v>
      </c>
      <c r="AB120" s="21">
        <f>EXP(-LN(2)/2)*AB119+(1-EXP(-LN(2)/2))/(LN(2)/2)*V120*Y120*VLOOKUP('Données projet'!$B$9,Paramètres!$A$1:$I$89,3,0)*0.475*44/12</f>
        <v>1.1333230342358609E-7</v>
      </c>
      <c r="AC120" s="22">
        <f t="shared" si="57"/>
        <v>42.981979186797076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>
        <f>AI120*VLOOKUP('Données projet'!$B$10,Paramètres!$A$1:$I$89,3,0)*VLOOKUP('Données projet'!$B$10,Paramètres!$A$1:$I$89,5,0)</f>
        <v>0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186.90544184210381</v>
      </c>
      <c r="AO120" s="59">
        <f t="shared" si="90"/>
        <v>202.05988514450519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38.483144510814995</v>
      </c>
      <c r="AV120" s="21">
        <f>EXP(-LN(2)/25)*AV119+(1-EXP(-LN(2)/25))/(LN(2)/25)*Calculateur!AQ120*Calculateur!AS120*VLOOKUP('Données projet'!$B$10,Paramètres!$A$1:$I$89,3,0)*0.475*44/12</f>
        <v>4.4988345626497726</v>
      </c>
      <c r="AW120" s="21">
        <f>EXP(-LN(2)/2)*AW119+(1-EXP(-LN(2)/2))/(LN(2)/2)*AQ120*AT120*VLOOKUP('Données projet'!$B$10,Paramètres!$A$1:$I$89,3,0)*0.475*44/12</f>
        <v>1.1333230342358609E-7</v>
      </c>
      <c r="AX120" s="21">
        <f t="shared" si="60"/>
        <v>42.981979186797076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-2.8421709430404007E-14</v>
      </c>
      <c r="BE120" s="13">
        <f>BD120*VLOOKUP('Données projet'!$B$11,Paramètres!$A$1:$I$89,3,0)*VLOOKUP('Données projet'!$B$11,Paramètres!$A$1:$I$89,5,0)</f>
        <v>-2.3055690689943732E-14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5.8584049049231908</v>
      </c>
      <c r="BJ120" s="59">
        <f t="shared" si="92"/>
        <v>42.266833200216638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2.6654743383905076E-11</v>
      </c>
      <c r="BS120" s="22">
        <f t="shared" si="63"/>
        <v>2.6654743383905076E-11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>
        <f>BY120*VLOOKUP('Données projet'!$B$12,Paramètres!$A$1:$I$89,3,0)*VLOOKUP('Données projet'!$B$12,Paramètres!$A$1:$I$89,5,0)</f>
        <v>0</v>
      </c>
      <c r="CA120" s="13" t="e">
        <f t="shared" si="93"/>
        <v>#NUM!</v>
      </c>
      <c r="CB120" s="20" t="e">
        <f t="shared" si="64"/>
        <v>#NUM!</v>
      </c>
      <c r="CC120" s="59" t="e">
        <f t="shared" si="65"/>
        <v>#NUM!</v>
      </c>
      <c r="CD120" s="59">
        <f ca="1">AVERAGE(OFFSET($CC$3,0,0,'Données projet'!$E$12+1,1))-AVERAGE(OFFSET($H$3,0,0,'Données projet'!$E$12+1,1))</f>
        <v>0</v>
      </c>
      <c r="CE120" s="59">
        <f t="shared" si="94"/>
        <v>0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0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>
        <f>CT120*VLOOKUP('Données projet'!$B$13,Paramètres!$A$1:$I$89,3,0)*VLOOKUP('Données projet'!$B$13,Paramètres!$A$1:$I$89,5,0)</f>
        <v>0</v>
      </c>
      <c r="CV120" s="13" t="e">
        <f t="shared" si="95"/>
        <v>#NUM!</v>
      </c>
      <c r="CW120" s="20" t="e">
        <f t="shared" si="67"/>
        <v>#NUM!</v>
      </c>
      <c r="CX120" s="59" t="e">
        <f t="shared" si="68"/>
        <v>#NUM!</v>
      </c>
      <c r="CY120" s="59">
        <f ca="1">AVERAGE(OFFSET($CX$3,0,0,'Données projet'!$E$13+1,1))-AVERAGE(OFFSET($H$3,0,0,'Données projet'!$E$13+1,1))</f>
        <v>0</v>
      </c>
      <c r="CZ120" s="59">
        <f t="shared" si="96"/>
        <v>0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</v>
      </c>
      <c r="DG120" s="21">
        <f>EXP(-LN(2)/25)*DG119+(1-EXP(-LN(2)/25))/(LN(2)/25)*Calculateur!DB120*Calculateur!DD120*VLOOKUP('Données projet'!$B$13,Paramètres!$A$1:$I$89,3,0)*0.475*44/12</f>
        <v>0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0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>
        <f>DO120*VLOOKUP('Données projet'!$B$14,Paramètres!$A$1:$I$89,3,0)*VLOOKUP('Données projet'!$B$14,Paramètres!$A$1:$I$89,5,0)</f>
        <v>0</v>
      </c>
      <c r="DQ120" s="13" t="e">
        <f t="shared" si="97"/>
        <v>#NUM!</v>
      </c>
      <c r="DR120" s="20" t="e">
        <f t="shared" si="70"/>
        <v>#NUM!</v>
      </c>
      <c r="DS120" s="59" t="e">
        <f t="shared" si="71"/>
        <v>#NUM!</v>
      </c>
      <c r="DT120" s="59">
        <f ca="1">AVERAGE(OFFSET($DS$3,0,0,'Données projet'!$E$14+1,1))-AVERAGE(OFFSET($H$3,0,0,'Données projet'!$E$14+1,1))</f>
        <v>0</v>
      </c>
      <c r="DU120" s="59">
        <f t="shared" si="98"/>
        <v>0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</v>
      </c>
      <c r="EB120" s="21">
        <f>EXP(-LN(2)/25)*EB119+(1-EXP(-LN(2)/25))/(LN(2)/25)*Calculateur!DW120*Calculateur!DY120*VLOOKUP('Données projet'!$B$14,Paramètres!$A$1:$I$89,3,0)*0.475*44/12</f>
        <v>0</v>
      </c>
      <c r="EC120" s="21">
        <f>EXP(-LN(2)/2)*EC119+(1-EXP(-LN(2)/2))/(LN(2)/2)*DW120*DZ120*VLOOKUP('Données projet'!$B$14,Paramètres!$A$1:$I$89,3,0)*0.475*44/12</f>
        <v>0</v>
      </c>
      <c r="ED120" s="22">
        <f t="shared" si="72"/>
        <v>0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>
        <f>EJ120*VLOOKUP('Données projet'!$B$15,Paramètres!$A$1:$I$89,3,0)*VLOOKUP('Données projet'!$B$15,Paramètres!$A$1:$I$89,5,0)</f>
        <v>0</v>
      </c>
      <c r="EL120" s="13" t="e">
        <f t="shared" si="99"/>
        <v>#NUM!</v>
      </c>
      <c r="EM120" s="20" t="e">
        <f t="shared" si="73"/>
        <v>#NUM!</v>
      </c>
      <c r="EN120" s="59" t="e">
        <f t="shared" si="74"/>
        <v>#NUM!</v>
      </c>
      <c r="EO120" s="59">
        <f ca="1">AVERAGE(OFFSET($EN$3,0,0,'Données projet'!$E$15+1,1))-AVERAGE(OFFSET($H$3,0,0,'Données projet'!$E$15+1,1))</f>
        <v>0</v>
      </c>
      <c r="EP120" s="59">
        <f t="shared" si="100"/>
        <v>0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>
        <f>EXP(-LN(2)/35)*EV119+(1-EXP(-LN(2)/35))/(LN(2)/35)*ER120*ES120*VLOOKUP('Données projet'!$B$15,Paramètres!$A$1:$I$89,3,0)*0.475*44/12</f>
        <v>0</v>
      </c>
      <c r="EW120" s="21">
        <f>EXP(-LN(2)/25)*EW119+(1-EXP(-LN(2)/25))/(LN(2)/25)*Calculateur!ER120*Calculateur!ET120*VLOOKUP('Données projet'!$B$15,Paramètres!$A$1:$I$89,3,0)*0.475*44/12</f>
        <v>0</v>
      </c>
      <c r="EX120" s="21">
        <f>EXP(-LN(2)/2)*EX119+(1-EXP(-LN(2)/2))/(LN(2)/2)*ER120*EU120*VLOOKUP('Données projet'!$B$15,Paramètres!$A$1:$I$89,3,0)*0.475*44/12</f>
        <v>0</v>
      </c>
      <c r="EY120" s="22">
        <f t="shared" si="75"/>
        <v>0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>
        <f>FE120*VLOOKUP('Données projet'!$B$16,Paramètres!$A$1:$I$89,3,0)*VLOOKUP('Données projet'!$B$16,Paramètres!$A$1:$I$89,5,0)</f>
        <v>0</v>
      </c>
      <c r="FG120" s="13" t="e">
        <f t="shared" si="101"/>
        <v>#NUM!</v>
      </c>
      <c r="FH120" s="20" t="e">
        <f t="shared" si="76"/>
        <v>#NUM!</v>
      </c>
      <c r="FI120" s="59" t="e">
        <f t="shared" si="77"/>
        <v>#NUM!</v>
      </c>
      <c r="FJ120" s="59">
        <f ca="1">AVERAGE(OFFSET($FI$3,0,0,'Données projet'!$E$16+1,1))-AVERAGE(OFFSET($H$3,0,0,'Données projet'!$E$16+1,1))</f>
        <v>0</v>
      </c>
      <c r="FK120" s="59">
        <f t="shared" si="102"/>
        <v>0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>
        <f>EXP(-LN(2)/35)*FQ119+(1-EXP(-LN(2)/35))/(LN(2)/35)*FM120*FN120*VLOOKUP('Données projet'!$B$16,Paramètres!$A$1:$I$89,3,0)*0.475*44/12</f>
        <v>0</v>
      </c>
      <c r="FR120" s="21">
        <f>EXP(-LN(2)/25)*FR119+(1-EXP(-LN(2)/25))/(LN(2)/25)*Calculateur!FM120*Calculateur!FO120*VLOOKUP('Données projet'!$B$16,Paramètres!$A$1:$I$89,3,0)*0.475*44/12</f>
        <v>0</v>
      </c>
      <c r="FS120" s="21">
        <f>EXP(-LN(2)/2)*FS119+(1-EXP(-LN(2)/2))/(LN(2)/2)*FM120*FP120*VLOOKUP('Données projet'!$B$16,Paramètres!$A$1:$I$89,3,0)*0.475*44/12</f>
        <v>0</v>
      </c>
      <c r="FT120" s="22">
        <f t="shared" si="78"/>
        <v>0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56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186.90544184210381</v>
      </c>
      <c r="T121" s="59">
        <f t="shared" si="88"/>
        <v>202.05988514450519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37.728513519358359</v>
      </c>
      <c r="AA121" s="21">
        <f>EXP(-LN(2)/25)*AA120+(1-EXP(-LN(2)/25))/(LN(2)/25)*Calculateur!V121*Calculateur!X121*VLOOKUP('Données projet'!$B$9,Paramètres!$A$1:$I$89,3,0)*0.475*44/12</f>
        <v>4.3758136949506872</v>
      </c>
      <c r="AB121" s="21">
        <f>EXP(-LN(2)/2)*AB120+(1-EXP(-LN(2)/2))/(LN(2)/2)*V121*Y121*VLOOKUP('Données projet'!$B$9,Paramètres!$A$1:$I$89,3,0)*0.475*44/12</f>
        <v>8.0138040278309098E-8</v>
      </c>
      <c r="AC121" s="22">
        <f t="shared" si="57"/>
        <v>42.104327294447089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>
        <f>AI121*VLOOKUP('Données projet'!$B$10,Paramètres!$A$1:$I$89,3,0)*VLOOKUP('Données projet'!$B$10,Paramètres!$A$1:$I$89,5,0)</f>
        <v>0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186.90544184210381</v>
      </c>
      <c r="AO121" s="59">
        <f t="shared" si="90"/>
        <v>202.05988514450519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37.728513519358359</v>
      </c>
      <c r="AV121" s="21">
        <f>EXP(-LN(2)/25)*AV120+(1-EXP(-LN(2)/25))/(LN(2)/25)*Calculateur!AQ121*Calculateur!AS121*VLOOKUP('Données projet'!$B$10,Paramètres!$A$1:$I$89,3,0)*0.475*44/12</f>
        <v>4.3758136949506872</v>
      </c>
      <c r="AW121" s="21">
        <f>EXP(-LN(2)/2)*AW120+(1-EXP(-LN(2)/2))/(LN(2)/2)*AQ121*AT121*VLOOKUP('Données projet'!$B$10,Paramètres!$A$1:$I$89,3,0)*0.475*44/12</f>
        <v>8.0138040278309098E-8</v>
      </c>
      <c r="AX121" s="21">
        <f t="shared" si="60"/>
        <v>42.104327294447089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-2.8421709430404007E-14</v>
      </c>
      <c r="BE121" s="13">
        <f>BD121*VLOOKUP('Données projet'!$B$11,Paramètres!$A$1:$I$89,3,0)*VLOOKUP('Données projet'!$B$11,Paramètres!$A$1:$I$89,5,0)</f>
        <v>-2.3055690689943732E-14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5.8584049049231908</v>
      </c>
      <c r="BJ121" s="59">
        <f t="shared" si="92"/>
        <v>42.266833200216638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1.8847749797546542E-11</v>
      </c>
      <c r="BS121" s="22">
        <f t="shared" si="63"/>
        <v>1.8847749797546542E-11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>
        <f>BY121*VLOOKUP('Données projet'!$B$12,Paramètres!$A$1:$I$89,3,0)*VLOOKUP('Données projet'!$B$12,Paramètres!$A$1:$I$89,5,0)</f>
        <v>0</v>
      </c>
      <c r="CA121" s="13" t="e">
        <f t="shared" si="93"/>
        <v>#NUM!</v>
      </c>
      <c r="CB121" s="20" t="e">
        <f t="shared" si="64"/>
        <v>#NUM!</v>
      </c>
      <c r="CC121" s="59" t="e">
        <f t="shared" si="65"/>
        <v>#NUM!</v>
      </c>
      <c r="CD121" s="59">
        <f ca="1">AVERAGE(OFFSET($CC$3,0,0,'Données projet'!$E$12+1,1))-AVERAGE(OFFSET($H$3,0,0,'Données projet'!$E$12+1,1))</f>
        <v>0</v>
      </c>
      <c r="CE121" s="59">
        <f t="shared" si="94"/>
        <v>0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0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>
        <f>CT121*VLOOKUP('Données projet'!$B$13,Paramètres!$A$1:$I$89,3,0)*VLOOKUP('Données projet'!$B$13,Paramètres!$A$1:$I$89,5,0)</f>
        <v>0</v>
      </c>
      <c r="CV121" s="13" t="e">
        <f t="shared" si="95"/>
        <v>#NUM!</v>
      </c>
      <c r="CW121" s="20" t="e">
        <f t="shared" si="67"/>
        <v>#NUM!</v>
      </c>
      <c r="CX121" s="59" t="e">
        <f t="shared" si="68"/>
        <v>#NUM!</v>
      </c>
      <c r="CY121" s="59">
        <f ca="1">AVERAGE(OFFSET($CX$3,0,0,'Données projet'!$E$13+1,1))-AVERAGE(OFFSET($H$3,0,0,'Données projet'!$E$13+1,1))</f>
        <v>0</v>
      </c>
      <c r="CZ121" s="59">
        <f t="shared" si="96"/>
        <v>0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</v>
      </c>
      <c r="DG121" s="21">
        <f>EXP(-LN(2)/25)*DG120+(1-EXP(-LN(2)/25))/(LN(2)/25)*Calculateur!DB121*Calculateur!DD121*VLOOKUP('Données projet'!$B$13,Paramètres!$A$1:$I$89,3,0)*0.475*44/12</f>
        <v>0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0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>
        <f>DO121*VLOOKUP('Données projet'!$B$14,Paramètres!$A$1:$I$89,3,0)*VLOOKUP('Données projet'!$B$14,Paramètres!$A$1:$I$89,5,0)</f>
        <v>0</v>
      </c>
      <c r="DQ121" s="13" t="e">
        <f t="shared" si="97"/>
        <v>#NUM!</v>
      </c>
      <c r="DR121" s="20" t="e">
        <f t="shared" si="70"/>
        <v>#NUM!</v>
      </c>
      <c r="DS121" s="59" t="e">
        <f t="shared" si="71"/>
        <v>#NUM!</v>
      </c>
      <c r="DT121" s="59">
        <f ca="1">AVERAGE(OFFSET($DS$3,0,0,'Données projet'!$E$14+1,1))-AVERAGE(OFFSET($H$3,0,0,'Données projet'!$E$14+1,1))</f>
        <v>0</v>
      </c>
      <c r="DU121" s="59">
        <f t="shared" si="98"/>
        <v>0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</v>
      </c>
      <c r="EB121" s="21">
        <f>EXP(-LN(2)/25)*EB120+(1-EXP(-LN(2)/25))/(LN(2)/25)*Calculateur!DW121*Calculateur!DY121*VLOOKUP('Données projet'!$B$14,Paramètres!$A$1:$I$89,3,0)*0.475*44/12</f>
        <v>0</v>
      </c>
      <c r="EC121" s="21">
        <f>EXP(-LN(2)/2)*EC120+(1-EXP(-LN(2)/2))/(LN(2)/2)*DW121*DZ121*VLOOKUP('Données projet'!$B$14,Paramètres!$A$1:$I$89,3,0)*0.475*44/12</f>
        <v>0</v>
      </c>
      <c r="ED121" s="22">
        <f t="shared" si="72"/>
        <v>0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>
        <f>EJ121*VLOOKUP('Données projet'!$B$15,Paramètres!$A$1:$I$89,3,0)*VLOOKUP('Données projet'!$B$15,Paramètres!$A$1:$I$89,5,0)</f>
        <v>0</v>
      </c>
      <c r="EL121" s="13" t="e">
        <f t="shared" si="99"/>
        <v>#NUM!</v>
      </c>
      <c r="EM121" s="20" t="e">
        <f t="shared" si="73"/>
        <v>#NUM!</v>
      </c>
      <c r="EN121" s="59" t="e">
        <f t="shared" si="74"/>
        <v>#NUM!</v>
      </c>
      <c r="EO121" s="59">
        <f ca="1">AVERAGE(OFFSET($EN$3,0,0,'Données projet'!$E$15+1,1))-AVERAGE(OFFSET($H$3,0,0,'Données projet'!$E$15+1,1))</f>
        <v>0</v>
      </c>
      <c r="EP121" s="59">
        <f t="shared" si="100"/>
        <v>0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>
        <f>EXP(-LN(2)/35)*EV120+(1-EXP(-LN(2)/35))/(LN(2)/35)*ER121*ES121*VLOOKUP('Données projet'!$B$15,Paramètres!$A$1:$I$89,3,0)*0.475*44/12</f>
        <v>0</v>
      </c>
      <c r="EW121" s="21">
        <f>EXP(-LN(2)/25)*EW120+(1-EXP(-LN(2)/25))/(LN(2)/25)*Calculateur!ER121*Calculateur!ET121*VLOOKUP('Données projet'!$B$15,Paramètres!$A$1:$I$89,3,0)*0.475*44/12</f>
        <v>0</v>
      </c>
      <c r="EX121" s="21">
        <f>EXP(-LN(2)/2)*EX120+(1-EXP(-LN(2)/2))/(LN(2)/2)*ER121*EU121*VLOOKUP('Données projet'!$B$15,Paramètres!$A$1:$I$89,3,0)*0.475*44/12</f>
        <v>0</v>
      </c>
      <c r="EY121" s="22">
        <f t="shared" si="75"/>
        <v>0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>
        <f>FE121*VLOOKUP('Données projet'!$B$16,Paramètres!$A$1:$I$89,3,0)*VLOOKUP('Données projet'!$B$16,Paramètres!$A$1:$I$89,5,0)</f>
        <v>0</v>
      </c>
      <c r="FG121" s="13" t="e">
        <f t="shared" si="101"/>
        <v>#NUM!</v>
      </c>
      <c r="FH121" s="20" t="e">
        <f t="shared" si="76"/>
        <v>#NUM!</v>
      </c>
      <c r="FI121" s="59" t="e">
        <f t="shared" si="77"/>
        <v>#NUM!</v>
      </c>
      <c r="FJ121" s="59">
        <f ca="1">AVERAGE(OFFSET($FI$3,0,0,'Données projet'!$E$16+1,1))-AVERAGE(OFFSET($H$3,0,0,'Données projet'!$E$16+1,1))</f>
        <v>0</v>
      </c>
      <c r="FK121" s="59">
        <f t="shared" si="102"/>
        <v>0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>
        <f>EXP(-LN(2)/35)*FQ120+(1-EXP(-LN(2)/35))/(LN(2)/35)*FM121*FN121*VLOOKUP('Données projet'!$B$16,Paramètres!$A$1:$I$89,3,0)*0.475*44/12</f>
        <v>0</v>
      </c>
      <c r="FR121" s="21">
        <f>EXP(-LN(2)/25)*FR120+(1-EXP(-LN(2)/25))/(LN(2)/25)*Calculateur!FM121*Calculateur!FO121*VLOOKUP('Données projet'!$B$16,Paramètres!$A$1:$I$89,3,0)*0.475*44/12</f>
        <v>0</v>
      </c>
      <c r="FS121" s="21">
        <f>EXP(-LN(2)/2)*FS120+(1-EXP(-LN(2)/2))/(LN(2)/2)*FM121*FP121*VLOOKUP('Données projet'!$B$16,Paramètres!$A$1:$I$89,3,0)*0.475*44/12</f>
        <v>0</v>
      </c>
      <c r="FT121" s="22">
        <f t="shared" si="78"/>
        <v>0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56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186.90544184210381</v>
      </c>
      <c r="T122" s="59">
        <f t="shared" si="88"/>
        <v>202.05988514450519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36.98868038136473</v>
      </c>
      <c r="AA122" s="21">
        <f>EXP(-LN(2)/25)*AA121+(1-EXP(-LN(2)/25))/(LN(2)/25)*Calculateur!V122*Calculateur!X122*VLOOKUP('Données projet'!$B$9,Paramètres!$A$1:$I$89,3,0)*0.475*44/12</f>
        <v>4.2561568393482192</v>
      </c>
      <c r="AB122" s="21">
        <f>EXP(-LN(2)/2)*AB121+(1-EXP(-LN(2)/2))/(LN(2)/2)*V122*Y122*VLOOKUP('Données projet'!$B$9,Paramètres!$A$1:$I$89,3,0)*0.475*44/12</f>
        <v>5.6666151711793044E-8</v>
      </c>
      <c r="AC122" s="22">
        <f t="shared" si="57"/>
        <v>41.244837277379105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>
        <f>AI122*VLOOKUP('Données projet'!$B$10,Paramètres!$A$1:$I$89,3,0)*VLOOKUP('Données projet'!$B$10,Paramètres!$A$1:$I$89,5,0)</f>
        <v>0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186.90544184210381</v>
      </c>
      <c r="AO122" s="59">
        <f t="shared" si="90"/>
        <v>202.05988514450519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36.98868038136473</v>
      </c>
      <c r="AV122" s="21">
        <f>EXP(-LN(2)/25)*AV121+(1-EXP(-LN(2)/25))/(LN(2)/25)*Calculateur!AQ122*Calculateur!AS122*VLOOKUP('Données projet'!$B$10,Paramètres!$A$1:$I$89,3,0)*0.475*44/12</f>
        <v>4.2561568393482192</v>
      </c>
      <c r="AW122" s="21">
        <f>EXP(-LN(2)/2)*AW121+(1-EXP(-LN(2)/2))/(LN(2)/2)*AQ122*AT122*VLOOKUP('Données projet'!$B$10,Paramètres!$A$1:$I$89,3,0)*0.475*44/12</f>
        <v>5.6666151711793044E-8</v>
      </c>
      <c r="AX122" s="21">
        <f t="shared" si="60"/>
        <v>41.244837277379105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-2.8421709430404007E-14</v>
      </c>
      <c r="BE122" s="13">
        <f>BD122*VLOOKUP('Données projet'!$B$11,Paramètres!$A$1:$I$89,3,0)*VLOOKUP('Données projet'!$B$11,Paramètres!$A$1:$I$89,5,0)</f>
        <v>-2.3055690689943732E-14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5.8584049049231908</v>
      </c>
      <c r="BJ122" s="59">
        <f t="shared" si="92"/>
        <v>42.266833200216638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1.3327371691952538E-11</v>
      </c>
      <c r="BS122" s="22">
        <f t="shared" si="63"/>
        <v>1.3327371691952538E-11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>
        <f>BY122*VLOOKUP('Données projet'!$B$12,Paramètres!$A$1:$I$89,3,0)*VLOOKUP('Données projet'!$B$12,Paramètres!$A$1:$I$89,5,0)</f>
        <v>0</v>
      </c>
      <c r="CA122" s="13" t="e">
        <f t="shared" si="93"/>
        <v>#NUM!</v>
      </c>
      <c r="CB122" s="20" t="e">
        <f t="shared" si="64"/>
        <v>#NUM!</v>
      </c>
      <c r="CC122" s="59" t="e">
        <f t="shared" si="65"/>
        <v>#NUM!</v>
      </c>
      <c r="CD122" s="59">
        <f ca="1">AVERAGE(OFFSET($CC$3,0,0,'Données projet'!$E$12+1,1))-AVERAGE(OFFSET($H$3,0,0,'Données projet'!$E$12+1,1))</f>
        <v>0</v>
      </c>
      <c r="CE122" s="59">
        <f t="shared" si="94"/>
        <v>0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0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>
        <f>CT122*VLOOKUP('Données projet'!$B$13,Paramètres!$A$1:$I$89,3,0)*VLOOKUP('Données projet'!$B$13,Paramètres!$A$1:$I$89,5,0)</f>
        <v>0</v>
      </c>
      <c r="CV122" s="13" t="e">
        <f t="shared" si="95"/>
        <v>#NUM!</v>
      </c>
      <c r="CW122" s="20" t="e">
        <f t="shared" si="67"/>
        <v>#NUM!</v>
      </c>
      <c r="CX122" s="59" t="e">
        <f t="shared" si="68"/>
        <v>#NUM!</v>
      </c>
      <c r="CY122" s="59">
        <f ca="1">AVERAGE(OFFSET($CX$3,0,0,'Données projet'!$E$13+1,1))-AVERAGE(OFFSET($H$3,0,0,'Données projet'!$E$13+1,1))</f>
        <v>0</v>
      </c>
      <c r="CZ122" s="59">
        <f t="shared" si="96"/>
        <v>0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</v>
      </c>
      <c r="DG122" s="21">
        <f>EXP(-LN(2)/25)*DG121+(1-EXP(-LN(2)/25))/(LN(2)/25)*Calculateur!DB122*Calculateur!DD122*VLOOKUP('Données projet'!$B$13,Paramètres!$A$1:$I$89,3,0)*0.475*44/12</f>
        <v>0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0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>
        <f>DO122*VLOOKUP('Données projet'!$B$14,Paramètres!$A$1:$I$89,3,0)*VLOOKUP('Données projet'!$B$14,Paramètres!$A$1:$I$89,5,0)</f>
        <v>0</v>
      </c>
      <c r="DQ122" s="13" t="e">
        <f t="shared" si="97"/>
        <v>#NUM!</v>
      </c>
      <c r="DR122" s="20" t="e">
        <f t="shared" si="70"/>
        <v>#NUM!</v>
      </c>
      <c r="DS122" s="59" t="e">
        <f t="shared" si="71"/>
        <v>#NUM!</v>
      </c>
      <c r="DT122" s="59">
        <f ca="1">AVERAGE(OFFSET($DS$3,0,0,'Données projet'!$E$14+1,1))-AVERAGE(OFFSET($H$3,0,0,'Données projet'!$E$14+1,1))</f>
        <v>0</v>
      </c>
      <c r="DU122" s="59">
        <f t="shared" si="98"/>
        <v>0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</v>
      </c>
      <c r="EB122" s="21">
        <f>EXP(-LN(2)/25)*EB121+(1-EXP(-LN(2)/25))/(LN(2)/25)*Calculateur!DW122*Calculateur!DY122*VLOOKUP('Données projet'!$B$14,Paramètres!$A$1:$I$89,3,0)*0.475*44/12</f>
        <v>0</v>
      </c>
      <c r="EC122" s="21">
        <f>EXP(-LN(2)/2)*EC121+(1-EXP(-LN(2)/2))/(LN(2)/2)*DW122*DZ122*VLOOKUP('Données projet'!$B$14,Paramètres!$A$1:$I$89,3,0)*0.475*44/12</f>
        <v>0</v>
      </c>
      <c r="ED122" s="22">
        <f t="shared" si="72"/>
        <v>0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>
        <f>EJ122*VLOOKUP('Données projet'!$B$15,Paramètres!$A$1:$I$89,3,0)*VLOOKUP('Données projet'!$B$15,Paramètres!$A$1:$I$89,5,0)</f>
        <v>0</v>
      </c>
      <c r="EL122" s="13" t="e">
        <f t="shared" si="99"/>
        <v>#NUM!</v>
      </c>
      <c r="EM122" s="20" t="e">
        <f t="shared" si="73"/>
        <v>#NUM!</v>
      </c>
      <c r="EN122" s="59" t="e">
        <f t="shared" si="74"/>
        <v>#NUM!</v>
      </c>
      <c r="EO122" s="59">
        <f ca="1">AVERAGE(OFFSET($EN$3,0,0,'Données projet'!$E$15+1,1))-AVERAGE(OFFSET($H$3,0,0,'Données projet'!$E$15+1,1))</f>
        <v>0</v>
      </c>
      <c r="EP122" s="59">
        <f t="shared" si="100"/>
        <v>0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>
        <f>EXP(-LN(2)/35)*EV121+(1-EXP(-LN(2)/35))/(LN(2)/35)*ER122*ES122*VLOOKUP('Données projet'!$B$15,Paramètres!$A$1:$I$89,3,0)*0.475*44/12</f>
        <v>0</v>
      </c>
      <c r="EW122" s="21">
        <f>EXP(-LN(2)/25)*EW121+(1-EXP(-LN(2)/25))/(LN(2)/25)*Calculateur!ER122*Calculateur!ET122*VLOOKUP('Données projet'!$B$15,Paramètres!$A$1:$I$89,3,0)*0.475*44/12</f>
        <v>0</v>
      </c>
      <c r="EX122" s="21">
        <f>EXP(-LN(2)/2)*EX121+(1-EXP(-LN(2)/2))/(LN(2)/2)*ER122*EU122*VLOOKUP('Données projet'!$B$15,Paramètres!$A$1:$I$89,3,0)*0.475*44/12</f>
        <v>0</v>
      </c>
      <c r="EY122" s="22">
        <f t="shared" si="75"/>
        <v>0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>
        <f>FE122*VLOOKUP('Données projet'!$B$16,Paramètres!$A$1:$I$89,3,0)*VLOOKUP('Données projet'!$B$16,Paramètres!$A$1:$I$89,5,0)</f>
        <v>0</v>
      </c>
      <c r="FG122" s="13" t="e">
        <f t="shared" si="101"/>
        <v>#NUM!</v>
      </c>
      <c r="FH122" s="20" t="e">
        <f t="shared" si="76"/>
        <v>#NUM!</v>
      </c>
      <c r="FI122" s="59" t="e">
        <f t="shared" si="77"/>
        <v>#NUM!</v>
      </c>
      <c r="FJ122" s="59">
        <f ca="1">AVERAGE(OFFSET($FI$3,0,0,'Données projet'!$E$16+1,1))-AVERAGE(OFFSET($H$3,0,0,'Données projet'!$E$16+1,1))</f>
        <v>0</v>
      </c>
      <c r="FK122" s="59">
        <f t="shared" si="102"/>
        <v>0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>
        <f>EXP(-LN(2)/35)*FQ121+(1-EXP(-LN(2)/35))/(LN(2)/35)*FM122*FN122*VLOOKUP('Données projet'!$B$16,Paramètres!$A$1:$I$89,3,0)*0.475*44/12</f>
        <v>0</v>
      </c>
      <c r="FR122" s="21">
        <f>EXP(-LN(2)/25)*FR121+(1-EXP(-LN(2)/25))/(LN(2)/25)*Calculateur!FM122*Calculateur!FO122*VLOOKUP('Données projet'!$B$16,Paramètres!$A$1:$I$89,3,0)*0.475*44/12</f>
        <v>0</v>
      </c>
      <c r="FS122" s="21">
        <f>EXP(-LN(2)/2)*FS121+(1-EXP(-LN(2)/2))/(LN(2)/2)*FM122*FP122*VLOOKUP('Données projet'!$B$16,Paramètres!$A$1:$I$89,3,0)*0.475*44/12</f>
        <v>0</v>
      </c>
      <c r="FT122" s="22">
        <f t="shared" si="78"/>
        <v>0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56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186.90544184210381</v>
      </c>
      <c r="T123" s="59">
        <f t="shared" si="88"/>
        <v>202.05988514450519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36.2633549199535</v>
      </c>
      <c r="AA123" s="21">
        <f>EXP(-LN(2)/25)*AA122+(1-EXP(-LN(2)/25))/(LN(2)/25)*Calculateur!V123*Calculateur!X123*VLOOKUP('Données projet'!$B$9,Paramètres!$A$1:$I$89,3,0)*0.475*44/12</f>
        <v>4.1397720067546819</v>
      </c>
      <c r="AB123" s="21">
        <f>EXP(-LN(2)/2)*AB122+(1-EXP(-LN(2)/2))/(LN(2)/2)*V123*Y123*VLOOKUP('Données projet'!$B$9,Paramètres!$A$1:$I$89,3,0)*0.475*44/12</f>
        <v>4.0069020139154549E-8</v>
      </c>
      <c r="AC123" s="22">
        <f t="shared" si="57"/>
        <v>40.403126966777201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>
        <f>AI123*VLOOKUP('Données projet'!$B$10,Paramètres!$A$1:$I$89,3,0)*VLOOKUP('Données projet'!$B$10,Paramètres!$A$1:$I$89,5,0)</f>
        <v>0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186.90544184210381</v>
      </c>
      <c r="AO123" s="59">
        <f t="shared" si="90"/>
        <v>202.05988514450519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36.2633549199535</v>
      </c>
      <c r="AV123" s="21">
        <f>EXP(-LN(2)/25)*AV122+(1-EXP(-LN(2)/25))/(LN(2)/25)*Calculateur!AQ123*Calculateur!AS123*VLOOKUP('Données projet'!$B$10,Paramètres!$A$1:$I$89,3,0)*0.475*44/12</f>
        <v>4.1397720067546819</v>
      </c>
      <c r="AW123" s="21">
        <f>EXP(-LN(2)/2)*AW122+(1-EXP(-LN(2)/2))/(LN(2)/2)*AQ123*AT123*VLOOKUP('Données projet'!$B$10,Paramètres!$A$1:$I$89,3,0)*0.475*44/12</f>
        <v>4.0069020139154549E-8</v>
      </c>
      <c r="AX123" s="21">
        <f t="shared" si="60"/>
        <v>40.403126966777201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-2.8421709430404007E-14</v>
      </c>
      <c r="BE123" s="13">
        <f>BD123*VLOOKUP('Données projet'!$B$11,Paramètres!$A$1:$I$89,3,0)*VLOOKUP('Données projet'!$B$11,Paramètres!$A$1:$I$89,5,0)</f>
        <v>-2.3055690689943732E-14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5.8584049049231908</v>
      </c>
      <c r="BJ123" s="59">
        <f t="shared" si="92"/>
        <v>42.266833200216638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9.4238748987732709E-12</v>
      </c>
      <c r="BS123" s="22">
        <f t="shared" si="63"/>
        <v>9.4238748987732709E-12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>
        <f>BY123*VLOOKUP('Données projet'!$B$12,Paramètres!$A$1:$I$89,3,0)*VLOOKUP('Données projet'!$B$12,Paramètres!$A$1:$I$89,5,0)</f>
        <v>0</v>
      </c>
      <c r="CA123" s="13" t="e">
        <f t="shared" si="93"/>
        <v>#NUM!</v>
      </c>
      <c r="CB123" s="20" t="e">
        <f t="shared" si="64"/>
        <v>#NUM!</v>
      </c>
      <c r="CC123" s="59" t="e">
        <f t="shared" si="65"/>
        <v>#NUM!</v>
      </c>
      <c r="CD123" s="59">
        <f ca="1">AVERAGE(OFFSET($CC$3,0,0,'Données projet'!$E$12+1,1))-AVERAGE(OFFSET($H$3,0,0,'Données projet'!$E$12+1,1))</f>
        <v>0</v>
      </c>
      <c r="CE123" s="59">
        <f t="shared" si="94"/>
        <v>0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0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>
        <f>CT123*VLOOKUP('Données projet'!$B$13,Paramètres!$A$1:$I$89,3,0)*VLOOKUP('Données projet'!$B$13,Paramètres!$A$1:$I$89,5,0)</f>
        <v>0</v>
      </c>
      <c r="CV123" s="13" t="e">
        <f t="shared" si="95"/>
        <v>#NUM!</v>
      </c>
      <c r="CW123" s="20" t="e">
        <f t="shared" si="67"/>
        <v>#NUM!</v>
      </c>
      <c r="CX123" s="59" t="e">
        <f t="shared" si="68"/>
        <v>#NUM!</v>
      </c>
      <c r="CY123" s="59">
        <f ca="1">AVERAGE(OFFSET($CX$3,0,0,'Données projet'!$E$13+1,1))-AVERAGE(OFFSET($H$3,0,0,'Données projet'!$E$13+1,1))</f>
        <v>0</v>
      </c>
      <c r="CZ123" s="59">
        <f t="shared" si="96"/>
        <v>0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</v>
      </c>
      <c r="DG123" s="21">
        <f>EXP(-LN(2)/25)*DG122+(1-EXP(-LN(2)/25))/(LN(2)/25)*Calculateur!DB123*Calculateur!DD123*VLOOKUP('Données projet'!$B$13,Paramètres!$A$1:$I$89,3,0)*0.475*44/12</f>
        <v>0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0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>
        <f>DO123*VLOOKUP('Données projet'!$B$14,Paramètres!$A$1:$I$89,3,0)*VLOOKUP('Données projet'!$B$14,Paramètres!$A$1:$I$89,5,0)</f>
        <v>0</v>
      </c>
      <c r="DQ123" s="13" t="e">
        <f t="shared" si="97"/>
        <v>#NUM!</v>
      </c>
      <c r="DR123" s="20" t="e">
        <f t="shared" si="70"/>
        <v>#NUM!</v>
      </c>
      <c r="DS123" s="59" t="e">
        <f t="shared" si="71"/>
        <v>#NUM!</v>
      </c>
      <c r="DT123" s="59">
        <f ca="1">AVERAGE(OFFSET($DS$3,0,0,'Données projet'!$E$14+1,1))-AVERAGE(OFFSET($H$3,0,0,'Données projet'!$E$14+1,1))</f>
        <v>0</v>
      </c>
      <c r="DU123" s="59">
        <f t="shared" si="98"/>
        <v>0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</v>
      </c>
      <c r="EB123" s="21">
        <f>EXP(-LN(2)/25)*EB122+(1-EXP(-LN(2)/25))/(LN(2)/25)*Calculateur!DW123*Calculateur!DY123*VLOOKUP('Données projet'!$B$14,Paramètres!$A$1:$I$89,3,0)*0.475*44/12</f>
        <v>0</v>
      </c>
      <c r="EC123" s="21">
        <f>EXP(-LN(2)/2)*EC122+(1-EXP(-LN(2)/2))/(LN(2)/2)*DW123*DZ123*VLOOKUP('Données projet'!$B$14,Paramètres!$A$1:$I$89,3,0)*0.475*44/12</f>
        <v>0</v>
      </c>
      <c r="ED123" s="22">
        <f t="shared" si="72"/>
        <v>0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>
        <f>EJ123*VLOOKUP('Données projet'!$B$15,Paramètres!$A$1:$I$89,3,0)*VLOOKUP('Données projet'!$B$15,Paramètres!$A$1:$I$89,5,0)</f>
        <v>0</v>
      </c>
      <c r="EL123" s="13" t="e">
        <f t="shared" si="99"/>
        <v>#NUM!</v>
      </c>
      <c r="EM123" s="20" t="e">
        <f t="shared" si="73"/>
        <v>#NUM!</v>
      </c>
      <c r="EN123" s="59" t="e">
        <f t="shared" si="74"/>
        <v>#NUM!</v>
      </c>
      <c r="EO123" s="59">
        <f ca="1">AVERAGE(OFFSET($EN$3,0,0,'Données projet'!$E$15+1,1))-AVERAGE(OFFSET($H$3,0,0,'Données projet'!$E$15+1,1))</f>
        <v>0</v>
      </c>
      <c r="EP123" s="59">
        <f t="shared" si="100"/>
        <v>0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>
        <f>EXP(-LN(2)/35)*EV122+(1-EXP(-LN(2)/35))/(LN(2)/35)*ER123*ES123*VLOOKUP('Données projet'!$B$15,Paramètres!$A$1:$I$89,3,0)*0.475*44/12</f>
        <v>0</v>
      </c>
      <c r="EW123" s="21">
        <f>EXP(-LN(2)/25)*EW122+(1-EXP(-LN(2)/25))/(LN(2)/25)*Calculateur!ER123*Calculateur!ET123*VLOOKUP('Données projet'!$B$15,Paramètres!$A$1:$I$89,3,0)*0.475*44/12</f>
        <v>0</v>
      </c>
      <c r="EX123" s="21">
        <f>EXP(-LN(2)/2)*EX122+(1-EXP(-LN(2)/2))/(LN(2)/2)*ER123*EU123*VLOOKUP('Données projet'!$B$15,Paramètres!$A$1:$I$89,3,0)*0.475*44/12</f>
        <v>0</v>
      </c>
      <c r="EY123" s="22">
        <f t="shared" si="75"/>
        <v>0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>
        <f>FE123*VLOOKUP('Données projet'!$B$16,Paramètres!$A$1:$I$89,3,0)*VLOOKUP('Données projet'!$B$16,Paramètres!$A$1:$I$89,5,0)</f>
        <v>0</v>
      </c>
      <c r="FG123" s="13" t="e">
        <f t="shared" si="101"/>
        <v>#NUM!</v>
      </c>
      <c r="FH123" s="20" t="e">
        <f t="shared" si="76"/>
        <v>#NUM!</v>
      </c>
      <c r="FI123" s="59" t="e">
        <f t="shared" si="77"/>
        <v>#NUM!</v>
      </c>
      <c r="FJ123" s="59">
        <f ca="1">AVERAGE(OFFSET($FI$3,0,0,'Données projet'!$E$16+1,1))-AVERAGE(OFFSET($H$3,0,0,'Données projet'!$E$16+1,1))</f>
        <v>0</v>
      </c>
      <c r="FK123" s="59">
        <f t="shared" si="102"/>
        <v>0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>
        <f>EXP(-LN(2)/35)*FQ122+(1-EXP(-LN(2)/35))/(LN(2)/35)*FM123*FN123*VLOOKUP('Données projet'!$B$16,Paramètres!$A$1:$I$89,3,0)*0.475*44/12</f>
        <v>0</v>
      </c>
      <c r="FR123" s="21">
        <f>EXP(-LN(2)/25)*FR122+(1-EXP(-LN(2)/25))/(LN(2)/25)*Calculateur!FM123*Calculateur!FO123*VLOOKUP('Données projet'!$B$16,Paramètres!$A$1:$I$89,3,0)*0.475*44/12</f>
        <v>0</v>
      </c>
      <c r="FS123" s="21">
        <f>EXP(-LN(2)/2)*FS122+(1-EXP(-LN(2)/2))/(LN(2)/2)*FM123*FP123*VLOOKUP('Données projet'!$B$16,Paramètres!$A$1:$I$89,3,0)*0.475*44/12</f>
        <v>0</v>
      </c>
      <c r="FT123" s="22">
        <f t="shared" si="78"/>
        <v>0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56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186.90544184210381</v>
      </c>
      <c r="T124" s="59">
        <f t="shared" si="88"/>
        <v>202.05988514450519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35.552252648435697</v>
      </c>
      <c r="AA124" s="21">
        <f>EXP(-LN(2)/25)*AA123+(1-EXP(-LN(2)/25))/(LN(2)/25)*Calculateur!V124*Calculateur!X124*VLOOKUP('Données projet'!$B$9,Paramètres!$A$1:$I$89,3,0)*0.475*44/12</f>
        <v>4.0265697235288265</v>
      </c>
      <c r="AB124" s="21">
        <f>EXP(-LN(2)/2)*AB123+(1-EXP(-LN(2)/2))/(LN(2)/2)*V124*Y124*VLOOKUP('Données projet'!$B$9,Paramètres!$A$1:$I$89,3,0)*0.475*44/12</f>
        <v>2.8333075855896522E-8</v>
      </c>
      <c r="AC124" s="22">
        <f t="shared" si="57"/>
        <v>39.578822400297597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>
        <f>AI124*VLOOKUP('Données projet'!$B$10,Paramètres!$A$1:$I$89,3,0)*VLOOKUP('Données projet'!$B$10,Paramètres!$A$1:$I$89,5,0)</f>
        <v>0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186.90544184210381</v>
      </c>
      <c r="AO124" s="59">
        <f t="shared" si="90"/>
        <v>202.05988514450519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35.552252648435697</v>
      </c>
      <c r="AV124" s="21">
        <f>EXP(-LN(2)/25)*AV123+(1-EXP(-LN(2)/25))/(LN(2)/25)*Calculateur!AQ124*Calculateur!AS124*VLOOKUP('Données projet'!$B$10,Paramètres!$A$1:$I$89,3,0)*0.475*44/12</f>
        <v>4.0265697235288265</v>
      </c>
      <c r="AW124" s="21">
        <f>EXP(-LN(2)/2)*AW123+(1-EXP(-LN(2)/2))/(LN(2)/2)*AQ124*AT124*VLOOKUP('Données projet'!$B$10,Paramètres!$A$1:$I$89,3,0)*0.475*44/12</f>
        <v>2.8333075855896522E-8</v>
      </c>
      <c r="AX124" s="21">
        <f t="shared" si="60"/>
        <v>39.578822400297597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-2.8421709430404007E-14</v>
      </c>
      <c r="BE124" s="13">
        <f>BD124*VLOOKUP('Données projet'!$B$11,Paramètres!$A$1:$I$89,3,0)*VLOOKUP('Données projet'!$B$11,Paramètres!$A$1:$I$89,5,0)</f>
        <v>-2.3055690689943732E-14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5.8584049049231908</v>
      </c>
      <c r="BJ124" s="59">
        <f t="shared" si="92"/>
        <v>42.266833200216638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6.6636858459762691E-12</v>
      </c>
      <c r="BS124" s="22">
        <f t="shared" si="63"/>
        <v>6.6636858459762691E-12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>
        <f>BY124*VLOOKUP('Données projet'!$B$12,Paramètres!$A$1:$I$89,3,0)*VLOOKUP('Données projet'!$B$12,Paramètres!$A$1:$I$89,5,0)</f>
        <v>0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0</v>
      </c>
      <c r="CE124" s="59">
        <f t="shared" si="94"/>
        <v>0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0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>
        <f>CT124*VLOOKUP('Données projet'!$B$13,Paramètres!$A$1:$I$89,3,0)*VLOOKUP('Données projet'!$B$13,Paramètres!$A$1:$I$89,5,0)</f>
        <v>0</v>
      </c>
      <c r="CV124" s="13" t="e">
        <f t="shared" si="95"/>
        <v>#NUM!</v>
      </c>
      <c r="CW124" s="20" t="e">
        <f t="shared" si="67"/>
        <v>#NUM!</v>
      </c>
      <c r="CX124" s="59" t="e">
        <f t="shared" si="68"/>
        <v>#NUM!</v>
      </c>
      <c r="CY124" s="59">
        <f ca="1">AVERAGE(OFFSET($CX$3,0,0,'Données projet'!$E$13+1,1))-AVERAGE(OFFSET($H$3,0,0,'Données projet'!$E$13+1,1))</f>
        <v>0</v>
      </c>
      <c r="CZ124" s="59">
        <f t="shared" si="96"/>
        <v>0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</v>
      </c>
      <c r="DG124" s="21">
        <f>EXP(-LN(2)/25)*DG123+(1-EXP(-LN(2)/25))/(LN(2)/25)*Calculateur!DB124*Calculateur!DD124*VLOOKUP('Données projet'!$B$13,Paramètres!$A$1:$I$89,3,0)*0.475*44/12</f>
        <v>0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0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>
        <f>DO124*VLOOKUP('Données projet'!$B$14,Paramètres!$A$1:$I$89,3,0)*VLOOKUP('Données projet'!$B$14,Paramètres!$A$1:$I$89,5,0)</f>
        <v>0</v>
      </c>
      <c r="DQ124" s="13" t="e">
        <f t="shared" si="97"/>
        <v>#NUM!</v>
      </c>
      <c r="DR124" s="20" t="e">
        <f t="shared" si="70"/>
        <v>#NUM!</v>
      </c>
      <c r="DS124" s="59" t="e">
        <f t="shared" si="71"/>
        <v>#NUM!</v>
      </c>
      <c r="DT124" s="59">
        <f ca="1">AVERAGE(OFFSET($DS$3,0,0,'Données projet'!$E$14+1,1))-AVERAGE(OFFSET($H$3,0,0,'Données projet'!$E$14+1,1))</f>
        <v>0</v>
      </c>
      <c r="DU124" s="59">
        <f t="shared" si="98"/>
        <v>0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</v>
      </c>
      <c r="EB124" s="21">
        <f>EXP(-LN(2)/25)*EB123+(1-EXP(-LN(2)/25))/(LN(2)/25)*Calculateur!DW124*Calculateur!DY124*VLOOKUP('Données projet'!$B$14,Paramètres!$A$1:$I$89,3,0)*0.475*44/12</f>
        <v>0</v>
      </c>
      <c r="EC124" s="21">
        <f>EXP(-LN(2)/2)*EC123+(1-EXP(-LN(2)/2))/(LN(2)/2)*DW124*DZ124*VLOOKUP('Données projet'!$B$14,Paramètres!$A$1:$I$89,3,0)*0.475*44/12</f>
        <v>0</v>
      </c>
      <c r="ED124" s="22">
        <f t="shared" si="72"/>
        <v>0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>
        <f>EJ124*VLOOKUP('Données projet'!$B$15,Paramètres!$A$1:$I$89,3,0)*VLOOKUP('Données projet'!$B$15,Paramètres!$A$1:$I$89,5,0)</f>
        <v>0</v>
      </c>
      <c r="EL124" s="13" t="e">
        <f t="shared" si="99"/>
        <v>#NUM!</v>
      </c>
      <c r="EM124" s="20" t="e">
        <f t="shared" si="73"/>
        <v>#NUM!</v>
      </c>
      <c r="EN124" s="59" t="e">
        <f t="shared" si="74"/>
        <v>#NUM!</v>
      </c>
      <c r="EO124" s="59">
        <f ca="1">AVERAGE(OFFSET($EN$3,0,0,'Données projet'!$E$15+1,1))-AVERAGE(OFFSET($H$3,0,0,'Données projet'!$E$15+1,1))</f>
        <v>0</v>
      </c>
      <c r="EP124" s="59">
        <f t="shared" si="100"/>
        <v>0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>
        <f>EXP(-LN(2)/35)*EV123+(1-EXP(-LN(2)/35))/(LN(2)/35)*ER124*ES124*VLOOKUP('Données projet'!$B$15,Paramètres!$A$1:$I$89,3,0)*0.475*44/12</f>
        <v>0</v>
      </c>
      <c r="EW124" s="21">
        <f>EXP(-LN(2)/25)*EW123+(1-EXP(-LN(2)/25))/(LN(2)/25)*Calculateur!ER124*Calculateur!ET124*VLOOKUP('Données projet'!$B$15,Paramètres!$A$1:$I$89,3,0)*0.475*44/12</f>
        <v>0</v>
      </c>
      <c r="EX124" s="21">
        <f>EXP(-LN(2)/2)*EX123+(1-EXP(-LN(2)/2))/(LN(2)/2)*ER124*EU124*VLOOKUP('Données projet'!$B$15,Paramètres!$A$1:$I$89,3,0)*0.475*44/12</f>
        <v>0</v>
      </c>
      <c r="EY124" s="22">
        <f t="shared" si="75"/>
        <v>0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>
        <f>FE124*VLOOKUP('Données projet'!$B$16,Paramètres!$A$1:$I$89,3,0)*VLOOKUP('Données projet'!$B$16,Paramètres!$A$1:$I$89,5,0)</f>
        <v>0</v>
      </c>
      <c r="FG124" s="13" t="e">
        <f t="shared" si="101"/>
        <v>#NUM!</v>
      </c>
      <c r="FH124" s="20" t="e">
        <f t="shared" si="76"/>
        <v>#NUM!</v>
      </c>
      <c r="FI124" s="59" t="e">
        <f t="shared" si="77"/>
        <v>#NUM!</v>
      </c>
      <c r="FJ124" s="59">
        <f ca="1">AVERAGE(OFFSET($FI$3,0,0,'Données projet'!$E$16+1,1))-AVERAGE(OFFSET($H$3,0,0,'Données projet'!$E$16+1,1))</f>
        <v>0</v>
      </c>
      <c r="FK124" s="59">
        <f t="shared" si="102"/>
        <v>0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>
        <f>EXP(-LN(2)/35)*FQ123+(1-EXP(-LN(2)/35))/(LN(2)/35)*FM124*FN124*VLOOKUP('Données projet'!$B$16,Paramètres!$A$1:$I$89,3,0)*0.475*44/12</f>
        <v>0</v>
      </c>
      <c r="FR124" s="21">
        <f>EXP(-LN(2)/25)*FR123+(1-EXP(-LN(2)/25))/(LN(2)/25)*Calculateur!FM124*Calculateur!FO124*VLOOKUP('Données projet'!$B$16,Paramètres!$A$1:$I$89,3,0)*0.475*44/12</f>
        <v>0</v>
      </c>
      <c r="FS124" s="21">
        <f>EXP(-LN(2)/2)*FS123+(1-EXP(-LN(2)/2))/(LN(2)/2)*FM124*FP124*VLOOKUP('Données projet'!$B$16,Paramètres!$A$1:$I$89,3,0)*0.475*44/12</f>
        <v>0</v>
      </c>
      <c r="FT124" s="22">
        <f t="shared" si="78"/>
        <v>0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56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186.90544184210381</v>
      </c>
      <c r="T125" s="59">
        <f t="shared" si="88"/>
        <v>202.05988514450519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34.855094658732803</v>
      </c>
      <c r="AA125" s="21">
        <f>EXP(-LN(2)/25)*AA124+(1-EXP(-LN(2)/25))/(LN(2)/25)*Calculateur!V125*Calculateur!X125*VLOOKUP('Données projet'!$B$9,Paramètres!$A$1:$I$89,3,0)*0.475*44/12</f>
        <v>3.9164629626908316</v>
      </c>
      <c r="AB125" s="21">
        <f>EXP(-LN(2)/2)*AB124+(1-EXP(-LN(2)/2))/(LN(2)/2)*V125*Y125*VLOOKUP('Données projet'!$B$9,Paramètres!$A$1:$I$89,3,0)*0.475*44/12</f>
        <v>2.0034510069577275E-8</v>
      </c>
      <c r="AC125" s="22">
        <f t="shared" si="57"/>
        <v>38.771557641458145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>
        <f>AI125*VLOOKUP('Données projet'!$B$10,Paramètres!$A$1:$I$89,3,0)*VLOOKUP('Données projet'!$B$10,Paramètres!$A$1:$I$89,5,0)</f>
        <v>0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186.90544184210381</v>
      </c>
      <c r="AO125" s="59">
        <f t="shared" si="90"/>
        <v>202.05988514450519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34.855094658732803</v>
      </c>
      <c r="AV125" s="21">
        <f>EXP(-LN(2)/25)*AV124+(1-EXP(-LN(2)/25))/(LN(2)/25)*Calculateur!AQ125*Calculateur!AS125*VLOOKUP('Données projet'!$B$10,Paramètres!$A$1:$I$89,3,0)*0.475*44/12</f>
        <v>3.9164629626908316</v>
      </c>
      <c r="AW125" s="21">
        <f>EXP(-LN(2)/2)*AW124+(1-EXP(-LN(2)/2))/(LN(2)/2)*AQ125*AT125*VLOOKUP('Données projet'!$B$10,Paramètres!$A$1:$I$89,3,0)*0.475*44/12</f>
        <v>2.0034510069577275E-8</v>
      </c>
      <c r="AX125" s="21">
        <f t="shared" si="60"/>
        <v>38.771557641458145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-2.8421709430404007E-14</v>
      </c>
      <c r="BE125" s="13">
        <f>BD125*VLOOKUP('Données projet'!$B$11,Paramètres!$A$1:$I$89,3,0)*VLOOKUP('Données projet'!$B$11,Paramètres!$A$1:$I$89,5,0)</f>
        <v>-2.3055690689943732E-14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5.8584049049231908</v>
      </c>
      <c r="BJ125" s="59">
        <f t="shared" si="92"/>
        <v>42.266833200216638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4.7119374493866354E-12</v>
      </c>
      <c r="BS125" s="22">
        <f t="shared" si="63"/>
        <v>4.7119374493866354E-12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>
        <f>BY125*VLOOKUP('Données projet'!$B$12,Paramètres!$A$1:$I$89,3,0)*VLOOKUP('Données projet'!$B$12,Paramètres!$A$1:$I$89,5,0)</f>
        <v>0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0</v>
      </c>
      <c r="CE125" s="59">
        <f t="shared" si="94"/>
        <v>0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0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>
        <f>CT125*VLOOKUP('Données projet'!$B$13,Paramètres!$A$1:$I$89,3,0)*VLOOKUP('Données projet'!$B$13,Paramètres!$A$1:$I$89,5,0)</f>
        <v>0</v>
      </c>
      <c r="CV125" s="13" t="e">
        <f t="shared" si="95"/>
        <v>#NUM!</v>
      </c>
      <c r="CW125" s="20" t="e">
        <f t="shared" si="67"/>
        <v>#NUM!</v>
      </c>
      <c r="CX125" s="59" t="e">
        <f t="shared" si="68"/>
        <v>#NUM!</v>
      </c>
      <c r="CY125" s="59">
        <f ca="1">AVERAGE(OFFSET($CX$3,0,0,'Données projet'!$E$13+1,1))-AVERAGE(OFFSET($H$3,0,0,'Données projet'!$E$13+1,1))</f>
        <v>0</v>
      </c>
      <c r="CZ125" s="59">
        <f t="shared" si="96"/>
        <v>0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</v>
      </c>
      <c r="DG125" s="21">
        <f>EXP(-LN(2)/25)*DG124+(1-EXP(-LN(2)/25))/(LN(2)/25)*Calculateur!DB125*Calculateur!DD125*VLOOKUP('Données projet'!$B$13,Paramètres!$A$1:$I$89,3,0)*0.475*44/12</f>
        <v>0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0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>
        <f>DO125*VLOOKUP('Données projet'!$B$14,Paramètres!$A$1:$I$89,3,0)*VLOOKUP('Données projet'!$B$14,Paramètres!$A$1:$I$89,5,0)</f>
        <v>0</v>
      </c>
      <c r="DQ125" s="13" t="e">
        <f t="shared" si="97"/>
        <v>#NUM!</v>
      </c>
      <c r="DR125" s="20" t="e">
        <f t="shared" si="70"/>
        <v>#NUM!</v>
      </c>
      <c r="DS125" s="59" t="e">
        <f t="shared" si="71"/>
        <v>#NUM!</v>
      </c>
      <c r="DT125" s="59">
        <f ca="1">AVERAGE(OFFSET($DS$3,0,0,'Données projet'!$E$14+1,1))-AVERAGE(OFFSET($H$3,0,0,'Données projet'!$E$14+1,1))</f>
        <v>0</v>
      </c>
      <c r="DU125" s="59">
        <f t="shared" si="98"/>
        <v>0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</v>
      </c>
      <c r="EB125" s="21">
        <f>EXP(-LN(2)/25)*EB124+(1-EXP(-LN(2)/25))/(LN(2)/25)*Calculateur!DW125*Calculateur!DY125*VLOOKUP('Données projet'!$B$14,Paramètres!$A$1:$I$89,3,0)*0.475*44/12</f>
        <v>0</v>
      </c>
      <c r="EC125" s="21">
        <f>EXP(-LN(2)/2)*EC124+(1-EXP(-LN(2)/2))/(LN(2)/2)*DW125*DZ125*VLOOKUP('Données projet'!$B$14,Paramètres!$A$1:$I$89,3,0)*0.475*44/12</f>
        <v>0</v>
      </c>
      <c r="ED125" s="22">
        <f t="shared" si="72"/>
        <v>0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>
        <f>EJ125*VLOOKUP('Données projet'!$B$15,Paramètres!$A$1:$I$89,3,0)*VLOOKUP('Données projet'!$B$15,Paramètres!$A$1:$I$89,5,0)</f>
        <v>0</v>
      </c>
      <c r="EL125" s="13" t="e">
        <f t="shared" si="99"/>
        <v>#NUM!</v>
      </c>
      <c r="EM125" s="20" t="e">
        <f t="shared" si="73"/>
        <v>#NUM!</v>
      </c>
      <c r="EN125" s="59" t="e">
        <f t="shared" si="74"/>
        <v>#NUM!</v>
      </c>
      <c r="EO125" s="59">
        <f ca="1">AVERAGE(OFFSET($EN$3,0,0,'Données projet'!$E$15+1,1))-AVERAGE(OFFSET($H$3,0,0,'Données projet'!$E$15+1,1))</f>
        <v>0</v>
      </c>
      <c r="EP125" s="59">
        <f t="shared" si="100"/>
        <v>0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>
        <f>EXP(-LN(2)/35)*EV124+(1-EXP(-LN(2)/35))/(LN(2)/35)*ER125*ES125*VLOOKUP('Données projet'!$B$15,Paramètres!$A$1:$I$89,3,0)*0.475*44/12</f>
        <v>0</v>
      </c>
      <c r="EW125" s="21">
        <f>EXP(-LN(2)/25)*EW124+(1-EXP(-LN(2)/25))/(LN(2)/25)*Calculateur!ER125*Calculateur!ET125*VLOOKUP('Données projet'!$B$15,Paramètres!$A$1:$I$89,3,0)*0.475*44/12</f>
        <v>0</v>
      </c>
      <c r="EX125" s="21">
        <f>EXP(-LN(2)/2)*EX124+(1-EXP(-LN(2)/2))/(LN(2)/2)*ER125*EU125*VLOOKUP('Données projet'!$B$15,Paramètres!$A$1:$I$89,3,0)*0.475*44/12</f>
        <v>0</v>
      </c>
      <c r="EY125" s="22">
        <f t="shared" si="75"/>
        <v>0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>
        <f>FE125*VLOOKUP('Données projet'!$B$16,Paramètres!$A$1:$I$89,3,0)*VLOOKUP('Données projet'!$B$16,Paramètres!$A$1:$I$89,5,0)</f>
        <v>0</v>
      </c>
      <c r="FG125" s="13" t="e">
        <f t="shared" si="101"/>
        <v>#NUM!</v>
      </c>
      <c r="FH125" s="20" t="e">
        <f t="shared" si="76"/>
        <v>#NUM!</v>
      </c>
      <c r="FI125" s="59" t="e">
        <f t="shared" si="77"/>
        <v>#NUM!</v>
      </c>
      <c r="FJ125" s="59">
        <f ca="1">AVERAGE(OFFSET($FI$3,0,0,'Données projet'!$E$16+1,1))-AVERAGE(OFFSET($H$3,0,0,'Données projet'!$E$16+1,1))</f>
        <v>0</v>
      </c>
      <c r="FK125" s="59">
        <f t="shared" si="102"/>
        <v>0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>
        <f>EXP(-LN(2)/35)*FQ124+(1-EXP(-LN(2)/35))/(LN(2)/35)*FM125*FN125*VLOOKUP('Données projet'!$B$16,Paramètres!$A$1:$I$89,3,0)*0.475*44/12</f>
        <v>0</v>
      </c>
      <c r="FR125" s="21">
        <f>EXP(-LN(2)/25)*FR124+(1-EXP(-LN(2)/25))/(LN(2)/25)*Calculateur!FM125*Calculateur!FO125*VLOOKUP('Données projet'!$B$16,Paramètres!$A$1:$I$89,3,0)*0.475*44/12</f>
        <v>0</v>
      </c>
      <c r="FS125" s="21">
        <f>EXP(-LN(2)/2)*FS124+(1-EXP(-LN(2)/2))/(LN(2)/2)*FM125*FP125*VLOOKUP('Données projet'!$B$16,Paramètres!$A$1:$I$89,3,0)*0.475*44/12</f>
        <v>0</v>
      </c>
      <c r="FT125" s="22">
        <f t="shared" si="78"/>
        <v>0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56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186.90544184210381</v>
      </c>
      <c r="T126" s="59">
        <f t="shared" si="88"/>
        <v>202.05988514450519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34.171607511983595</v>
      </c>
      <c r="AA126" s="21">
        <f>EXP(-LN(2)/25)*AA125+(1-EXP(-LN(2)/25))/(LN(2)/25)*Calculateur!V126*Calculateur!X126*VLOOKUP('Données projet'!$B$9,Paramètres!$A$1:$I$89,3,0)*0.475*44/12</f>
        <v>3.8093670770182149</v>
      </c>
      <c r="AB126" s="21">
        <f>EXP(-LN(2)/2)*AB125+(1-EXP(-LN(2)/2))/(LN(2)/2)*V126*Y126*VLOOKUP('Données projet'!$B$9,Paramètres!$A$1:$I$89,3,0)*0.475*44/12</f>
        <v>1.4166537927948261E-8</v>
      </c>
      <c r="AC126" s="22">
        <f t="shared" si="57"/>
        <v>37.980974603168349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>
        <f>AI126*VLOOKUP('Données projet'!$B$10,Paramètres!$A$1:$I$89,3,0)*VLOOKUP('Données projet'!$B$10,Paramètres!$A$1:$I$89,5,0)</f>
        <v>0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186.90544184210381</v>
      </c>
      <c r="AO126" s="59">
        <f t="shared" si="90"/>
        <v>202.05988514450519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34.171607511983595</v>
      </c>
      <c r="AV126" s="21">
        <f>EXP(-LN(2)/25)*AV125+(1-EXP(-LN(2)/25))/(LN(2)/25)*Calculateur!AQ126*Calculateur!AS126*VLOOKUP('Données projet'!$B$10,Paramètres!$A$1:$I$89,3,0)*0.475*44/12</f>
        <v>3.8093670770182149</v>
      </c>
      <c r="AW126" s="21">
        <f>EXP(-LN(2)/2)*AW125+(1-EXP(-LN(2)/2))/(LN(2)/2)*AQ126*AT126*VLOOKUP('Données projet'!$B$10,Paramètres!$A$1:$I$89,3,0)*0.475*44/12</f>
        <v>1.4166537927948261E-8</v>
      </c>
      <c r="AX126" s="21">
        <f t="shared" si="60"/>
        <v>37.980974603168349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-2.8421709430404007E-14</v>
      </c>
      <c r="BE126" s="13">
        <f>BD126*VLOOKUP('Données projet'!$B$11,Paramètres!$A$1:$I$89,3,0)*VLOOKUP('Données projet'!$B$11,Paramètres!$A$1:$I$89,5,0)</f>
        <v>-2.3055690689943732E-14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5.8584049049231908</v>
      </c>
      <c r="BJ126" s="59">
        <f t="shared" si="92"/>
        <v>42.266833200216638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3.3318429229881345E-12</v>
      </c>
      <c r="BS126" s="22">
        <f t="shared" si="63"/>
        <v>3.3318429229881345E-12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>
        <f>BY126*VLOOKUP('Données projet'!$B$12,Paramètres!$A$1:$I$89,3,0)*VLOOKUP('Données projet'!$B$12,Paramètres!$A$1:$I$89,5,0)</f>
        <v>0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0</v>
      </c>
      <c r="CE126" s="59">
        <f t="shared" si="94"/>
        <v>0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0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>
        <f>CT126*VLOOKUP('Données projet'!$B$13,Paramètres!$A$1:$I$89,3,0)*VLOOKUP('Données projet'!$B$13,Paramètres!$A$1:$I$89,5,0)</f>
        <v>0</v>
      </c>
      <c r="CV126" s="13" t="e">
        <f t="shared" si="95"/>
        <v>#NUM!</v>
      </c>
      <c r="CW126" s="20" t="e">
        <f t="shared" si="67"/>
        <v>#NUM!</v>
      </c>
      <c r="CX126" s="59" t="e">
        <f t="shared" si="68"/>
        <v>#NUM!</v>
      </c>
      <c r="CY126" s="59">
        <f ca="1">AVERAGE(OFFSET($CX$3,0,0,'Données projet'!$E$13+1,1))-AVERAGE(OFFSET($H$3,0,0,'Données projet'!$E$13+1,1))</f>
        <v>0</v>
      </c>
      <c r="CZ126" s="59">
        <f t="shared" si="96"/>
        <v>0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</v>
      </c>
      <c r="DG126" s="21">
        <f>EXP(-LN(2)/25)*DG125+(1-EXP(-LN(2)/25))/(LN(2)/25)*Calculateur!DB126*Calculateur!DD126*VLOOKUP('Données projet'!$B$13,Paramètres!$A$1:$I$89,3,0)*0.475*44/12</f>
        <v>0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0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>
        <f>DO126*VLOOKUP('Données projet'!$B$14,Paramètres!$A$1:$I$89,3,0)*VLOOKUP('Données projet'!$B$14,Paramètres!$A$1:$I$89,5,0)</f>
        <v>0</v>
      </c>
      <c r="DQ126" s="13" t="e">
        <f t="shared" si="97"/>
        <v>#NUM!</v>
      </c>
      <c r="DR126" s="20" t="e">
        <f t="shared" si="70"/>
        <v>#NUM!</v>
      </c>
      <c r="DS126" s="59" t="e">
        <f t="shared" si="71"/>
        <v>#NUM!</v>
      </c>
      <c r="DT126" s="59">
        <f ca="1">AVERAGE(OFFSET($DS$3,0,0,'Données projet'!$E$14+1,1))-AVERAGE(OFFSET($H$3,0,0,'Données projet'!$E$14+1,1))</f>
        <v>0</v>
      </c>
      <c r="DU126" s="59">
        <f t="shared" si="98"/>
        <v>0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</v>
      </c>
      <c r="EB126" s="21">
        <f>EXP(-LN(2)/25)*EB125+(1-EXP(-LN(2)/25))/(LN(2)/25)*Calculateur!DW126*Calculateur!DY126*VLOOKUP('Données projet'!$B$14,Paramètres!$A$1:$I$89,3,0)*0.475*44/12</f>
        <v>0</v>
      </c>
      <c r="EC126" s="21">
        <f>EXP(-LN(2)/2)*EC125+(1-EXP(-LN(2)/2))/(LN(2)/2)*DW126*DZ126*VLOOKUP('Données projet'!$B$14,Paramètres!$A$1:$I$89,3,0)*0.475*44/12</f>
        <v>0</v>
      </c>
      <c r="ED126" s="22">
        <f t="shared" si="72"/>
        <v>0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>
        <f>EJ126*VLOOKUP('Données projet'!$B$15,Paramètres!$A$1:$I$89,3,0)*VLOOKUP('Données projet'!$B$15,Paramètres!$A$1:$I$89,5,0)</f>
        <v>0</v>
      </c>
      <c r="EL126" s="13" t="e">
        <f t="shared" si="99"/>
        <v>#NUM!</v>
      </c>
      <c r="EM126" s="20" t="e">
        <f t="shared" si="73"/>
        <v>#NUM!</v>
      </c>
      <c r="EN126" s="59" t="e">
        <f t="shared" si="74"/>
        <v>#NUM!</v>
      </c>
      <c r="EO126" s="59">
        <f ca="1">AVERAGE(OFFSET($EN$3,0,0,'Données projet'!$E$15+1,1))-AVERAGE(OFFSET($H$3,0,0,'Données projet'!$E$15+1,1))</f>
        <v>0</v>
      </c>
      <c r="EP126" s="59">
        <f t="shared" si="100"/>
        <v>0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>
        <f>EXP(-LN(2)/35)*EV125+(1-EXP(-LN(2)/35))/(LN(2)/35)*ER126*ES126*VLOOKUP('Données projet'!$B$15,Paramètres!$A$1:$I$89,3,0)*0.475*44/12</f>
        <v>0</v>
      </c>
      <c r="EW126" s="21">
        <f>EXP(-LN(2)/25)*EW125+(1-EXP(-LN(2)/25))/(LN(2)/25)*Calculateur!ER126*Calculateur!ET126*VLOOKUP('Données projet'!$B$15,Paramètres!$A$1:$I$89,3,0)*0.475*44/12</f>
        <v>0</v>
      </c>
      <c r="EX126" s="21">
        <f>EXP(-LN(2)/2)*EX125+(1-EXP(-LN(2)/2))/(LN(2)/2)*ER126*EU126*VLOOKUP('Données projet'!$B$15,Paramètres!$A$1:$I$89,3,0)*0.475*44/12</f>
        <v>0</v>
      </c>
      <c r="EY126" s="22">
        <f t="shared" si="75"/>
        <v>0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>
        <f>FE126*VLOOKUP('Données projet'!$B$16,Paramètres!$A$1:$I$89,3,0)*VLOOKUP('Données projet'!$B$16,Paramètres!$A$1:$I$89,5,0)</f>
        <v>0</v>
      </c>
      <c r="FG126" s="13" t="e">
        <f t="shared" si="101"/>
        <v>#NUM!</v>
      </c>
      <c r="FH126" s="20" t="e">
        <f t="shared" si="76"/>
        <v>#NUM!</v>
      </c>
      <c r="FI126" s="59" t="e">
        <f t="shared" si="77"/>
        <v>#NUM!</v>
      </c>
      <c r="FJ126" s="59">
        <f ca="1">AVERAGE(OFFSET($FI$3,0,0,'Données projet'!$E$16+1,1))-AVERAGE(OFFSET($H$3,0,0,'Données projet'!$E$16+1,1))</f>
        <v>0</v>
      </c>
      <c r="FK126" s="59">
        <f t="shared" si="102"/>
        <v>0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>
        <f>EXP(-LN(2)/35)*FQ125+(1-EXP(-LN(2)/35))/(LN(2)/35)*FM126*FN126*VLOOKUP('Données projet'!$B$16,Paramètres!$A$1:$I$89,3,0)*0.475*44/12</f>
        <v>0</v>
      </c>
      <c r="FR126" s="21">
        <f>EXP(-LN(2)/25)*FR125+(1-EXP(-LN(2)/25))/(LN(2)/25)*Calculateur!FM126*Calculateur!FO126*VLOOKUP('Données projet'!$B$16,Paramètres!$A$1:$I$89,3,0)*0.475*44/12</f>
        <v>0</v>
      </c>
      <c r="FS126" s="21">
        <f>EXP(-LN(2)/2)*FS125+(1-EXP(-LN(2)/2))/(LN(2)/2)*FM126*FP126*VLOOKUP('Données projet'!$B$16,Paramètres!$A$1:$I$89,3,0)*0.475*44/12</f>
        <v>0</v>
      </c>
      <c r="FT126" s="22">
        <f t="shared" si="78"/>
        <v>0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56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186.90544184210381</v>
      </c>
      <c r="T127" s="59">
        <f t="shared" si="88"/>
        <v>202.05988514450519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33.501523131296139</v>
      </c>
      <c r="AA127" s="21">
        <f>EXP(-LN(2)/25)*AA126+(1-EXP(-LN(2)/25))/(LN(2)/25)*Calculateur!V127*Calculateur!X127*VLOOKUP('Données projet'!$B$9,Paramètres!$A$1:$I$89,3,0)*0.475*44/12</f>
        <v>3.7051997339712437</v>
      </c>
      <c r="AB127" s="21">
        <f>EXP(-LN(2)/2)*AB126+(1-EXP(-LN(2)/2))/(LN(2)/2)*V127*Y127*VLOOKUP('Données projet'!$B$9,Paramètres!$A$1:$I$89,3,0)*0.475*44/12</f>
        <v>1.0017255034788637E-8</v>
      </c>
      <c r="AC127" s="22">
        <f t="shared" si="57"/>
        <v>37.206722875284633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>
        <f>AI127*VLOOKUP('Données projet'!$B$10,Paramètres!$A$1:$I$89,3,0)*VLOOKUP('Données projet'!$B$10,Paramètres!$A$1:$I$89,5,0)</f>
        <v>0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186.90544184210381</v>
      </c>
      <c r="AO127" s="59">
        <f t="shared" si="90"/>
        <v>202.05988514450519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33.501523131296139</v>
      </c>
      <c r="AV127" s="21">
        <f>EXP(-LN(2)/25)*AV126+(1-EXP(-LN(2)/25))/(LN(2)/25)*Calculateur!AQ127*Calculateur!AS127*VLOOKUP('Données projet'!$B$10,Paramètres!$A$1:$I$89,3,0)*0.475*44/12</f>
        <v>3.7051997339712437</v>
      </c>
      <c r="AW127" s="21">
        <f>EXP(-LN(2)/2)*AW126+(1-EXP(-LN(2)/2))/(LN(2)/2)*AQ127*AT127*VLOOKUP('Données projet'!$B$10,Paramètres!$A$1:$I$89,3,0)*0.475*44/12</f>
        <v>1.0017255034788637E-8</v>
      </c>
      <c r="AX127" s="21">
        <f t="shared" si="60"/>
        <v>37.206722875284633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-2.8421709430404007E-14</v>
      </c>
      <c r="BE127" s="13">
        <f>BD127*VLOOKUP('Données projet'!$B$11,Paramètres!$A$1:$I$89,3,0)*VLOOKUP('Données projet'!$B$11,Paramètres!$A$1:$I$89,5,0)</f>
        <v>-2.3055690689943732E-14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5.8584049049231908</v>
      </c>
      <c r="BJ127" s="59">
        <f t="shared" si="92"/>
        <v>42.266833200216638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2.3559687246933177E-12</v>
      </c>
      <c r="BS127" s="22">
        <f t="shared" si="63"/>
        <v>2.3559687246933177E-12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>
        <f>BY127*VLOOKUP('Données projet'!$B$12,Paramètres!$A$1:$I$89,3,0)*VLOOKUP('Données projet'!$B$12,Paramètres!$A$1:$I$89,5,0)</f>
        <v>0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0</v>
      </c>
      <c r="CE127" s="59">
        <f t="shared" si="94"/>
        <v>0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0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>
        <f>CT127*VLOOKUP('Données projet'!$B$13,Paramètres!$A$1:$I$89,3,0)*VLOOKUP('Données projet'!$B$13,Paramètres!$A$1:$I$89,5,0)</f>
        <v>0</v>
      </c>
      <c r="CV127" s="13" t="e">
        <f t="shared" si="95"/>
        <v>#NUM!</v>
      </c>
      <c r="CW127" s="20" t="e">
        <f t="shared" si="67"/>
        <v>#NUM!</v>
      </c>
      <c r="CX127" s="59" t="e">
        <f t="shared" si="68"/>
        <v>#NUM!</v>
      </c>
      <c r="CY127" s="59">
        <f ca="1">AVERAGE(OFFSET($CX$3,0,0,'Données projet'!$E$13+1,1))-AVERAGE(OFFSET($H$3,0,0,'Données projet'!$E$13+1,1))</f>
        <v>0</v>
      </c>
      <c r="CZ127" s="59">
        <f t="shared" si="96"/>
        <v>0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</v>
      </c>
      <c r="DG127" s="21">
        <f>EXP(-LN(2)/25)*DG126+(1-EXP(-LN(2)/25))/(LN(2)/25)*Calculateur!DB127*Calculateur!DD127*VLOOKUP('Données projet'!$B$13,Paramètres!$A$1:$I$89,3,0)*0.475*44/12</f>
        <v>0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0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>
        <f>DO127*VLOOKUP('Données projet'!$B$14,Paramètres!$A$1:$I$89,3,0)*VLOOKUP('Données projet'!$B$14,Paramètres!$A$1:$I$89,5,0)</f>
        <v>0</v>
      </c>
      <c r="DQ127" s="13" t="e">
        <f t="shared" si="97"/>
        <v>#NUM!</v>
      </c>
      <c r="DR127" s="20" t="e">
        <f t="shared" si="70"/>
        <v>#NUM!</v>
      </c>
      <c r="DS127" s="59" t="e">
        <f t="shared" si="71"/>
        <v>#NUM!</v>
      </c>
      <c r="DT127" s="59">
        <f ca="1">AVERAGE(OFFSET($DS$3,0,0,'Données projet'!$E$14+1,1))-AVERAGE(OFFSET($H$3,0,0,'Données projet'!$E$14+1,1))</f>
        <v>0</v>
      </c>
      <c r="DU127" s="59">
        <f t="shared" si="98"/>
        <v>0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</v>
      </c>
      <c r="EB127" s="21">
        <f>EXP(-LN(2)/25)*EB126+(1-EXP(-LN(2)/25))/(LN(2)/25)*Calculateur!DW127*Calculateur!DY127*VLOOKUP('Données projet'!$B$14,Paramètres!$A$1:$I$89,3,0)*0.475*44/12</f>
        <v>0</v>
      </c>
      <c r="EC127" s="21">
        <f>EXP(-LN(2)/2)*EC126+(1-EXP(-LN(2)/2))/(LN(2)/2)*DW127*DZ127*VLOOKUP('Données projet'!$B$14,Paramètres!$A$1:$I$89,3,0)*0.475*44/12</f>
        <v>0</v>
      </c>
      <c r="ED127" s="22">
        <f t="shared" si="72"/>
        <v>0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>
        <f>EJ127*VLOOKUP('Données projet'!$B$15,Paramètres!$A$1:$I$89,3,0)*VLOOKUP('Données projet'!$B$15,Paramètres!$A$1:$I$89,5,0)</f>
        <v>0</v>
      </c>
      <c r="EL127" s="13" t="e">
        <f t="shared" si="99"/>
        <v>#NUM!</v>
      </c>
      <c r="EM127" s="20" t="e">
        <f t="shared" si="73"/>
        <v>#NUM!</v>
      </c>
      <c r="EN127" s="59" t="e">
        <f t="shared" si="74"/>
        <v>#NUM!</v>
      </c>
      <c r="EO127" s="59">
        <f ca="1">AVERAGE(OFFSET($EN$3,0,0,'Données projet'!$E$15+1,1))-AVERAGE(OFFSET($H$3,0,0,'Données projet'!$E$15+1,1))</f>
        <v>0</v>
      </c>
      <c r="EP127" s="59">
        <f t="shared" si="100"/>
        <v>0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>
        <f>EXP(-LN(2)/35)*EV126+(1-EXP(-LN(2)/35))/(LN(2)/35)*ER127*ES127*VLOOKUP('Données projet'!$B$15,Paramètres!$A$1:$I$89,3,0)*0.475*44/12</f>
        <v>0</v>
      </c>
      <c r="EW127" s="21">
        <f>EXP(-LN(2)/25)*EW126+(1-EXP(-LN(2)/25))/(LN(2)/25)*Calculateur!ER127*Calculateur!ET127*VLOOKUP('Données projet'!$B$15,Paramètres!$A$1:$I$89,3,0)*0.475*44/12</f>
        <v>0</v>
      </c>
      <c r="EX127" s="21">
        <f>EXP(-LN(2)/2)*EX126+(1-EXP(-LN(2)/2))/(LN(2)/2)*ER127*EU127*VLOOKUP('Données projet'!$B$15,Paramètres!$A$1:$I$89,3,0)*0.475*44/12</f>
        <v>0</v>
      </c>
      <c r="EY127" s="22">
        <f t="shared" si="75"/>
        <v>0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>
        <f>FE127*VLOOKUP('Données projet'!$B$16,Paramètres!$A$1:$I$89,3,0)*VLOOKUP('Données projet'!$B$16,Paramètres!$A$1:$I$89,5,0)</f>
        <v>0</v>
      </c>
      <c r="FG127" s="13" t="e">
        <f t="shared" si="101"/>
        <v>#NUM!</v>
      </c>
      <c r="FH127" s="20" t="e">
        <f t="shared" si="76"/>
        <v>#NUM!</v>
      </c>
      <c r="FI127" s="59" t="e">
        <f t="shared" si="77"/>
        <v>#NUM!</v>
      </c>
      <c r="FJ127" s="59">
        <f ca="1">AVERAGE(OFFSET($FI$3,0,0,'Données projet'!$E$16+1,1))-AVERAGE(OFFSET($H$3,0,0,'Données projet'!$E$16+1,1))</f>
        <v>0</v>
      </c>
      <c r="FK127" s="59">
        <f t="shared" si="102"/>
        <v>0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>
        <f>EXP(-LN(2)/35)*FQ126+(1-EXP(-LN(2)/35))/(LN(2)/35)*FM127*FN127*VLOOKUP('Données projet'!$B$16,Paramètres!$A$1:$I$89,3,0)*0.475*44/12</f>
        <v>0</v>
      </c>
      <c r="FR127" s="21">
        <f>EXP(-LN(2)/25)*FR126+(1-EXP(-LN(2)/25))/(LN(2)/25)*Calculateur!FM127*Calculateur!FO127*VLOOKUP('Données projet'!$B$16,Paramètres!$A$1:$I$89,3,0)*0.475*44/12</f>
        <v>0</v>
      </c>
      <c r="FS127" s="21">
        <f>EXP(-LN(2)/2)*FS126+(1-EXP(-LN(2)/2))/(LN(2)/2)*FM127*FP127*VLOOKUP('Données projet'!$B$16,Paramètres!$A$1:$I$89,3,0)*0.475*44/12</f>
        <v>0</v>
      </c>
      <c r="FT127" s="22">
        <f t="shared" si="78"/>
        <v>0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56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186.90544184210381</v>
      </c>
      <c r="T128" s="59">
        <f t="shared" si="88"/>
        <v>202.05988514450519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32.844578696602852</v>
      </c>
      <c r="AA128" s="21">
        <f>EXP(-LN(2)/25)*AA127+(1-EXP(-LN(2)/25))/(LN(2)/25)*Calculateur!V128*Calculateur!X128*VLOOKUP('Données projet'!$B$9,Paramètres!$A$1:$I$89,3,0)*0.475*44/12</f>
        <v>3.6038808523978143</v>
      </c>
      <c r="AB128" s="21">
        <f>EXP(-LN(2)/2)*AB127+(1-EXP(-LN(2)/2))/(LN(2)/2)*V128*Y128*VLOOKUP('Données projet'!$B$9,Paramètres!$A$1:$I$89,3,0)*0.475*44/12</f>
        <v>7.0832689639741305E-9</v>
      </c>
      <c r="AC128" s="22">
        <f t="shared" si="57"/>
        <v>36.448459556083932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>
        <f>AI128*VLOOKUP('Données projet'!$B$10,Paramètres!$A$1:$I$89,3,0)*VLOOKUP('Données projet'!$B$10,Paramètres!$A$1:$I$89,5,0)</f>
        <v>0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186.90544184210381</v>
      </c>
      <c r="AO128" s="59">
        <f t="shared" si="90"/>
        <v>202.05988514450519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32.844578696602852</v>
      </c>
      <c r="AV128" s="21">
        <f>EXP(-LN(2)/25)*AV127+(1-EXP(-LN(2)/25))/(LN(2)/25)*Calculateur!AQ128*Calculateur!AS128*VLOOKUP('Données projet'!$B$10,Paramètres!$A$1:$I$89,3,0)*0.475*44/12</f>
        <v>3.6038808523978143</v>
      </c>
      <c r="AW128" s="21">
        <f>EXP(-LN(2)/2)*AW127+(1-EXP(-LN(2)/2))/(LN(2)/2)*AQ128*AT128*VLOOKUP('Données projet'!$B$10,Paramètres!$A$1:$I$89,3,0)*0.475*44/12</f>
        <v>7.0832689639741305E-9</v>
      </c>
      <c r="AX128" s="21">
        <f t="shared" si="60"/>
        <v>36.448459556083932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-2.8421709430404007E-14</v>
      </c>
      <c r="BE128" s="13">
        <f>BD128*VLOOKUP('Données projet'!$B$11,Paramètres!$A$1:$I$89,3,0)*VLOOKUP('Données projet'!$B$11,Paramètres!$A$1:$I$89,5,0)</f>
        <v>-2.3055690689943732E-14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5.8584049049231908</v>
      </c>
      <c r="BJ128" s="59">
        <f t="shared" si="92"/>
        <v>42.266833200216638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1.6659214614940673E-12</v>
      </c>
      <c r="BS128" s="22">
        <f t="shared" si="63"/>
        <v>1.6659214614940673E-12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>
        <f>BY128*VLOOKUP('Données projet'!$B$12,Paramètres!$A$1:$I$89,3,0)*VLOOKUP('Données projet'!$B$12,Paramètres!$A$1:$I$89,5,0)</f>
        <v>0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0</v>
      </c>
      <c r="CE128" s="59">
        <f t="shared" si="94"/>
        <v>0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0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>
        <f>CT128*VLOOKUP('Données projet'!$B$13,Paramètres!$A$1:$I$89,3,0)*VLOOKUP('Données projet'!$B$13,Paramètres!$A$1:$I$89,5,0)</f>
        <v>0</v>
      </c>
      <c r="CV128" s="13" t="e">
        <f t="shared" si="95"/>
        <v>#NUM!</v>
      </c>
      <c r="CW128" s="20" t="e">
        <f t="shared" si="67"/>
        <v>#NUM!</v>
      </c>
      <c r="CX128" s="59" t="e">
        <f t="shared" si="68"/>
        <v>#NUM!</v>
      </c>
      <c r="CY128" s="59">
        <f ca="1">AVERAGE(OFFSET($CX$3,0,0,'Données projet'!$E$13+1,1))-AVERAGE(OFFSET($H$3,0,0,'Données projet'!$E$13+1,1))</f>
        <v>0</v>
      </c>
      <c r="CZ128" s="59">
        <f t="shared" si="96"/>
        <v>0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</v>
      </c>
      <c r="DG128" s="21">
        <f>EXP(-LN(2)/25)*DG127+(1-EXP(-LN(2)/25))/(LN(2)/25)*Calculateur!DB128*Calculateur!DD128*VLOOKUP('Données projet'!$B$13,Paramètres!$A$1:$I$89,3,0)*0.475*44/12</f>
        <v>0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0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>
        <f>DO128*VLOOKUP('Données projet'!$B$14,Paramètres!$A$1:$I$89,3,0)*VLOOKUP('Données projet'!$B$14,Paramètres!$A$1:$I$89,5,0)</f>
        <v>0</v>
      </c>
      <c r="DQ128" s="13" t="e">
        <f t="shared" si="97"/>
        <v>#NUM!</v>
      </c>
      <c r="DR128" s="20" t="e">
        <f t="shared" si="70"/>
        <v>#NUM!</v>
      </c>
      <c r="DS128" s="59" t="e">
        <f t="shared" si="71"/>
        <v>#NUM!</v>
      </c>
      <c r="DT128" s="59">
        <f ca="1">AVERAGE(OFFSET($DS$3,0,0,'Données projet'!$E$14+1,1))-AVERAGE(OFFSET($H$3,0,0,'Données projet'!$E$14+1,1))</f>
        <v>0</v>
      </c>
      <c r="DU128" s="59">
        <f t="shared" si="98"/>
        <v>0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</v>
      </c>
      <c r="EB128" s="21">
        <f>EXP(-LN(2)/25)*EB127+(1-EXP(-LN(2)/25))/(LN(2)/25)*Calculateur!DW128*Calculateur!DY128*VLOOKUP('Données projet'!$B$14,Paramètres!$A$1:$I$89,3,0)*0.475*44/12</f>
        <v>0</v>
      </c>
      <c r="EC128" s="21">
        <f>EXP(-LN(2)/2)*EC127+(1-EXP(-LN(2)/2))/(LN(2)/2)*DW128*DZ128*VLOOKUP('Données projet'!$B$14,Paramètres!$A$1:$I$89,3,0)*0.475*44/12</f>
        <v>0</v>
      </c>
      <c r="ED128" s="22">
        <f t="shared" si="72"/>
        <v>0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>
        <f>EJ128*VLOOKUP('Données projet'!$B$15,Paramètres!$A$1:$I$89,3,0)*VLOOKUP('Données projet'!$B$15,Paramètres!$A$1:$I$89,5,0)</f>
        <v>0</v>
      </c>
      <c r="EL128" s="13" t="e">
        <f t="shared" si="99"/>
        <v>#NUM!</v>
      </c>
      <c r="EM128" s="20" t="e">
        <f t="shared" si="73"/>
        <v>#NUM!</v>
      </c>
      <c r="EN128" s="59" t="e">
        <f t="shared" si="74"/>
        <v>#NUM!</v>
      </c>
      <c r="EO128" s="59">
        <f ca="1">AVERAGE(OFFSET($EN$3,0,0,'Données projet'!$E$15+1,1))-AVERAGE(OFFSET($H$3,0,0,'Données projet'!$E$15+1,1))</f>
        <v>0</v>
      </c>
      <c r="EP128" s="59">
        <f t="shared" si="100"/>
        <v>0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>
        <f>EXP(-LN(2)/35)*EV127+(1-EXP(-LN(2)/35))/(LN(2)/35)*ER128*ES128*VLOOKUP('Données projet'!$B$15,Paramètres!$A$1:$I$89,3,0)*0.475*44/12</f>
        <v>0</v>
      </c>
      <c r="EW128" s="21">
        <f>EXP(-LN(2)/25)*EW127+(1-EXP(-LN(2)/25))/(LN(2)/25)*Calculateur!ER128*Calculateur!ET128*VLOOKUP('Données projet'!$B$15,Paramètres!$A$1:$I$89,3,0)*0.475*44/12</f>
        <v>0</v>
      </c>
      <c r="EX128" s="21">
        <f>EXP(-LN(2)/2)*EX127+(1-EXP(-LN(2)/2))/(LN(2)/2)*ER128*EU128*VLOOKUP('Données projet'!$B$15,Paramètres!$A$1:$I$89,3,0)*0.475*44/12</f>
        <v>0</v>
      </c>
      <c r="EY128" s="22">
        <f t="shared" si="75"/>
        <v>0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>
        <f>FE128*VLOOKUP('Données projet'!$B$16,Paramètres!$A$1:$I$89,3,0)*VLOOKUP('Données projet'!$B$16,Paramètres!$A$1:$I$89,5,0)</f>
        <v>0</v>
      </c>
      <c r="FG128" s="13" t="e">
        <f t="shared" si="101"/>
        <v>#NUM!</v>
      </c>
      <c r="FH128" s="20" t="e">
        <f t="shared" si="76"/>
        <v>#NUM!</v>
      </c>
      <c r="FI128" s="59" t="e">
        <f t="shared" si="77"/>
        <v>#NUM!</v>
      </c>
      <c r="FJ128" s="59">
        <f ca="1">AVERAGE(OFFSET($FI$3,0,0,'Données projet'!$E$16+1,1))-AVERAGE(OFFSET($H$3,0,0,'Données projet'!$E$16+1,1))</f>
        <v>0</v>
      </c>
      <c r="FK128" s="59">
        <f t="shared" si="102"/>
        <v>0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>
        <f>EXP(-LN(2)/35)*FQ127+(1-EXP(-LN(2)/35))/(LN(2)/35)*FM128*FN128*VLOOKUP('Données projet'!$B$16,Paramètres!$A$1:$I$89,3,0)*0.475*44/12</f>
        <v>0</v>
      </c>
      <c r="FR128" s="21">
        <f>EXP(-LN(2)/25)*FR127+(1-EXP(-LN(2)/25))/(LN(2)/25)*Calculateur!FM128*Calculateur!FO128*VLOOKUP('Données projet'!$B$16,Paramètres!$A$1:$I$89,3,0)*0.475*44/12</f>
        <v>0</v>
      </c>
      <c r="FS128" s="21">
        <f>EXP(-LN(2)/2)*FS127+(1-EXP(-LN(2)/2))/(LN(2)/2)*FM128*FP128*VLOOKUP('Données projet'!$B$16,Paramètres!$A$1:$I$89,3,0)*0.475*44/12</f>
        <v>0</v>
      </c>
      <c r="FT128" s="22">
        <f t="shared" si="78"/>
        <v>0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56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186.90544184210381</v>
      </c>
      <c r="T129" s="59">
        <f t="shared" si="88"/>
        <v>202.05988514450519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32.200516541577358</v>
      </c>
      <c r="AA129" s="21">
        <f>EXP(-LN(2)/25)*AA128+(1-EXP(-LN(2)/25))/(LN(2)/25)*Calculateur!V129*Calculateur!X129*VLOOKUP('Données projet'!$B$9,Paramètres!$A$1:$I$89,3,0)*0.475*44/12</f>
        <v>3.5053325409691389</v>
      </c>
      <c r="AB129" s="21">
        <f>EXP(-LN(2)/2)*AB128+(1-EXP(-LN(2)/2))/(LN(2)/2)*V129*Y129*VLOOKUP('Données projet'!$B$9,Paramètres!$A$1:$I$89,3,0)*0.475*44/12</f>
        <v>5.0086275173943186E-9</v>
      </c>
      <c r="AC129" s="22">
        <f t="shared" si="57"/>
        <v>35.705849087555123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>
        <f>AI129*VLOOKUP('Données projet'!$B$10,Paramètres!$A$1:$I$89,3,0)*VLOOKUP('Données projet'!$B$10,Paramètres!$A$1:$I$89,5,0)</f>
        <v>0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186.90544184210381</v>
      </c>
      <c r="AO129" s="59">
        <f t="shared" si="90"/>
        <v>202.05988514450519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32.200516541577358</v>
      </c>
      <c r="AV129" s="21">
        <f>EXP(-LN(2)/25)*AV128+(1-EXP(-LN(2)/25))/(LN(2)/25)*Calculateur!AQ129*Calculateur!AS129*VLOOKUP('Données projet'!$B$10,Paramètres!$A$1:$I$89,3,0)*0.475*44/12</f>
        <v>3.5053325409691389</v>
      </c>
      <c r="AW129" s="21">
        <f>EXP(-LN(2)/2)*AW128+(1-EXP(-LN(2)/2))/(LN(2)/2)*AQ129*AT129*VLOOKUP('Données projet'!$B$10,Paramètres!$A$1:$I$89,3,0)*0.475*44/12</f>
        <v>5.0086275173943186E-9</v>
      </c>
      <c r="AX129" s="21">
        <f t="shared" si="60"/>
        <v>35.705849087555123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-2.8421709430404007E-14</v>
      </c>
      <c r="BE129" s="13">
        <f>BD129*VLOOKUP('Données projet'!$B$11,Paramètres!$A$1:$I$89,3,0)*VLOOKUP('Données projet'!$B$11,Paramètres!$A$1:$I$89,5,0)</f>
        <v>-2.3055690689943732E-14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5.8584049049231908</v>
      </c>
      <c r="BJ129" s="59">
        <f t="shared" si="92"/>
        <v>42.266833200216638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1.1779843623466589E-12</v>
      </c>
      <c r="BS129" s="22">
        <f t="shared" si="63"/>
        <v>1.1779843623466589E-12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>
        <f>BY129*VLOOKUP('Données projet'!$B$12,Paramètres!$A$1:$I$89,3,0)*VLOOKUP('Données projet'!$B$12,Paramètres!$A$1:$I$89,5,0)</f>
        <v>0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0</v>
      </c>
      <c r="CE129" s="59">
        <f t="shared" si="94"/>
        <v>0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0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>
        <f>CT129*VLOOKUP('Données projet'!$B$13,Paramètres!$A$1:$I$89,3,0)*VLOOKUP('Données projet'!$B$13,Paramètres!$A$1:$I$89,5,0)</f>
        <v>0</v>
      </c>
      <c r="CV129" s="13" t="e">
        <f t="shared" si="95"/>
        <v>#NUM!</v>
      </c>
      <c r="CW129" s="20" t="e">
        <f t="shared" si="67"/>
        <v>#NUM!</v>
      </c>
      <c r="CX129" s="59" t="e">
        <f t="shared" si="68"/>
        <v>#NUM!</v>
      </c>
      <c r="CY129" s="59">
        <f ca="1">AVERAGE(OFFSET($CX$3,0,0,'Données projet'!$E$13+1,1))-AVERAGE(OFFSET($H$3,0,0,'Données projet'!$E$13+1,1))</f>
        <v>0</v>
      </c>
      <c r="CZ129" s="59">
        <f t="shared" si="96"/>
        <v>0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</v>
      </c>
      <c r="DG129" s="21">
        <f>EXP(-LN(2)/25)*DG128+(1-EXP(-LN(2)/25))/(LN(2)/25)*Calculateur!DB129*Calculateur!DD129*VLOOKUP('Données projet'!$B$13,Paramètres!$A$1:$I$89,3,0)*0.475*44/12</f>
        <v>0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0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>
        <f>DO129*VLOOKUP('Données projet'!$B$14,Paramètres!$A$1:$I$89,3,0)*VLOOKUP('Données projet'!$B$14,Paramètres!$A$1:$I$89,5,0)</f>
        <v>0</v>
      </c>
      <c r="DQ129" s="13" t="e">
        <f t="shared" si="97"/>
        <v>#NUM!</v>
      </c>
      <c r="DR129" s="20" t="e">
        <f t="shared" si="70"/>
        <v>#NUM!</v>
      </c>
      <c r="DS129" s="59" t="e">
        <f t="shared" si="71"/>
        <v>#NUM!</v>
      </c>
      <c r="DT129" s="59">
        <f ca="1">AVERAGE(OFFSET($DS$3,0,0,'Données projet'!$E$14+1,1))-AVERAGE(OFFSET($H$3,0,0,'Données projet'!$E$14+1,1))</f>
        <v>0</v>
      </c>
      <c r="DU129" s="59">
        <f t="shared" si="98"/>
        <v>0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</v>
      </c>
      <c r="EB129" s="21">
        <f>EXP(-LN(2)/25)*EB128+(1-EXP(-LN(2)/25))/(LN(2)/25)*Calculateur!DW129*Calculateur!DY129*VLOOKUP('Données projet'!$B$14,Paramètres!$A$1:$I$89,3,0)*0.475*44/12</f>
        <v>0</v>
      </c>
      <c r="EC129" s="21">
        <f>EXP(-LN(2)/2)*EC128+(1-EXP(-LN(2)/2))/(LN(2)/2)*DW129*DZ129*VLOOKUP('Données projet'!$B$14,Paramètres!$A$1:$I$89,3,0)*0.475*44/12</f>
        <v>0</v>
      </c>
      <c r="ED129" s="22">
        <f t="shared" si="72"/>
        <v>0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>
        <f>EJ129*VLOOKUP('Données projet'!$B$15,Paramètres!$A$1:$I$89,3,0)*VLOOKUP('Données projet'!$B$15,Paramètres!$A$1:$I$89,5,0)</f>
        <v>0</v>
      </c>
      <c r="EL129" s="13" t="e">
        <f t="shared" si="99"/>
        <v>#NUM!</v>
      </c>
      <c r="EM129" s="20" t="e">
        <f t="shared" si="73"/>
        <v>#NUM!</v>
      </c>
      <c r="EN129" s="59" t="e">
        <f t="shared" si="74"/>
        <v>#NUM!</v>
      </c>
      <c r="EO129" s="59">
        <f ca="1">AVERAGE(OFFSET($EN$3,0,0,'Données projet'!$E$15+1,1))-AVERAGE(OFFSET($H$3,0,0,'Données projet'!$E$15+1,1))</f>
        <v>0</v>
      </c>
      <c r="EP129" s="59">
        <f t="shared" si="100"/>
        <v>0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>
        <f>EXP(-LN(2)/35)*EV128+(1-EXP(-LN(2)/35))/(LN(2)/35)*ER129*ES129*VLOOKUP('Données projet'!$B$15,Paramètres!$A$1:$I$89,3,0)*0.475*44/12</f>
        <v>0</v>
      </c>
      <c r="EW129" s="21">
        <f>EXP(-LN(2)/25)*EW128+(1-EXP(-LN(2)/25))/(LN(2)/25)*Calculateur!ER129*Calculateur!ET129*VLOOKUP('Données projet'!$B$15,Paramètres!$A$1:$I$89,3,0)*0.475*44/12</f>
        <v>0</v>
      </c>
      <c r="EX129" s="21">
        <f>EXP(-LN(2)/2)*EX128+(1-EXP(-LN(2)/2))/(LN(2)/2)*ER129*EU129*VLOOKUP('Données projet'!$B$15,Paramètres!$A$1:$I$89,3,0)*0.475*44/12</f>
        <v>0</v>
      </c>
      <c r="EY129" s="22">
        <f t="shared" si="75"/>
        <v>0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>
        <f>FE129*VLOOKUP('Données projet'!$B$16,Paramètres!$A$1:$I$89,3,0)*VLOOKUP('Données projet'!$B$16,Paramètres!$A$1:$I$89,5,0)</f>
        <v>0</v>
      </c>
      <c r="FG129" s="13" t="e">
        <f t="shared" si="101"/>
        <v>#NUM!</v>
      </c>
      <c r="FH129" s="20" t="e">
        <f t="shared" si="76"/>
        <v>#NUM!</v>
      </c>
      <c r="FI129" s="59" t="e">
        <f t="shared" si="77"/>
        <v>#NUM!</v>
      </c>
      <c r="FJ129" s="59">
        <f ca="1">AVERAGE(OFFSET($FI$3,0,0,'Données projet'!$E$16+1,1))-AVERAGE(OFFSET($H$3,0,0,'Données projet'!$E$16+1,1))</f>
        <v>0</v>
      </c>
      <c r="FK129" s="59">
        <f t="shared" si="102"/>
        <v>0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>
        <f>EXP(-LN(2)/35)*FQ128+(1-EXP(-LN(2)/35))/(LN(2)/35)*FM129*FN129*VLOOKUP('Données projet'!$B$16,Paramètres!$A$1:$I$89,3,0)*0.475*44/12</f>
        <v>0</v>
      </c>
      <c r="FR129" s="21">
        <f>EXP(-LN(2)/25)*FR128+(1-EXP(-LN(2)/25))/(LN(2)/25)*Calculateur!FM129*Calculateur!FO129*VLOOKUP('Données projet'!$B$16,Paramètres!$A$1:$I$89,3,0)*0.475*44/12</f>
        <v>0</v>
      </c>
      <c r="FS129" s="21">
        <f>EXP(-LN(2)/2)*FS128+(1-EXP(-LN(2)/2))/(LN(2)/2)*FM129*FP129*VLOOKUP('Données projet'!$B$16,Paramètres!$A$1:$I$89,3,0)*0.475*44/12</f>
        <v>0</v>
      </c>
      <c r="FT129" s="22">
        <f t="shared" si="78"/>
        <v>0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56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186.90544184210381</v>
      </c>
      <c r="T130" s="59">
        <f t="shared" si="88"/>
        <v>202.05988514450519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31.569084052572791</v>
      </c>
      <c r="AA130" s="21">
        <f>EXP(-LN(2)/25)*AA129+(1-EXP(-LN(2)/25))/(LN(2)/25)*Calculateur!V130*Calculateur!X130*VLOOKUP('Données projet'!$B$9,Paramètres!$A$1:$I$89,3,0)*0.475*44/12</f>
        <v>3.4094790382989109</v>
      </c>
      <c r="AB130" s="21">
        <f>EXP(-LN(2)/2)*AB129+(1-EXP(-LN(2)/2))/(LN(2)/2)*V130*Y130*VLOOKUP('Données projet'!$B$9,Paramètres!$A$1:$I$89,3,0)*0.475*44/12</f>
        <v>3.5416344819870653E-9</v>
      </c>
      <c r="AC130" s="22">
        <f t="shared" si="57"/>
        <v>34.978563094413339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>
        <f>AI130*VLOOKUP('Données projet'!$B$10,Paramètres!$A$1:$I$89,3,0)*VLOOKUP('Données projet'!$B$10,Paramètres!$A$1:$I$89,5,0)</f>
        <v>0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186.90544184210381</v>
      </c>
      <c r="AO130" s="59">
        <f t="shared" si="90"/>
        <v>202.05988514450519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31.569084052572791</v>
      </c>
      <c r="AV130" s="21">
        <f>EXP(-LN(2)/25)*AV129+(1-EXP(-LN(2)/25))/(LN(2)/25)*Calculateur!AQ130*Calculateur!AS130*VLOOKUP('Données projet'!$B$10,Paramètres!$A$1:$I$89,3,0)*0.475*44/12</f>
        <v>3.4094790382989109</v>
      </c>
      <c r="AW130" s="21">
        <f>EXP(-LN(2)/2)*AW129+(1-EXP(-LN(2)/2))/(LN(2)/2)*AQ130*AT130*VLOOKUP('Données projet'!$B$10,Paramètres!$A$1:$I$89,3,0)*0.475*44/12</f>
        <v>3.5416344819870653E-9</v>
      </c>
      <c r="AX130" s="21">
        <f t="shared" si="60"/>
        <v>34.978563094413339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-2.8421709430404007E-14</v>
      </c>
      <c r="BE130" s="13">
        <f>BD130*VLOOKUP('Données projet'!$B$11,Paramètres!$A$1:$I$89,3,0)*VLOOKUP('Données projet'!$B$11,Paramètres!$A$1:$I$89,5,0)</f>
        <v>-2.3055690689943732E-14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5.8584049049231908</v>
      </c>
      <c r="BJ130" s="59">
        <f t="shared" si="92"/>
        <v>42.266833200216638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8.3296073074703363E-13</v>
      </c>
      <c r="BS130" s="22">
        <f t="shared" si="63"/>
        <v>8.3296073074703363E-13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>
        <f>BY130*VLOOKUP('Données projet'!$B$12,Paramètres!$A$1:$I$89,3,0)*VLOOKUP('Données projet'!$B$12,Paramètres!$A$1:$I$89,5,0)</f>
        <v>0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0</v>
      </c>
      <c r="CE130" s="59">
        <f t="shared" si="94"/>
        <v>0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0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>
        <f>CT130*VLOOKUP('Données projet'!$B$13,Paramètres!$A$1:$I$89,3,0)*VLOOKUP('Données projet'!$B$13,Paramètres!$A$1:$I$89,5,0)</f>
        <v>0</v>
      </c>
      <c r="CV130" s="13" t="e">
        <f t="shared" si="95"/>
        <v>#NUM!</v>
      </c>
      <c r="CW130" s="20" t="e">
        <f t="shared" si="67"/>
        <v>#NUM!</v>
      </c>
      <c r="CX130" s="59" t="e">
        <f t="shared" si="68"/>
        <v>#NUM!</v>
      </c>
      <c r="CY130" s="59">
        <f ca="1">AVERAGE(OFFSET($CX$3,0,0,'Données projet'!$E$13+1,1))-AVERAGE(OFFSET($H$3,0,0,'Données projet'!$E$13+1,1))</f>
        <v>0</v>
      </c>
      <c r="CZ130" s="59">
        <f t="shared" si="96"/>
        <v>0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</v>
      </c>
      <c r="DG130" s="21">
        <f>EXP(-LN(2)/25)*DG129+(1-EXP(-LN(2)/25))/(LN(2)/25)*Calculateur!DB130*Calculateur!DD130*VLOOKUP('Données projet'!$B$13,Paramètres!$A$1:$I$89,3,0)*0.475*44/12</f>
        <v>0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0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>
        <f>DO130*VLOOKUP('Données projet'!$B$14,Paramètres!$A$1:$I$89,3,0)*VLOOKUP('Données projet'!$B$14,Paramètres!$A$1:$I$89,5,0)</f>
        <v>0</v>
      </c>
      <c r="DQ130" s="13" t="e">
        <f t="shared" si="97"/>
        <v>#NUM!</v>
      </c>
      <c r="DR130" s="20" t="e">
        <f t="shared" si="70"/>
        <v>#NUM!</v>
      </c>
      <c r="DS130" s="59" t="e">
        <f t="shared" si="71"/>
        <v>#NUM!</v>
      </c>
      <c r="DT130" s="59">
        <f ca="1">AVERAGE(OFFSET($DS$3,0,0,'Données projet'!$E$14+1,1))-AVERAGE(OFFSET($H$3,0,0,'Données projet'!$E$14+1,1))</f>
        <v>0</v>
      </c>
      <c r="DU130" s="59">
        <f t="shared" si="98"/>
        <v>0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</v>
      </c>
      <c r="EB130" s="21">
        <f>EXP(-LN(2)/25)*EB129+(1-EXP(-LN(2)/25))/(LN(2)/25)*Calculateur!DW130*Calculateur!DY130*VLOOKUP('Données projet'!$B$14,Paramètres!$A$1:$I$89,3,0)*0.475*44/12</f>
        <v>0</v>
      </c>
      <c r="EC130" s="21">
        <f>EXP(-LN(2)/2)*EC129+(1-EXP(-LN(2)/2))/(LN(2)/2)*DW130*DZ130*VLOOKUP('Données projet'!$B$14,Paramètres!$A$1:$I$89,3,0)*0.475*44/12</f>
        <v>0</v>
      </c>
      <c r="ED130" s="22">
        <f t="shared" si="72"/>
        <v>0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>
        <f>EJ130*VLOOKUP('Données projet'!$B$15,Paramètres!$A$1:$I$89,3,0)*VLOOKUP('Données projet'!$B$15,Paramètres!$A$1:$I$89,5,0)</f>
        <v>0</v>
      </c>
      <c r="EL130" s="13" t="e">
        <f t="shared" si="99"/>
        <v>#NUM!</v>
      </c>
      <c r="EM130" s="20" t="e">
        <f t="shared" si="73"/>
        <v>#NUM!</v>
      </c>
      <c r="EN130" s="59" t="e">
        <f t="shared" si="74"/>
        <v>#NUM!</v>
      </c>
      <c r="EO130" s="59">
        <f ca="1">AVERAGE(OFFSET($EN$3,0,0,'Données projet'!$E$15+1,1))-AVERAGE(OFFSET($H$3,0,0,'Données projet'!$E$15+1,1))</f>
        <v>0</v>
      </c>
      <c r="EP130" s="59">
        <f t="shared" si="100"/>
        <v>0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>
        <f>EXP(-LN(2)/35)*EV129+(1-EXP(-LN(2)/35))/(LN(2)/35)*ER130*ES130*VLOOKUP('Données projet'!$B$15,Paramètres!$A$1:$I$89,3,0)*0.475*44/12</f>
        <v>0</v>
      </c>
      <c r="EW130" s="21">
        <f>EXP(-LN(2)/25)*EW129+(1-EXP(-LN(2)/25))/(LN(2)/25)*Calculateur!ER130*Calculateur!ET130*VLOOKUP('Données projet'!$B$15,Paramètres!$A$1:$I$89,3,0)*0.475*44/12</f>
        <v>0</v>
      </c>
      <c r="EX130" s="21">
        <f>EXP(-LN(2)/2)*EX129+(1-EXP(-LN(2)/2))/(LN(2)/2)*ER130*EU130*VLOOKUP('Données projet'!$B$15,Paramètres!$A$1:$I$89,3,0)*0.475*44/12</f>
        <v>0</v>
      </c>
      <c r="EY130" s="22">
        <f t="shared" si="75"/>
        <v>0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>
        <f>FE130*VLOOKUP('Données projet'!$B$16,Paramètres!$A$1:$I$89,3,0)*VLOOKUP('Données projet'!$B$16,Paramètres!$A$1:$I$89,5,0)</f>
        <v>0</v>
      </c>
      <c r="FG130" s="13" t="e">
        <f t="shared" si="101"/>
        <v>#NUM!</v>
      </c>
      <c r="FH130" s="20" t="e">
        <f t="shared" si="76"/>
        <v>#NUM!</v>
      </c>
      <c r="FI130" s="59" t="e">
        <f t="shared" si="77"/>
        <v>#NUM!</v>
      </c>
      <c r="FJ130" s="59">
        <f ca="1">AVERAGE(OFFSET($FI$3,0,0,'Données projet'!$E$16+1,1))-AVERAGE(OFFSET($H$3,0,0,'Données projet'!$E$16+1,1))</f>
        <v>0</v>
      </c>
      <c r="FK130" s="59">
        <f t="shared" si="102"/>
        <v>0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>
        <f>EXP(-LN(2)/35)*FQ129+(1-EXP(-LN(2)/35))/(LN(2)/35)*FM130*FN130*VLOOKUP('Données projet'!$B$16,Paramètres!$A$1:$I$89,3,0)*0.475*44/12</f>
        <v>0</v>
      </c>
      <c r="FR130" s="21">
        <f>EXP(-LN(2)/25)*FR129+(1-EXP(-LN(2)/25))/(LN(2)/25)*Calculateur!FM130*Calculateur!FO130*VLOOKUP('Données projet'!$B$16,Paramètres!$A$1:$I$89,3,0)*0.475*44/12</f>
        <v>0</v>
      </c>
      <c r="FS130" s="21">
        <f>EXP(-LN(2)/2)*FS129+(1-EXP(-LN(2)/2))/(LN(2)/2)*FM130*FP130*VLOOKUP('Données projet'!$B$16,Paramètres!$A$1:$I$89,3,0)*0.475*44/12</f>
        <v>0</v>
      </c>
      <c r="FT130" s="22">
        <f t="shared" si="78"/>
        <v>0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si="56"/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186.90544184210381</v>
      </c>
      <c r="T131" s="59">
        <f t="shared" si="88"/>
        <v>202.05988514450519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30.950033569541812</v>
      </c>
      <c r="AA131" s="21">
        <f>EXP(-LN(2)/25)*AA130+(1-EXP(-LN(2)/25))/(LN(2)/25)*Calculateur!V131*Calculateur!X131*VLOOKUP('Données projet'!$B$9,Paramètres!$A$1:$I$89,3,0)*0.475*44/12</f>
        <v>3.316246654699917</v>
      </c>
      <c r="AB131" s="21">
        <f>EXP(-LN(2)/2)*AB130+(1-EXP(-LN(2)/2))/(LN(2)/2)*V131*Y131*VLOOKUP('Données projet'!$B$9,Paramètres!$A$1:$I$89,3,0)*0.475*44/12</f>
        <v>2.5043137586971593E-9</v>
      </c>
      <c r="AC131" s="22">
        <f t="shared" si="57"/>
        <v>34.266280226746041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>
        <f>AI131*VLOOKUP('Données projet'!$B$10,Paramètres!$A$1:$I$89,3,0)*VLOOKUP('Données projet'!$B$10,Paramètres!$A$1:$I$89,5,0)</f>
        <v>0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186.90544184210381</v>
      </c>
      <c r="AO131" s="59">
        <f t="shared" si="90"/>
        <v>202.05988514450519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30.950033569541812</v>
      </c>
      <c r="AV131" s="21">
        <f>EXP(-LN(2)/25)*AV130+(1-EXP(-LN(2)/25))/(LN(2)/25)*Calculateur!AQ131*Calculateur!AS131*VLOOKUP('Données projet'!$B$10,Paramètres!$A$1:$I$89,3,0)*0.475*44/12</f>
        <v>3.316246654699917</v>
      </c>
      <c r="AW131" s="21">
        <f>EXP(-LN(2)/2)*AW130+(1-EXP(-LN(2)/2))/(LN(2)/2)*AQ131*AT131*VLOOKUP('Données projet'!$B$10,Paramètres!$A$1:$I$89,3,0)*0.475*44/12</f>
        <v>2.5043137586971593E-9</v>
      </c>
      <c r="AX131" s="21">
        <f t="shared" si="60"/>
        <v>34.266280226746041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-2.8421709430404007E-14</v>
      </c>
      <c r="BE131" s="13">
        <f>BD131*VLOOKUP('Données projet'!$B$11,Paramètres!$A$1:$I$89,3,0)*VLOOKUP('Données projet'!$B$11,Paramètres!$A$1:$I$89,5,0)</f>
        <v>-2.3055690689943732E-14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5.8584049049231908</v>
      </c>
      <c r="BJ131" s="59">
        <f t="shared" si="92"/>
        <v>42.266833200216638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5.8899218117332943E-13</v>
      </c>
      <c r="BS131" s="22">
        <f t="shared" si="63"/>
        <v>5.8899218117332943E-13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>
        <f>BY131*VLOOKUP('Données projet'!$B$12,Paramètres!$A$1:$I$89,3,0)*VLOOKUP('Données projet'!$B$12,Paramètres!$A$1:$I$89,5,0)</f>
        <v>0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0</v>
      </c>
      <c r="CE131" s="59">
        <f t="shared" si="94"/>
        <v>0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0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>
        <f>CT131*VLOOKUP('Données projet'!$B$13,Paramètres!$A$1:$I$89,3,0)*VLOOKUP('Données projet'!$B$13,Paramètres!$A$1:$I$89,5,0)</f>
        <v>0</v>
      </c>
      <c r="CV131" s="13" t="e">
        <f t="shared" si="95"/>
        <v>#NUM!</v>
      </c>
      <c r="CW131" s="20" t="e">
        <f t="shared" si="67"/>
        <v>#NUM!</v>
      </c>
      <c r="CX131" s="59" t="e">
        <f t="shared" si="68"/>
        <v>#NUM!</v>
      </c>
      <c r="CY131" s="59">
        <f ca="1">AVERAGE(OFFSET($CX$3,0,0,'Données projet'!$E$13+1,1))-AVERAGE(OFFSET($H$3,0,0,'Données projet'!$E$13+1,1))</f>
        <v>0</v>
      </c>
      <c r="CZ131" s="59">
        <f t="shared" si="96"/>
        <v>0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</v>
      </c>
      <c r="DG131" s="21">
        <f>EXP(-LN(2)/25)*DG130+(1-EXP(-LN(2)/25))/(LN(2)/25)*Calculateur!DB131*Calculateur!DD131*VLOOKUP('Données projet'!$B$13,Paramètres!$A$1:$I$89,3,0)*0.475*44/12</f>
        <v>0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0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>
        <f>DO131*VLOOKUP('Données projet'!$B$14,Paramètres!$A$1:$I$89,3,0)*VLOOKUP('Données projet'!$B$14,Paramètres!$A$1:$I$89,5,0)</f>
        <v>0</v>
      </c>
      <c r="DQ131" s="13" t="e">
        <f t="shared" si="97"/>
        <v>#NUM!</v>
      </c>
      <c r="DR131" s="20" t="e">
        <f t="shared" si="70"/>
        <v>#NUM!</v>
      </c>
      <c r="DS131" s="59" t="e">
        <f t="shared" si="71"/>
        <v>#NUM!</v>
      </c>
      <c r="DT131" s="59">
        <f ca="1">AVERAGE(OFFSET($DS$3,0,0,'Données projet'!$E$14+1,1))-AVERAGE(OFFSET($H$3,0,0,'Données projet'!$E$14+1,1))</f>
        <v>0</v>
      </c>
      <c r="DU131" s="59">
        <f t="shared" si="98"/>
        <v>0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</v>
      </c>
      <c r="EB131" s="21">
        <f>EXP(-LN(2)/25)*EB130+(1-EXP(-LN(2)/25))/(LN(2)/25)*Calculateur!DW131*Calculateur!DY131*VLOOKUP('Données projet'!$B$14,Paramètres!$A$1:$I$89,3,0)*0.475*44/12</f>
        <v>0</v>
      </c>
      <c r="EC131" s="21">
        <f>EXP(-LN(2)/2)*EC130+(1-EXP(-LN(2)/2))/(LN(2)/2)*DW131*DZ131*VLOOKUP('Données projet'!$B$14,Paramètres!$A$1:$I$89,3,0)*0.475*44/12</f>
        <v>0</v>
      </c>
      <c r="ED131" s="22">
        <f t="shared" si="72"/>
        <v>0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>
        <f>EJ131*VLOOKUP('Données projet'!$B$15,Paramètres!$A$1:$I$89,3,0)*VLOOKUP('Données projet'!$B$15,Paramètres!$A$1:$I$89,5,0)</f>
        <v>0</v>
      </c>
      <c r="EL131" s="13" t="e">
        <f t="shared" si="99"/>
        <v>#NUM!</v>
      </c>
      <c r="EM131" s="20" t="e">
        <f t="shared" si="73"/>
        <v>#NUM!</v>
      </c>
      <c r="EN131" s="59" t="e">
        <f t="shared" si="74"/>
        <v>#NUM!</v>
      </c>
      <c r="EO131" s="59">
        <f ca="1">AVERAGE(OFFSET($EN$3,0,0,'Données projet'!$E$15+1,1))-AVERAGE(OFFSET($H$3,0,0,'Données projet'!$E$15+1,1))</f>
        <v>0</v>
      </c>
      <c r="EP131" s="59">
        <f t="shared" si="100"/>
        <v>0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>
        <f>EXP(-LN(2)/35)*EV130+(1-EXP(-LN(2)/35))/(LN(2)/35)*ER131*ES131*VLOOKUP('Données projet'!$B$15,Paramètres!$A$1:$I$89,3,0)*0.475*44/12</f>
        <v>0</v>
      </c>
      <c r="EW131" s="21">
        <f>EXP(-LN(2)/25)*EW130+(1-EXP(-LN(2)/25))/(LN(2)/25)*Calculateur!ER131*Calculateur!ET131*VLOOKUP('Données projet'!$B$15,Paramètres!$A$1:$I$89,3,0)*0.475*44/12</f>
        <v>0</v>
      </c>
      <c r="EX131" s="21">
        <f>EXP(-LN(2)/2)*EX130+(1-EXP(-LN(2)/2))/(LN(2)/2)*ER131*EU131*VLOOKUP('Données projet'!$B$15,Paramètres!$A$1:$I$89,3,0)*0.475*44/12</f>
        <v>0</v>
      </c>
      <c r="EY131" s="22">
        <f t="shared" si="75"/>
        <v>0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>
        <f>FE131*VLOOKUP('Données projet'!$B$16,Paramètres!$A$1:$I$89,3,0)*VLOOKUP('Données projet'!$B$16,Paramètres!$A$1:$I$89,5,0)</f>
        <v>0</v>
      </c>
      <c r="FG131" s="13" t="e">
        <f t="shared" si="101"/>
        <v>#NUM!</v>
      </c>
      <c r="FH131" s="20" t="e">
        <f t="shared" si="76"/>
        <v>#NUM!</v>
      </c>
      <c r="FI131" s="59" t="e">
        <f t="shared" si="77"/>
        <v>#NUM!</v>
      </c>
      <c r="FJ131" s="59">
        <f ca="1">AVERAGE(OFFSET($FI$3,0,0,'Données projet'!$E$16+1,1))-AVERAGE(OFFSET($H$3,0,0,'Données projet'!$E$16+1,1))</f>
        <v>0</v>
      </c>
      <c r="FK131" s="59">
        <f t="shared" si="102"/>
        <v>0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>
        <f>EXP(-LN(2)/35)*FQ130+(1-EXP(-LN(2)/35))/(LN(2)/35)*FM131*FN131*VLOOKUP('Données projet'!$B$16,Paramètres!$A$1:$I$89,3,0)*0.475*44/12</f>
        <v>0</v>
      </c>
      <c r="FR131" s="21">
        <f>EXP(-LN(2)/25)*FR130+(1-EXP(-LN(2)/25))/(LN(2)/25)*Calculateur!FM131*Calculateur!FO131*VLOOKUP('Données projet'!$B$16,Paramètres!$A$1:$I$89,3,0)*0.475*44/12</f>
        <v>0</v>
      </c>
      <c r="FS131" s="21">
        <f>EXP(-LN(2)/2)*FS130+(1-EXP(-LN(2)/2))/(LN(2)/2)*FM131*FP131*VLOOKUP('Données projet'!$B$16,Paramètres!$A$1:$I$89,3,0)*0.475*44/12</f>
        <v>0</v>
      </c>
      <c r="FT131" s="22">
        <f t="shared" si="78"/>
        <v>0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ref="H132:H195" si="110">(B132+E132+F132)*44/12+(C132+D132)*0.475*44/12</f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186.90544184210381</v>
      </c>
      <c r="T132" s="59">
        <f t="shared" si="88"/>
        <v>202.05988514450519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30.343122288899561</v>
      </c>
      <c r="AA132" s="21">
        <f>EXP(-LN(2)/25)*AA131+(1-EXP(-LN(2)/25))/(LN(2)/25)*Calculateur!V132*Calculateur!X132*VLOOKUP('Données projet'!$B$9,Paramètres!$A$1:$I$89,3,0)*0.475*44/12</f>
        <v>3.2255637155333154</v>
      </c>
      <c r="AB132" s="21">
        <f>EXP(-LN(2)/2)*AB131+(1-EXP(-LN(2)/2))/(LN(2)/2)*V132*Y132*VLOOKUP('Données projet'!$B$9,Paramètres!$A$1:$I$89,3,0)*0.475*44/12</f>
        <v>1.7708172409935326E-9</v>
      </c>
      <c r="AC132" s="22">
        <f t="shared" ref="AC132:AC153" si="111">SUM(Z132:AB132)</f>
        <v>33.568686006203691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>
        <f>AI132*VLOOKUP('Données projet'!$B$10,Paramètres!$A$1:$I$89,3,0)*VLOOKUP('Données projet'!$B$10,Paramètres!$A$1:$I$89,5,0)</f>
        <v>0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186.90544184210381</v>
      </c>
      <c r="AO132" s="59">
        <f t="shared" si="90"/>
        <v>202.05988514450519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30.343122288899561</v>
      </c>
      <c r="AV132" s="21">
        <f>EXP(-LN(2)/25)*AV131+(1-EXP(-LN(2)/25))/(LN(2)/25)*Calculateur!AQ132*Calculateur!AS132*VLOOKUP('Données projet'!$B$10,Paramètres!$A$1:$I$89,3,0)*0.475*44/12</f>
        <v>3.2255637155333154</v>
      </c>
      <c r="AW132" s="21">
        <f>EXP(-LN(2)/2)*AW131+(1-EXP(-LN(2)/2))/(LN(2)/2)*AQ132*AT132*VLOOKUP('Données projet'!$B$10,Paramètres!$A$1:$I$89,3,0)*0.475*44/12</f>
        <v>1.7708172409935326E-9</v>
      </c>
      <c r="AX132" s="21">
        <f t="shared" ref="AX132:AX153" si="114">SUM(AU132:AW132)</f>
        <v>33.568686006203691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-2.8421709430404007E-14</v>
      </c>
      <c r="BE132" s="13">
        <f>BD132*VLOOKUP('Données projet'!$B$11,Paramètres!$A$1:$I$89,3,0)*VLOOKUP('Données projet'!$B$11,Paramètres!$A$1:$I$89,5,0)</f>
        <v>-2.3055690689943732E-14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5.8584049049231908</v>
      </c>
      <c r="BJ132" s="59">
        <f t="shared" si="92"/>
        <v>42.266833200216638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4.1648036537351682E-13</v>
      </c>
      <c r="BS132" s="22">
        <f t="shared" ref="BS132:BS153" si="117">SUM(BP132:BR132)</f>
        <v>4.1648036537351682E-13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>
        <f>BY132*VLOOKUP('Données projet'!$B$12,Paramètres!$A$1:$I$89,3,0)*VLOOKUP('Données projet'!$B$12,Paramètres!$A$1:$I$89,5,0)</f>
        <v>0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0</v>
      </c>
      <c r="CE132" s="59">
        <f t="shared" si="94"/>
        <v>0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0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>
        <f>CT132*VLOOKUP('Données projet'!$B$13,Paramètres!$A$1:$I$89,3,0)*VLOOKUP('Données projet'!$B$13,Paramètres!$A$1:$I$89,5,0)</f>
        <v>0</v>
      </c>
      <c r="CV132" s="13" t="e">
        <f t="shared" si="95"/>
        <v>#NUM!</v>
      </c>
      <c r="CW132" s="20" t="e">
        <f t="shared" ref="CW132:CW153" si="121">(CU132+CV132)*0.475*44/12</f>
        <v>#NUM!</v>
      </c>
      <c r="CX132" s="59" t="e">
        <f t="shared" ref="CX132:CX195" si="122">CW132+(CO132+CP132)*44/12</f>
        <v>#NUM!</v>
      </c>
      <c r="CY132" s="59">
        <f ca="1">AVERAGE(OFFSET($CX$3,0,0,'Données projet'!$E$13+1,1))-AVERAGE(OFFSET($H$3,0,0,'Données projet'!$E$13+1,1))</f>
        <v>0</v>
      </c>
      <c r="CZ132" s="59">
        <f t="shared" si="96"/>
        <v>0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</v>
      </c>
      <c r="DG132" s="21">
        <f>EXP(-LN(2)/25)*DG131+(1-EXP(-LN(2)/25))/(LN(2)/25)*Calculateur!DB132*Calculateur!DD132*VLOOKUP('Données projet'!$B$13,Paramètres!$A$1:$I$89,3,0)*0.475*44/12</f>
        <v>0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0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>
        <f>DO132*VLOOKUP('Données projet'!$B$14,Paramètres!$A$1:$I$89,3,0)*VLOOKUP('Données projet'!$B$14,Paramètres!$A$1:$I$89,5,0)</f>
        <v>0</v>
      </c>
      <c r="DQ132" s="13" t="e">
        <f t="shared" si="97"/>
        <v>#NUM!</v>
      </c>
      <c r="DR132" s="20" t="e">
        <f t="shared" ref="DR132:DR153" si="124">(DP132+DQ132)*0.475*44/12</f>
        <v>#NUM!</v>
      </c>
      <c r="DS132" s="59" t="e">
        <f t="shared" ref="DS132:DS195" si="125">DR132+(DJ132+DK132)*44/12</f>
        <v>#NUM!</v>
      </c>
      <c r="DT132" s="59">
        <f ca="1">AVERAGE(OFFSET($DS$3,0,0,'Données projet'!$E$14+1,1))-AVERAGE(OFFSET($H$3,0,0,'Données projet'!$E$14+1,1))</f>
        <v>0</v>
      </c>
      <c r="DU132" s="59">
        <f t="shared" si="98"/>
        <v>0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</v>
      </c>
      <c r="EB132" s="21">
        <f>EXP(-LN(2)/25)*EB131+(1-EXP(-LN(2)/25))/(LN(2)/25)*Calculateur!DW132*Calculateur!DY132*VLOOKUP('Données projet'!$B$14,Paramètres!$A$1:$I$89,3,0)*0.475*44/12</f>
        <v>0</v>
      </c>
      <c r="EC132" s="21">
        <f>EXP(-LN(2)/2)*EC131+(1-EXP(-LN(2)/2))/(LN(2)/2)*DW132*DZ132*VLOOKUP('Données projet'!$B$14,Paramètres!$A$1:$I$89,3,0)*0.475*44/12</f>
        <v>0</v>
      </c>
      <c r="ED132" s="22">
        <f t="shared" ref="ED132:ED153" si="126">SUM(EA132:EC132)</f>
        <v>0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>
        <f>EJ132*VLOOKUP('Données projet'!$B$15,Paramètres!$A$1:$I$89,3,0)*VLOOKUP('Données projet'!$B$15,Paramètres!$A$1:$I$89,5,0)</f>
        <v>0</v>
      </c>
      <c r="EL132" s="13" t="e">
        <f t="shared" si="99"/>
        <v>#NUM!</v>
      </c>
      <c r="EM132" s="20" t="e">
        <f t="shared" ref="EM132:EM153" si="127">(EK132+EL132)*0.475*44/12</f>
        <v>#NUM!</v>
      </c>
      <c r="EN132" s="59" t="e">
        <f t="shared" ref="EN132:EN195" si="128">EM132+(EE132+EF132)*44/12</f>
        <v>#NUM!</v>
      </c>
      <c r="EO132" s="59">
        <f ca="1">AVERAGE(OFFSET($EN$3,0,0,'Données projet'!$E$15+1,1))-AVERAGE(OFFSET($H$3,0,0,'Données projet'!$E$15+1,1))</f>
        <v>0</v>
      </c>
      <c r="EP132" s="59">
        <f t="shared" si="100"/>
        <v>0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>
        <f>EXP(-LN(2)/35)*EV131+(1-EXP(-LN(2)/35))/(LN(2)/35)*ER132*ES132*VLOOKUP('Données projet'!$B$15,Paramètres!$A$1:$I$89,3,0)*0.475*44/12</f>
        <v>0</v>
      </c>
      <c r="EW132" s="21">
        <f>EXP(-LN(2)/25)*EW131+(1-EXP(-LN(2)/25))/(LN(2)/25)*Calculateur!ER132*Calculateur!ET132*VLOOKUP('Données projet'!$B$15,Paramètres!$A$1:$I$89,3,0)*0.475*44/12</f>
        <v>0</v>
      </c>
      <c r="EX132" s="21">
        <f>EXP(-LN(2)/2)*EX131+(1-EXP(-LN(2)/2))/(LN(2)/2)*ER132*EU132*VLOOKUP('Données projet'!$B$15,Paramètres!$A$1:$I$89,3,0)*0.475*44/12</f>
        <v>0</v>
      </c>
      <c r="EY132" s="22">
        <f t="shared" ref="EY132:EY153" si="129">SUM(EV132:EX132)</f>
        <v>0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>
        <f>FE132*VLOOKUP('Données projet'!$B$16,Paramètres!$A$1:$I$89,3,0)*VLOOKUP('Données projet'!$B$16,Paramètres!$A$1:$I$89,5,0)</f>
        <v>0</v>
      </c>
      <c r="FG132" s="13" t="e">
        <f t="shared" si="101"/>
        <v>#NUM!</v>
      </c>
      <c r="FH132" s="20" t="e">
        <f t="shared" ref="FH132:FH153" si="130">(FF132+FG132)*0.475*44/12</f>
        <v>#NUM!</v>
      </c>
      <c r="FI132" s="59" t="e">
        <f t="shared" ref="FI132:FI195" si="131">FH132+(EZ132+FA132)*44/12</f>
        <v>#NUM!</v>
      </c>
      <c r="FJ132" s="59">
        <f ca="1">AVERAGE(OFFSET($FI$3,0,0,'Données projet'!$E$16+1,1))-AVERAGE(OFFSET($H$3,0,0,'Données projet'!$E$16+1,1))</f>
        <v>0</v>
      </c>
      <c r="FK132" s="59">
        <f t="shared" si="102"/>
        <v>0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>
        <f>EXP(-LN(2)/35)*FQ131+(1-EXP(-LN(2)/35))/(LN(2)/35)*FM132*FN132*VLOOKUP('Données projet'!$B$16,Paramètres!$A$1:$I$89,3,0)*0.475*44/12</f>
        <v>0</v>
      </c>
      <c r="FR132" s="21">
        <f>EXP(-LN(2)/25)*FR131+(1-EXP(-LN(2)/25))/(LN(2)/25)*Calculateur!FM132*Calculateur!FO132*VLOOKUP('Données projet'!$B$16,Paramètres!$A$1:$I$89,3,0)*0.475*44/12</f>
        <v>0</v>
      </c>
      <c r="FS132" s="21">
        <f>EXP(-LN(2)/2)*FS131+(1-EXP(-LN(2)/2))/(LN(2)/2)*FM132*FP132*VLOOKUP('Données projet'!$B$16,Paramètres!$A$1:$I$89,3,0)*0.475*44/12</f>
        <v>0</v>
      </c>
      <c r="FT132" s="22">
        <f t="shared" ref="FT132:FT153" si="132">SUM(FQ132:FS132)</f>
        <v>0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1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186.90544184210381</v>
      </c>
      <c r="T133" s="59">
        <f t="shared" ref="T133:T196" si="142">$T$3</f>
        <v>202.05988514450519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29.748112168291375</v>
      </c>
      <c r="AA133" s="21">
        <f>EXP(-LN(2)/25)*AA132+(1-EXP(-LN(2)/25))/(LN(2)/25)*Calculateur!V133*Calculateur!X133*VLOOKUP('Données projet'!$B$9,Paramètres!$A$1:$I$89,3,0)*0.475*44/12</f>
        <v>3.1373605061070333</v>
      </c>
      <c r="AB133" s="21">
        <f>EXP(-LN(2)/2)*AB132+(1-EXP(-LN(2)/2))/(LN(2)/2)*V133*Y133*VLOOKUP('Données projet'!$B$9,Paramètres!$A$1:$I$89,3,0)*0.475*44/12</f>
        <v>1.2521568793485797E-9</v>
      </c>
      <c r="AC133" s="22">
        <f t="shared" si="111"/>
        <v>32.885472675650561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>
        <f>AI133*VLOOKUP('Données projet'!$B$10,Paramètres!$A$1:$I$89,3,0)*VLOOKUP('Données projet'!$B$10,Paramètres!$A$1:$I$89,5,0)</f>
        <v>0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186.90544184210381</v>
      </c>
      <c r="AO133" s="59">
        <f t="shared" ref="AO133:AO196" si="144">$AO$3</f>
        <v>202.05988514450519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29.748112168291375</v>
      </c>
      <c r="AV133" s="21">
        <f>EXP(-LN(2)/25)*AV132+(1-EXP(-LN(2)/25))/(LN(2)/25)*Calculateur!AQ133*Calculateur!AS133*VLOOKUP('Données projet'!$B$10,Paramètres!$A$1:$I$89,3,0)*0.475*44/12</f>
        <v>3.1373605061070333</v>
      </c>
      <c r="AW133" s="21">
        <f>EXP(-LN(2)/2)*AW132+(1-EXP(-LN(2)/2))/(LN(2)/2)*AQ133*AT133*VLOOKUP('Données projet'!$B$10,Paramètres!$A$1:$I$89,3,0)*0.475*44/12</f>
        <v>1.2521568793485797E-9</v>
      </c>
      <c r="AX133" s="21">
        <f t="shared" si="114"/>
        <v>32.885472675650561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-2.8421709430404007E-14</v>
      </c>
      <c r="BE133" s="13">
        <f>BD133*VLOOKUP('Données projet'!$B$11,Paramètres!$A$1:$I$89,3,0)*VLOOKUP('Données projet'!$B$11,Paramètres!$A$1:$I$89,5,0)</f>
        <v>-2.3055690689943732E-14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5.8584049049231908</v>
      </c>
      <c r="BJ133" s="59">
        <f t="shared" ref="BJ133:BJ196" si="146">$BJ$3</f>
        <v>42.266833200216638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2.9449609058666471E-13</v>
      </c>
      <c r="BS133" s="22">
        <f t="shared" si="117"/>
        <v>2.9449609058666471E-13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>
        <f>BY133*VLOOKUP('Données projet'!$B$12,Paramètres!$A$1:$I$89,3,0)*VLOOKUP('Données projet'!$B$12,Paramètres!$A$1:$I$89,5,0)</f>
        <v>0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0</v>
      </c>
      <c r="CE133" s="59">
        <f t="shared" ref="CE133:CE196" si="148">$CE$3</f>
        <v>0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0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>
        <f>CT133*VLOOKUP('Données projet'!$B$13,Paramètres!$A$1:$I$89,3,0)*VLOOKUP('Données projet'!$B$13,Paramètres!$A$1:$I$89,5,0)</f>
        <v>0</v>
      </c>
      <c r="CV133" s="13" t="e">
        <f t="shared" ref="CV133:CV153" si="149">EXP(-1.0587+0.8836*LN(CU133)+0.284)</f>
        <v>#NUM!</v>
      </c>
      <c r="CW133" s="20" t="e">
        <f t="shared" si="121"/>
        <v>#NUM!</v>
      </c>
      <c r="CX133" s="59" t="e">
        <f t="shared" si="122"/>
        <v>#NUM!</v>
      </c>
      <c r="CY133" s="59">
        <f ca="1">AVERAGE(OFFSET($CX$3,0,0,'Données projet'!$E$13+1,1))-AVERAGE(OFFSET($H$3,0,0,'Données projet'!$E$13+1,1))</f>
        <v>0</v>
      </c>
      <c r="CZ133" s="59">
        <f t="shared" ref="CZ133:CZ196" si="150">$CZ$3</f>
        <v>0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</v>
      </c>
      <c r="DG133" s="21">
        <f>EXP(-LN(2)/25)*DG132+(1-EXP(-LN(2)/25))/(LN(2)/25)*Calculateur!DB133*Calculateur!DD133*VLOOKUP('Données projet'!$B$13,Paramètres!$A$1:$I$89,3,0)*0.475*44/12</f>
        <v>0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0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>
        <f>DO133*VLOOKUP('Données projet'!$B$14,Paramètres!$A$1:$I$89,3,0)*VLOOKUP('Données projet'!$B$14,Paramètres!$A$1:$I$89,5,0)</f>
        <v>0</v>
      </c>
      <c r="DQ133" s="13" t="e">
        <f t="shared" ref="DQ133:DQ153" si="151">EXP(-1.0587+0.8836*LN(DP133)+0.284)</f>
        <v>#NUM!</v>
      </c>
      <c r="DR133" s="20" t="e">
        <f t="shared" si="124"/>
        <v>#NUM!</v>
      </c>
      <c r="DS133" s="59" t="e">
        <f t="shared" si="125"/>
        <v>#NUM!</v>
      </c>
      <c r="DT133" s="59">
        <f ca="1">AVERAGE(OFFSET($DS$3,0,0,'Données projet'!$E$14+1,1))-AVERAGE(OFFSET($H$3,0,0,'Données projet'!$E$14+1,1))</f>
        <v>0</v>
      </c>
      <c r="DU133" s="59">
        <f t="shared" ref="DU133:DU196" si="152">$DU$3</f>
        <v>0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</v>
      </c>
      <c r="EB133" s="21">
        <f>EXP(-LN(2)/25)*EB132+(1-EXP(-LN(2)/25))/(LN(2)/25)*Calculateur!DW133*Calculateur!DY133*VLOOKUP('Données projet'!$B$14,Paramètres!$A$1:$I$89,3,0)*0.475*44/12</f>
        <v>0</v>
      </c>
      <c r="EC133" s="21">
        <f>EXP(-LN(2)/2)*EC132+(1-EXP(-LN(2)/2))/(LN(2)/2)*DW133*DZ133*VLOOKUP('Données projet'!$B$14,Paramètres!$A$1:$I$89,3,0)*0.475*44/12</f>
        <v>0</v>
      </c>
      <c r="ED133" s="22">
        <f t="shared" si="126"/>
        <v>0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>
        <f>EJ133*VLOOKUP('Données projet'!$B$15,Paramètres!$A$1:$I$89,3,0)*VLOOKUP('Données projet'!$B$15,Paramètres!$A$1:$I$89,5,0)</f>
        <v>0</v>
      </c>
      <c r="EL133" s="13" t="e">
        <f t="shared" ref="EL133:EL153" si="153">EXP(-1.0587+0.8836*LN(EK133)+0.284)</f>
        <v>#NUM!</v>
      </c>
      <c r="EM133" s="20" t="e">
        <f t="shared" si="127"/>
        <v>#NUM!</v>
      </c>
      <c r="EN133" s="59" t="e">
        <f t="shared" si="128"/>
        <v>#NUM!</v>
      </c>
      <c r="EO133" s="59">
        <f ca="1">AVERAGE(OFFSET($EN$3,0,0,'Données projet'!$E$15+1,1))-AVERAGE(OFFSET($H$3,0,0,'Données projet'!$E$15+1,1))</f>
        <v>0</v>
      </c>
      <c r="EP133" s="59">
        <f t="shared" ref="EP133:EP196" si="154">$EP$3</f>
        <v>0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>
        <f>EXP(-LN(2)/35)*EV132+(1-EXP(-LN(2)/35))/(LN(2)/35)*ER133*ES133*VLOOKUP('Données projet'!$B$15,Paramètres!$A$1:$I$89,3,0)*0.475*44/12</f>
        <v>0</v>
      </c>
      <c r="EW133" s="21">
        <f>EXP(-LN(2)/25)*EW132+(1-EXP(-LN(2)/25))/(LN(2)/25)*Calculateur!ER133*Calculateur!ET133*VLOOKUP('Données projet'!$B$15,Paramètres!$A$1:$I$89,3,0)*0.475*44/12</f>
        <v>0</v>
      </c>
      <c r="EX133" s="21">
        <f>EXP(-LN(2)/2)*EX132+(1-EXP(-LN(2)/2))/(LN(2)/2)*ER133*EU133*VLOOKUP('Données projet'!$B$15,Paramètres!$A$1:$I$89,3,0)*0.475*44/12</f>
        <v>0</v>
      </c>
      <c r="EY133" s="22">
        <f t="shared" si="129"/>
        <v>0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>
        <f>FE133*VLOOKUP('Données projet'!$B$16,Paramètres!$A$1:$I$89,3,0)*VLOOKUP('Données projet'!$B$16,Paramètres!$A$1:$I$89,5,0)</f>
        <v>0</v>
      </c>
      <c r="FG133" s="13" t="e">
        <f t="shared" ref="FG133:FG153" si="155">EXP(-1.0587+0.8836*LN(FF133)+0.284)</f>
        <v>#NUM!</v>
      </c>
      <c r="FH133" s="20" t="e">
        <f t="shared" si="130"/>
        <v>#NUM!</v>
      </c>
      <c r="FI133" s="59" t="e">
        <f t="shared" si="131"/>
        <v>#NUM!</v>
      </c>
      <c r="FJ133" s="59">
        <f ca="1">AVERAGE(OFFSET($FI$3,0,0,'Données projet'!$E$16+1,1))-AVERAGE(OFFSET($H$3,0,0,'Données projet'!$E$16+1,1))</f>
        <v>0</v>
      </c>
      <c r="FK133" s="59">
        <f t="shared" ref="FK133:FK196" si="156">$FK$3</f>
        <v>0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>
        <f>EXP(-LN(2)/35)*FQ132+(1-EXP(-LN(2)/35))/(LN(2)/35)*FM133*FN133*VLOOKUP('Données projet'!$B$16,Paramètres!$A$1:$I$89,3,0)*0.475*44/12</f>
        <v>0</v>
      </c>
      <c r="FR133" s="21">
        <f>EXP(-LN(2)/25)*FR132+(1-EXP(-LN(2)/25))/(LN(2)/25)*Calculateur!FM133*Calculateur!FO133*VLOOKUP('Données projet'!$B$16,Paramètres!$A$1:$I$89,3,0)*0.475*44/12</f>
        <v>0</v>
      </c>
      <c r="FS133" s="21">
        <f>EXP(-LN(2)/2)*FS132+(1-EXP(-LN(2)/2))/(LN(2)/2)*FM133*FP133*VLOOKUP('Données projet'!$B$16,Paramètres!$A$1:$I$89,3,0)*0.475*44/12</f>
        <v>0</v>
      </c>
      <c r="FT133" s="22">
        <f t="shared" si="132"/>
        <v>0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1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186.90544184210381</v>
      </c>
      <c r="T134" s="59">
        <f t="shared" si="142"/>
        <v>202.05988514450519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29.164769833227979</v>
      </c>
      <c r="AA134" s="21">
        <f>EXP(-LN(2)/25)*AA133+(1-EXP(-LN(2)/25))/(LN(2)/25)*Calculateur!V134*Calculateur!X134*VLOOKUP('Données projet'!$B$9,Paramètres!$A$1:$I$89,3,0)*0.475*44/12</f>
        <v>3.051569218080918</v>
      </c>
      <c r="AB134" s="21">
        <f>EXP(-LN(2)/2)*AB133+(1-EXP(-LN(2)/2))/(LN(2)/2)*V134*Y134*VLOOKUP('Données projet'!$B$9,Paramètres!$A$1:$I$89,3,0)*0.475*44/12</f>
        <v>8.8540862049676632E-10</v>
      </c>
      <c r="AC134" s="22">
        <f t="shared" si="111"/>
        <v>32.216339052194307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>
        <f>AI134*VLOOKUP('Données projet'!$B$10,Paramètres!$A$1:$I$89,3,0)*VLOOKUP('Données projet'!$B$10,Paramètres!$A$1:$I$89,5,0)</f>
        <v>0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186.90544184210381</v>
      </c>
      <c r="AO134" s="59">
        <f t="shared" si="144"/>
        <v>202.05988514450519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29.164769833227979</v>
      </c>
      <c r="AV134" s="21">
        <f>EXP(-LN(2)/25)*AV133+(1-EXP(-LN(2)/25))/(LN(2)/25)*Calculateur!AQ134*Calculateur!AS134*VLOOKUP('Données projet'!$B$10,Paramètres!$A$1:$I$89,3,0)*0.475*44/12</f>
        <v>3.051569218080918</v>
      </c>
      <c r="AW134" s="21">
        <f>EXP(-LN(2)/2)*AW133+(1-EXP(-LN(2)/2))/(LN(2)/2)*AQ134*AT134*VLOOKUP('Données projet'!$B$10,Paramètres!$A$1:$I$89,3,0)*0.475*44/12</f>
        <v>8.8540862049676632E-10</v>
      </c>
      <c r="AX134" s="21">
        <f t="shared" si="114"/>
        <v>32.216339052194307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-2.8421709430404007E-14</v>
      </c>
      <c r="BE134" s="13">
        <f>BD134*VLOOKUP('Données projet'!$B$11,Paramètres!$A$1:$I$89,3,0)*VLOOKUP('Données projet'!$B$11,Paramètres!$A$1:$I$89,5,0)</f>
        <v>-2.3055690689943732E-14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5.8584049049231908</v>
      </c>
      <c r="BJ134" s="59">
        <f t="shared" si="146"/>
        <v>42.266833200216638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2.0824018268675841E-13</v>
      </c>
      <c r="BS134" s="22">
        <f t="shared" si="117"/>
        <v>2.0824018268675841E-13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>
        <f>BY134*VLOOKUP('Données projet'!$B$12,Paramètres!$A$1:$I$89,3,0)*VLOOKUP('Données projet'!$B$12,Paramètres!$A$1:$I$89,5,0)</f>
        <v>0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0</v>
      </c>
      <c r="CE134" s="59">
        <f t="shared" si="148"/>
        <v>0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0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>
        <f>CT134*VLOOKUP('Données projet'!$B$13,Paramètres!$A$1:$I$89,3,0)*VLOOKUP('Données projet'!$B$13,Paramètres!$A$1:$I$89,5,0)</f>
        <v>0</v>
      </c>
      <c r="CV134" s="13" t="e">
        <f t="shared" si="149"/>
        <v>#NUM!</v>
      </c>
      <c r="CW134" s="20" t="e">
        <f t="shared" si="121"/>
        <v>#NUM!</v>
      </c>
      <c r="CX134" s="59" t="e">
        <f t="shared" si="122"/>
        <v>#NUM!</v>
      </c>
      <c r="CY134" s="59">
        <f ca="1">AVERAGE(OFFSET($CX$3,0,0,'Données projet'!$E$13+1,1))-AVERAGE(OFFSET($H$3,0,0,'Données projet'!$E$13+1,1))</f>
        <v>0</v>
      </c>
      <c r="CZ134" s="59">
        <f t="shared" si="150"/>
        <v>0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</v>
      </c>
      <c r="DG134" s="21">
        <f>EXP(-LN(2)/25)*DG133+(1-EXP(-LN(2)/25))/(LN(2)/25)*Calculateur!DB134*Calculateur!DD134*VLOOKUP('Données projet'!$B$13,Paramètres!$A$1:$I$89,3,0)*0.475*44/12</f>
        <v>0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0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>
        <f>DO134*VLOOKUP('Données projet'!$B$14,Paramètres!$A$1:$I$89,3,0)*VLOOKUP('Données projet'!$B$14,Paramètres!$A$1:$I$89,5,0)</f>
        <v>0</v>
      </c>
      <c r="DQ134" s="13" t="e">
        <f t="shared" si="151"/>
        <v>#NUM!</v>
      </c>
      <c r="DR134" s="20" t="e">
        <f t="shared" si="124"/>
        <v>#NUM!</v>
      </c>
      <c r="DS134" s="59" t="e">
        <f t="shared" si="125"/>
        <v>#NUM!</v>
      </c>
      <c r="DT134" s="59">
        <f ca="1">AVERAGE(OFFSET($DS$3,0,0,'Données projet'!$E$14+1,1))-AVERAGE(OFFSET($H$3,0,0,'Données projet'!$E$14+1,1))</f>
        <v>0</v>
      </c>
      <c r="DU134" s="59">
        <f t="shared" si="152"/>
        <v>0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</v>
      </c>
      <c r="EB134" s="21">
        <f>EXP(-LN(2)/25)*EB133+(1-EXP(-LN(2)/25))/(LN(2)/25)*Calculateur!DW134*Calculateur!DY134*VLOOKUP('Données projet'!$B$14,Paramètres!$A$1:$I$89,3,0)*0.475*44/12</f>
        <v>0</v>
      </c>
      <c r="EC134" s="21">
        <f>EXP(-LN(2)/2)*EC133+(1-EXP(-LN(2)/2))/(LN(2)/2)*DW134*DZ134*VLOOKUP('Données projet'!$B$14,Paramètres!$A$1:$I$89,3,0)*0.475*44/12</f>
        <v>0</v>
      </c>
      <c r="ED134" s="22">
        <f t="shared" si="126"/>
        <v>0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>
        <f>EJ134*VLOOKUP('Données projet'!$B$15,Paramètres!$A$1:$I$89,3,0)*VLOOKUP('Données projet'!$B$15,Paramètres!$A$1:$I$89,5,0)</f>
        <v>0</v>
      </c>
      <c r="EL134" s="13" t="e">
        <f t="shared" si="153"/>
        <v>#NUM!</v>
      </c>
      <c r="EM134" s="20" t="e">
        <f t="shared" si="127"/>
        <v>#NUM!</v>
      </c>
      <c r="EN134" s="59" t="e">
        <f t="shared" si="128"/>
        <v>#NUM!</v>
      </c>
      <c r="EO134" s="59">
        <f ca="1">AVERAGE(OFFSET($EN$3,0,0,'Données projet'!$E$15+1,1))-AVERAGE(OFFSET($H$3,0,0,'Données projet'!$E$15+1,1))</f>
        <v>0</v>
      </c>
      <c r="EP134" s="59">
        <f t="shared" si="154"/>
        <v>0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>
        <f>EXP(-LN(2)/35)*EV133+(1-EXP(-LN(2)/35))/(LN(2)/35)*ER134*ES134*VLOOKUP('Données projet'!$B$15,Paramètres!$A$1:$I$89,3,0)*0.475*44/12</f>
        <v>0</v>
      </c>
      <c r="EW134" s="21">
        <f>EXP(-LN(2)/25)*EW133+(1-EXP(-LN(2)/25))/(LN(2)/25)*Calculateur!ER134*Calculateur!ET134*VLOOKUP('Données projet'!$B$15,Paramètres!$A$1:$I$89,3,0)*0.475*44/12</f>
        <v>0</v>
      </c>
      <c r="EX134" s="21">
        <f>EXP(-LN(2)/2)*EX133+(1-EXP(-LN(2)/2))/(LN(2)/2)*ER134*EU134*VLOOKUP('Données projet'!$B$15,Paramètres!$A$1:$I$89,3,0)*0.475*44/12</f>
        <v>0</v>
      </c>
      <c r="EY134" s="22">
        <f t="shared" si="129"/>
        <v>0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>
        <f>FE134*VLOOKUP('Données projet'!$B$16,Paramètres!$A$1:$I$89,3,0)*VLOOKUP('Données projet'!$B$16,Paramètres!$A$1:$I$89,5,0)</f>
        <v>0</v>
      </c>
      <c r="FG134" s="13" t="e">
        <f t="shared" si="155"/>
        <v>#NUM!</v>
      </c>
      <c r="FH134" s="20" t="e">
        <f t="shared" si="130"/>
        <v>#NUM!</v>
      </c>
      <c r="FI134" s="59" t="e">
        <f t="shared" si="131"/>
        <v>#NUM!</v>
      </c>
      <c r="FJ134" s="59">
        <f ca="1">AVERAGE(OFFSET($FI$3,0,0,'Données projet'!$E$16+1,1))-AVERAGE(OFFSET($H$3,0,0,'Données projet'!$E$16+1,1))</f>
        <v>0</v>
      </c>
      <c r="FK134" s="59">
        <f t="shared" si="156"/>
        <v>0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>
        <f>EXP(-LN(2)/35)*FQ133+(1-EXP(-LN(2)/35))/(LN(2)/35)*FM134*FN134*VLOOKUP('Données projet'!$B$16,Paramètres!$A$1:$I$89,3,0)*0.475*44/12</f>
        <v>0</v>
      </c>
      <c r="FR134" s="21">
        <f>EXP(-LN(2)/25)*FR133+(1-EXP(-LN(2)/25))/(LN(2)/25)*Calculateur!FM134*Calculateur!FO134*VLOOKUP('Données projet'!$B$16,Paramètres!$A$1:$I$89,3,0)*0.475*44/12</f>
        <v>0</v>
      </c>
      <c r="FS134" s="21">
        <f>EXP(-LN(2)/2)*FS133+(1-EXP(-LN(2)/2))/(LN(2)/2)*FM134*FP134*VLOOKUP('Données projet'!$B$16,Paramètres!$A$1:$I$89,3,0)*0.475*44/12</f>
        <v>0</v>
      </c>
      <c r="FT134" s="22">
        <f t="shared" si="132"/>
        <v>0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1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186.90544184210381</v>
      </c>
      <c r="T135" s="59">
        <f t="shared" si="142"/>
        <v>202.05988514450519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28.592866485551482</v>
      </c>
      <c r="AA135" s="21">
        <f>EXP(-LN(2)/25)*AA134+(1-EXP(-LN(2)/25))/(LN(2)/25)*Calculateur!V135*Calculateur!X135*VLOOKUP('Données projet'!$B$9,Paramètres!$A$1:$I$89,3,0)*0.475*44/12</f>
        <v>2.9681238973374446</v>
      </c>
      <c r="AB135" s="21">
        <f>EXP(-LN(2)/2)*AB134+(1-EXP(-LN(2)/2))/(LN(2)/2)*V135*Y135*VLOOKUP('Données projet'!$B$9,Paramètres!$A$1:$I$89,3,0)*0.475*44/12</f>
        <v>6.2607843967428983E-10</v>
      </c>
      <c r="AC135" s="22">
        <f t="shared" si="111"/>
        <v>31.560990383515005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>
        <f>AI135*VLOOKUP('Données projet'!$B$10,Paramètres!$A$1:$I$89,3,0)*VLOOKUP('Données projet'!$B$10,Paramètres!$A$1:$I$89,5,0)</f>
        <v>0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186.90544184210381</v>
      </c>
      <c r="AO135" s="59">
        <f t="shared" si="144"/>
        <v>202.05988514450519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28.592866485551482</v>
      </c>
      <c r="AV135" s="21">
        <f>EXP(-LN(2)/25)*AV134+(1-EXP(-LN(2)/25))/(LN(2)/25)*Calculateur!AQ135*Calculateur!AS135*VLOOKUP('Données projet'!$B$10,Paramètres!$A$1:$I$89,3,0)*0.475*44/12</f>
        <v>2.9681238973374446</v>
      </c>
      <c r="AW135" s="21">
        <f>EXP(-LN(2)/2)*AW134+(1-EXP(-LN(2)/2))/(LN(2)/2)*AQ135*AT135*VLOOKUP('Données projet'!$B$10,Paramètres!$A$1:$I$89,3,0)*0.475*44/12</f>
        <v>6.2607843967428983E-10</v>
      </c>
      <c r="AX135" s="21">
        <f t="shared" si="114"/>
        <v>31.560990383515005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-2.8421709430404007E-14</v>
      </c>
      <c r="BE135" s="13">
        <f>BD135*VLOOKUP('Données projet'!$B$11,Paramètres!$A$1:$I$89,3,0)*VLOOKUP('Données projet'!$B$11,Paramètres!$A$1:$I$89,5,0)</f>
        <v>-2.3055690689943732E-14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5.8584049049231908</v>
      </c>
      <c r="BJ135" s="59">
        <f t="shared" si="146"/>
        <v>42.266833200216638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1.4724804529333236E-13</v>
      </c>
      <c r="BS135" s="22">
        <f t="shared" si="117"/>
        <v>1.4724804529333236E-13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>
        <f>BY135*VLOOKUP('Données projet'!$B$12,Paramètres!$A$1:$I$89,3,0)*VLOOKUP('Données projet'!$B$12,Paramètres!$A$1:$I$89,5,0)</f>
        <v>0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0</v>
      </c>
      <c r="CE135" s="59">
        <f t="shared" si="148"/>
        <v>0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0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>
        <f>CT135*VLOOKUP('Données projet'!$B$13,Paramètres!$A$1:$I$89,3,0)*VLOOKUP('Données projet'!$B$13,Paramètres!$A$1:$I$89,5,0)</f>
        <v>0</v>
      </c>
      <c r="CV135" s="13" t="e">
        <f t="shared" si="149"/>
        <v>#NUM!</v>
      </c>
      <c r="CW135" s="20" t="e">
        <f t="shared" si="121"/>
        <v>#NUM!</v>
      </c>
      <c r="CX135" s="59" t="e">
        <f t="shared" si="122"/>
        <v>#NUM!</v>
      </c>
      <c r="CY135" s="59">
        <f ca="1">AVERAGE(OFFSET($CX$3,0,0,'Données projet'!$E$13+1,1))-AVERAGE(OFFSET($H$3,0,0,'Données projet'!$E$13+1,1))</f>
        <v>0</v>
      </c>
      <c r="CZ135" s="59">
        <f t="shared" si="150"/>
        <v>0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</v>
      </c>
      <c r="DG135" s="21">
        <f>EXP(-LN(2)/25)*DG134+(1-EXP(-LN(2)/25))/(LN(2)/25)*Calculateur!DB135*Calculateur!DD135*VLOOKUP('Données projet'!$B$13,Paramètres!$A$1:$I$89,3,0)*0.475*44/12</f>
        <v>0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0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>
        <f>DO135*VLOOKUP('Données projet'!$B$14,Paramètres!$A$1:$I$89,3,0)*VLOOKUP('Données projet'!$B$14,Paramètres!$A$1:$I$89,5,0)</f>
        <v>0</v>
      </c>
      <c r="DQ135" s="13" t="e">
        <f t="shared" si="151"/>
        <v>#NUM!</v>
      </c>
      <c r="DR135" s="20" t="e">
        <f t="shared" si="124"/>
        <v>#NUM!</v>
      </c>
      <c r="DS135" s="59" t="e">
        <f t="shared" si="125"/>
        <v>#NUM!</v>
      </c>
      <c r="DT135" s="59">
        <f ca="1">AVERAGE(OFFSET($DS$3,0,0,'Données projet'!$E$14+1,1))-AVERAGE(OFFSET($H$3,0,0,'Données projet'!$E$14+1,1))</f>
        <v>0</v>
      </c>
      <c r="DU135" s="59">
        <f t="shared" si="152"/>
        <v>0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</v>
      </c>
      <c r="EB135" s="21">
        <f>EXP(-LN(2)/25)*EB134+(1-EXP(-LN(2)/25))/(LN(2)/25)*Calculateur!DW135*Calculateur!DY135*VLOOKUP('Données projet'!$B$14,Paramètres!$A$1:$I$89,3,0)*0.475*44/12</f>
        <v>0</v>
      </c>
      <c r="EC135" s="21">
        <f>EXP(-LN(2)/2)*EC134+(1-EXP(-LN(2)/2))/(LN(2)/2)*DW135*DZ135*VLOOKUP('Données projet'!$B$14,Paramètres!$A$1:$I$89,3,0)*0.475*44/12</f>
        <v>0</v>
      </c>
      <c r="ED135" s="22">
        <f t="shared" si="126"/>
        <v>0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>
        <f>EJ135*VLOOKUP('Données projet'!$B$15,Paramètres!$A$1:$I$89,3,0)*VLOOKUP('Données projet'!$B$15,Paramètres!$A$1:$I$89,5,0)</f>
        <v>0</v>
      </c>
      <c r="EL135" s="13" t="e">
        <f t="shared" si="153"/>
        <v>#NUM!</v>
      </c>
      <c r="EM135" s="20" t="e">
        <f t="shared" si="127"/>
        <v>#NUM!</v>
      </c>
      <c r="EN135" s="59" t="e">
        <f t="shared" si="128"/>
        <v>#NUM!</v>
      </c>
      <c r="EO135" s="59">
        <f ca="1">AVERAGE(OFFSET($EN$3,0,0,'Données projet'!$E$15+1,1))-AVERAGE(OFFSET($H$3,0,0,'Données projet'!$E$15+1,1))</f>
        <v>0</v>
      </c>
      <c r="EP135" s="59">
        <f t="shared" si="154"/>
        <v>0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>
        <f>EXP(-LN(2)/35)*EV134+(1-EXP(-LN(2)/35))/(LN(2)/35)*ER135*ES135*VLOOKUP('Données projet'!$B$15,Paramètres!$A$1:$I$89,3,0)*0.475*44/12</f>
        <v>0</v>
      </c>
      <c r="EW135" s="21">
        <f>EXP(-LN(2)/25)*EW134+(1-EXP(-LN(2)/25))/(LN(2)/25)*Calculateur!ER135*Calculateur!ET135*VLOOKUP('Données projet'!$B$15,Paramètres!$A$1:$I$89,3,0)*0.475*44/12</f>
        <v>0</v>
      </c>
      <c r="EX135" s="21">
        <f>EXP(-LN(2)/2)*EX134+(1-EXP(-LN(2)/2))/(LN(2)/2)*ER135*EU135*VLOOKUP('Données projet'!$B$15,Paramètres!$A$1:$I$89,3,0)*0.475*44/12</f>
        <v>0</v>
      </c>
      <c r="EY135" s="22">
        <f t="shared" si="129"/>
        <v>0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>
        <f>FE135*VLOOKUP('Données projet'!$B$16,Paramètres!$A$1:$I$89,3,0)*VLOOKUP('Données projet'!$B$16,Paramètres!$A$1:$I$89,5,0)</f>
        <v>0</v>
      </c>
      <c r="FG135" s="13" t="e">
        <f t="shared" si="155"/>
        <v>#NUM!</v>
      </c>
      <c r="FH135" s="20" t="e">
        <f t="shared" si="130"/>
        <v>#NUM!</v>
      </c>
      <c r="FI135" s="59" t="e">
        <f t="shared" si="131"/>
        <v>#NUM!</v>
      </c>
      <c r="FJ135" s="59">
        <f ca="1">AVERAGE(OFFSET($FI$3,0,0,'Données projet'!$E$16+1,1))-AVERAGE(OFFSET($H$3,0,0,'Données projet'!$E$16+1,1))</f>
        <v>0</v>
      </c>
      <c r="FK135" s="59">
        <f t="shared" si="156"/>
        <v>0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>
        <f>EXP(-LN(2)/35)*FQ134+(1-EXP(-LN(2)/35))/(LN(2)/35)*FM135*FN135*VLOOKUP('Données projet'!$B$16,Paramètres!$A$1:$I$89,3,0)*0.475*44/12</f>
        <v>0</v>
      </c>
      <c r="FR135" s="21">
        <f>EXP(-LN(2)/25)*FR134+(1-EXP(-LN(2)/25))/(LN(2)/25)*Calculateur!FM135*Calculateur!FO135*VLOOKUP('Données projet'!$B$16,Paramètres!$A$1:$I$89,3,0)*0.475*44/12</f>
        <v>0</v>
      </c>
      <c r="FS135" s="21">
        <f>EXP(-LN(2)/2)*FS134+(1-EXP(-LN(2)/2))/(LN(2)/2)*FM135*FP135*VLOOKUP('Données projet'!$B$16,Paramètres!$A$1:$I$89,3,0)*0.475*44/12</f>
        <v>0</v>
      </c>
      <c r="FT135" s="22">
        <f t="shared" si="132"/>
        <v>0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1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186.90544184210381</v>
      </c>
      <c r="T136" s="59">
        <f t="shared" si="142"/>
        <v>202.05988514450519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28.032177813696325</v>
      </c>
      <c r="AA136" s="21">
        <f>EXP(-LN(2)/25)*AA135+(1-EXP(-LN(2)/25))/(LN(2)/25)*Calculateur!V136*Calculateur!X136*VLOOKUP('Données projet'!$B$9,Paramètres!$A$1:$I$89,3,0)*0.475*44/12</f>
        <v>2.8869603932779002</v>
      </c>
      <c r="AB136" s="21">
        <f>EXP(-LN(2)/2)*AB135+(1-EXP(-LN(2)/2))/(LN(2)/2)*V136*Y136*VLOOKUP('Données projet'!$B$9,Paramètres!$A$1:$I$89,3,0)*0.475*44/12</f>
        <v>4.4270431024838316E-10</v>
      </c>
      <c r="AC136" s="22">
        <f t="shared" si="111"/>
        <v>30.919138207416928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>
        <f>AI136*VLOOKUP('Données projet'!$B$10,Paramètres!$A$1:$I$89,3,0)*VLOOKUP('Données projet'!$B$10,Paramètres!$A$1:$I$89,5,0)</f>
        <v>0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186.90544184210381</v>
      </c>
      <c r="AO136" s="59">
        <f t="shared" si="144"/>
        <v>202.05988514450519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28.032177813696325</v>
      </c>
      <c r="AV136" s="21">
        <f>EXP(-LN(2)/25)*AV135+(1-EXP(-LN(2)/25))/(LN(2)/25)*Calculateur!AQ136*Calculateur!AS136*VLOOKUP('Données projet'!$B$10,Paramètres!$A$1:$I$89,3,0)*0.475*44/12</f>
        <v>2.8869603932779002</v>
      </c>
      <c r="AW136" s="21">
        <f>EXP(-LN(2)/2)*AW135+(1-EXP(-LN(2)/2))/(LN(2)/2)*AQ136*AT136*VLOOKUP('Données projet'!$B$10,Paramètres!$A$1:$I$89,3,0)*0.475*44/12</f>
        <v>4.4270431024838316E-10</v>
      </c>
      <c r="AX136" s="21">
        <f t="shared" si="114"/>
        <v>30.919138207416928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-2.8421709430404007E-14</v>
      </c>
      <c r="BE136" s="13">
        <f>BD136*VLOOKUP('Données projet'!$B$11,Paramètres!$A$1:$I$89,3,0)*VLOOKUP('Données projet'!$B$11,Paramètres!$A$1:$I$89,5,0)</f>
        <v>-2.3055690689943732E-14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5.8584049049231908</v>
      </c>
      <c r="BJ136" s="59">
        <f t="shared" si="146"/>
        <v>42.266833200216638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1.041200913433792E-13</v>
      </c>
      <c r="BS136" s="22">
        <f t="shared" si="117"/>
        <v>1.041200913433792E-13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>
        <f>BY136*VLOOKUP('Données projet'!$B$12,Paramètres!$A$1:$I$89,3,0)*VLOOKUP('Données projet'!$B$12,Paramètres!$A$1:$I$89,5,0)</f>
        <v>0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0</v>
      </c>
      <c r="CE136" s="59">
        <f t="shared" si="148"/>
        <v>0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0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>
        <f>CT136*VLOOKUP('Données projet'!$B$13,Paramètres!$A$1:$I$89,3,0)*VLOOKUP('Données projet'!$B$13,Paramètres!$A$1:$I$89,5,0)</f>
        <v>0</v>
      </c>
      <c r="CV136" s="13" t="e">
        <f t="shared" si="149"/>
        <v>#NUM!</v>
      </c>
      <c r="CW136" s="20" t="e">
        <f t="shared" si="121"/>
        <v>#NUM!</v>
      </c>
      <c r="CX136" s="59" t="e">
        <f t="shared" si="122"/>
        <v>#NUM!</v>
      </c>
      <c r="CY136" s="59">
        <f ca="1">AVERAGE(OFFSET($CX$3,0,0,'Données projet'!$E$13+1,1))-AVERAGE(OFFSET($H$3,0,0,'Données projet'!$E$13+1,1))</f>
        <v>0</v>
      </c>
      <c r="CZ136" s="59">
        <f t="shared" si="150"/>
        <v>0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</v>
      </c>
      <c r="DG136" s="21">
        <f>EXP(-LN(2)/25)*DG135+(1-EXP(-LN(2)/25))/(LN(2)/25)*Calculateur!DB136*Calculateur!DD136*VLOOKUP('Données projet'!$B$13,Paramètres!$A$1:$I$89,3,0)*0.475*44/12</f>
        <v>0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0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>
        <f>DO136*VLOOKUP('Données projet'!$B$14,Paramètres!$A$1:$I$89,3,0)*VLOOKUP('Données projet'!$B$14,Paramètres!$A$1:$I$89,5,0)</f>
        <v>0</v>
      </c>
      <c r="DQ136" s="13" t="e">
        <f t="shared" si="151"/>
        <v>#NUM!</v>
      </c>
      <c r="DR136" s="20" t="e">
        <f t="shared" si="124"/>
        <v>#NUM!</v>
      </c>
      <c r="DS136" s="59" t="e">
        <f t="shared" si="125"/>
        <v>#NUM!</v>
      </c>
      <c r="DT136" s="59">
        <f ca="1">AVERAGE(OFFSET($DS$3,0,0,'Données projet'!$E$14+1,1))-AVERAGE(OFFSET($H$3,0,0,'Données projet'!$E$14+1,1))</f>
        <v>0</v>
      </c>
      <c r="DU136" s="59">
        <f t="shared" si="152"/>
        <v>0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</v>
      </c>
      <c r="EB136" s="21">
        <f>EXP(-LN(2)/25)*EB135+(1-EXP(-LN(2)/25))/(LN(2)/25)*Calculateur!DW136*Calculateur!DY136*VLOOKUP('Données projet'!$B$14,Paramètres!$A$1:$I$89,3,0)*0.475*44/12</f>
        <v>0</v>
      </c>
      <c r="EC136" s="21">
        <f>EXP(-LN(2)/2)*EC135+(1-EXP(-LN(2)/2))/(LN(2)/2)*DW136*DZ136*VLOOKUP('Données projet'!$B$14,Paramètres!$A$1:$I$89,3,0)*0.475*44/12</f>
        <v>0</v>
      </c>
      <c r="ED136" s="22">
        <f t="shared" si="126"/>
        <v>0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>
        <f>EJ136*VLOOKUP('Données projet'!$B$15,Paramètres!$A$1:$I$89,3,0)*VLOOKUP('Données projet'!$B$15,Paramètres!$A$1:$I$89,5,0)</f>
        <v>0</v>
      </c>
      <c r="EL136" s="13" t="e">
        <f t="shared" si="153"/>
        <v>#NUM!</v>
      </c>
      <c r="EM136" s="20" t="e">
        <f t="shared" si="127"/>
        <v>#NUM!</v>
      </c>
      <c r="EN136" s="59" t="e">
        <f t="shared" si="128"/>
        <v>#NUM!</v>
      </c>
      <c r="EO136" s="59">
        <f ca="1">AVERAGE(OFFSET($EN$3,0,0,'Données projet'!$E$15+1,1))-AVERAGE(OFFSET($H$3,0,0,'Données projet'!$E$15+1,1))</f>
        <v>0</v>
      </c>
      <c r="EP136" s="59">
        <f t="shared" si="154"/>
        <v>0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>
        <f>EXP(-LN(2)/35)*EV135+(1-EXP(-LN(2)/35))/(LN(2)/35)*ER136*ES136*VLOOKUP('Données projet'!$B$15,Paramètres!$A$1:$I$89,3,0)*0.475*44/12</f>
        <v>0</v>
      </c>
      <c r="EW136" s="21">
        <f>EXP(-LN(2)/25)*EW135+(1-EXP(-LN(2)/25))/(LN(2)/25)*Calculateur!ER136*Calculateur!ET136*VLOOKUP('Données projet'!$B$15,Paramètres!$A$1:$I$89,3,0)*0.475*44/12</f>
        <v>0</v>
      </c>
      <c r="EX136" s="21">
        <f>EXP(-LN(2)/2)*EX135+(1-EXP(-LN(2)/2))/(LN(2)/2)*ER136*EU136*VLOOKUP('Données projet'!$B$15,Paramètres!$A$1:$I$89,3,0)*0.475*44/12</f>
        <v>0</v>
      </c>
      <c r="EY136" s="22">
        <f t="shared" si="129"/>
        <v>0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>
        <f>FE136*VLOOKUP('Données projet'!$B$16,Paramètres!$A$1:$I$89,3,0)*VLOOKUP('Données projet'!$B$16,Paramètres!$A$1:$I$89,5,0)</f>
        <v>0</v>
      </c>
      <c r="FG136" s="13" t="e">
        <f t="shared" si="155"/>
        <v>#NUM!</v>
      </c>
      <c r="FH136" s="20" t="e">
        <f t="shared" si="130"/>
        <v>#NUM!</v>
      </c>
      <c r="FI136" s="59" t="e">
        <f t="shared" si="131"/>
        <v>#NUM!</v>
      </c>
      <c r="FJ136" s="59">
        <f ca="1">AVERAGE(OFFSET($FI$3,0,0,'Données projet'!$E$16+1,1))-AVERAGE(OFFSET($H$3,0,0,'Données projet'!$E$16+1,1))</f>
        <v>0</v>
      </c>
      <c r="FK136" s="59">
        <f t="shared" si="156"/>
        <v>0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>
        <f>EXP(-LN(2)/35)*FQ135+(1-EXP(-LN(2)/35))/(LN(2)/35)*FM136*FN136*VLOOKUP('Données projet'!$B$16,Paramètres!$A$1:$I$89,3,0)*0.475*44/12</f>
        <v>0</v>
      </c>
      <c r="FR136" s="21">
        <f>EXP(-LN(2)/25)*FR135+(1-EXP(-LN(2)/25))/(LN(2)/25)*Calculateur!FM136*Calculateur!FO136*VLOOKUP('Données projet'!$B$16,Paramètres!$A$1:$I$89,3,0)*0.475*44/12</f>
        <v>0</v>
      </c>
      <c r="FS136" s="21">
        <f>EXP(-LN(2)/2)*FS135+(1-EXP(-LN(2)/2))/(LN(2)/2)*FM136*FP136*VLOOKUP('Données projet'!$B$16,Paramètres!$A$1:$I$89,3,0)*0.475*44/12</f>
        <v>0</v>
      </c>
      <c r="FT136" s="22">
        <f t="shared" si="132"/>
        <v>0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1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186.90544184210381</v>
      </c>
      <c r="T137" s="59">
        <f t="shared" si="142"/>
        <v>202.05988514450519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27.482483904709927</v>
      </c>
      <c r="AA137" s="21">
        <f>EXP(-LN(2)/25)*AA136+(1-EXP(-LN(2)/25))/(LN(2)/25)*Calculateur!V137*Calculateur!X137*VLOOKUP('Données projet'!$B$9,Paramètres!$A$1:$I$89,3,0)*0.475*44/12</f>
        <v>2.8080163095050672</v>
      </c>
      <c r="AB137" s="21">
        <f>EXP(-LN(2)/2)*AB136+(1-EXP(-LN(2)/2))/(LN(2)/2)*V137*Y137*VLOOKUP('Données projet'!$B$9,Paramètres!$A$1:$I$89,3,0)*0.475*44/12</f>
        <v>3.1303921983714491E-10</v>
      </c>
      <c r="AC137" s="22">
        <f t="shared" si="111"/>
        <v>30.290500214528034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>
        <f>AI137*VLOOKUP('Données projet'!$B$10,Paramètres!$A$1:$I$89,3,0)*VLOOKUP('Données projet'!$B$10,Paramètres!$A$1:$I$89,5,0)</f>
        <v>0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186.90544184210381</v>
      </c>
      <c r="AO137" s="59">
        <f t="shared" si="144"/>
        <v>202.05988514450519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27.482483904709927</v>
      </c>
      <c r="AV137" s="21">
        <f>EXP(-LN(2)/25)*AV136+(1-EXP(-LN(2)/25))/(LN(2)/25)*Calculateur!AQ137*Calculateur!AS137*VLOOKUP('Données projet'!$B$10,Paramètres!$A$1:$I$89,3,0)*0.475*44/12</f>
        <v>2.8080163095050672</v>
      </c>
      <c r="AW137" s="21">
        <f>EXP(-LN(2)/2)*AW136+(1-EXP(-LN(2)/2))/(LN(2)/2)*AQ137*AT137*VLOOKUP('Données projet'!$B$10,Paramètres!$A$1:$I$89,3,0)*0.475*44/12</f>
        <v>3.1303921983714491E-10</v>
      </c>
      <c r="AX137" s="21">
        <f t="shared" si="114"/>
        <v>30.290500214528034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-2.8421709430404007E-14</v>
      </c>
      <c r="BE137" s="13">
        <f>BD137*VLOOKUP('Données projet'!$B$11,Paramètres!$A$1:$I$89,3,0)*VLOOKUP('Données projet'!$B$11,Paramètres!$A$1:$I$89,5,0)</f>
        <v>-2.3055690689943732E-14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5.8584049049231908</v>
      </c>
      <c r="BJ137" s="59">
        <f t="shared" si="146"/>
        <v>42.266833200216638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7.3624022646666179E-14</v>
      </c>
      <c r="BS137" s="22">
        <f t="shared" si="117"/>
        <v>7.3624022646666179E-14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>
        <f>BY137*VLOOKUP('Données projet'!$B$12,Paramètres!$A$1:$I$89,3,0)*VLOOKUP('Données projet'!$B$12,Paramètres!$A$1:$I$89,5,0)</f>
        <v>0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0</v>
      </c>
      <c r="CE137" s="59">
        <f t="shared" si="148"/>
        <v>0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0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>
        <f>CT137*VLOOKUP('Données projet'!$B$13,Paramètres!$A$1:$I$89,3,0)*VLOOKUP('Données projet'!$B$13,Paramètres!$A$1:$I$89,5,0)</f>
        <v>0</v>
      </c>
      <c r="CV137" s="13" t="e">
        <f t="shared" si="149"/>
        <v>#NUM!</v>
      </c>
      <c r="CW137" s="20" t="e">
        <f t="shared" si="121"/>
        <v>#NUM!</v>
      </c>
      <c r="CX137" s="59" t="e">
        <f t="shared" si="122"/>
        <v>#NUM!</v>
      </c>
      <c r="CY137" s="59">
        <f ca="1">AVERAGE(OFFSET($CX$3,0,0,'Données projet'!$E$13+1,1))-AVERAGE(OFFSET($H$3,0,0,'Données projet'!$E$13+1,1))</f>
        <v>0</v>
      </c>
      <c r="CZ137" s="59">
        <f t="shared" si="150"/>
        <v>0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</v>
      </c>
      <c r="DG137" s="21">
        <f>EXP(-LN(2)/25)*DG136+(1-EXP(-LN(2)/25))/(LN(2)/25)*Calculateur!DB137*Calculateur!DD137*VLOOKUP('Données projet'!$B$13,Paramètres!$A$1:$I$89,3,0)*0.475*44/12</f>
        <v>0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0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>
        <f>DO137*VLOOKUP('Données projet'!$B$14,Paramètres!$A$1:$I$89,3,0)*VLOOKUP('Données projet'!$B$14,Paramètres!$A$1:$I$89,5,0)</f>
        <v>0</v>
      </c>
      <c r="DQ137" s="13" t="e">
        <f t="shared" si="151"/>
        <v>#NUM!</v>
      </c>
      <c r="DR137" s="20" t="e">
        <f t="shared" si="124"/>
        <v>#NUM!</v>
      </c>
      <c r="DS137" s="59" t="e">
        <f t="shared" si="125"/>
        <v>#NUM!</v>
      </c>
      <c r="DT137" s="59">
        <f ca="1">AVERAGE(OFFSET($DS$3,0,0,'Données projet'!$E$14+1,1))-AVERAGE(OFFSET($H$3,0,0,'Données projet'!$E$14+1,1))</f>
        <v>0</v>
      </c>
      <c r="DU137" s="59">
        <f t="shared" si="152"/>
        <v>0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</v>
      </c>
      <c r="EB137" s="21">
        <f>EXP(-LN(2)/25)*EB136+(1-EXP(-LN(2)/25))/(LN(2)/25)*Calculateur!DW137*Calculateur!DY137*VLOOKUP('Données projet'!$B$14,Paramètres!$A$1:$I$89,3,0)*0.475*44/12</f>
        <v>0</v>
      </c>
      <c r="EC137" s="21">
        <f>EXP(-LN(2)/2)*EC136+(1-EXP(-LN(2)/2))/(LN(2)/2)*DW137*DZ137*VLOOKUP('Données projet'!$B$14,Paramètres!$A$1:$I$89,3,0)*0.475*44/12</f>
        <v>0</v>
      </c>
      <c r="ED137" s="22">
        <f t="shared" si="126"/>
        <v>0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>
        <f>EJ137*VLOOKUP('Données projet'!$B$15,Paramètres!$A$1:$I$89,3,0)*VLOOKUP('Données projet'!$B$15,Paramètres!$A$1:$I$89,5,0)</f>
        <v>0</v>
      </c>
      <c r="EL137" s="13" t="e">
        <f t="shared" si="153"/>
        <v>#NUM!</v>
      </c>
      <c r="EM137" s="20" t="e">
        <f t="shared" si="127"/>
        <v>#NUM!</v>
      </c>
      <c r="EN137" s="59" t="e">
        <f t="shared" si="128"/>
        <v>#NUM!</v>
      </c>
      <c r="EO137" s="59">
        <f ca="1">AVERAGE(OFFSET($EN$3,0,0,'Données projet'!$E$15+1,1))-AVERAGE(OFFSET($H$3,0,0,'Données projet'!$E$15+1,1))</f>
        <v>0</v>
      </c>
      <c r="EP137" s="59">
        <f t="shared" si="154"/>
        <v>0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>
        <f>EXP(-LN(2)/35)*EV136+(1-EXP(-LN(2)/35))/(LN(2)/35)*ER137*ES137*VLOOKUP('Données projet'!$B$15,Paramètres!$A$1:$I$89,3,0)*0.475*44/12</f>
        <v>0</v>
      </c>
      <c r="EW137" s="21">
        <f>EXP(-LN(2)/25)*EW136+(1-EXP(-LN(2)/25))/(LN(2)/25)*Calculateur!ER137*Calculateur!ET137*VLOOKUP('Données projet'!$B$15,Paramètres!$A$1:$I$89,3,0)*0.475*44/12</f>
        <v>0</v>
      </c>
      <c r="EX137" s="21">
        <f>EXP(-LN(2)/2)*EX136+(1-EXP(-LN(2)/2))/(LN(2)/2)*ER137*EU137*VLOOKUP('Données projet'!$B$15,Paramètres!$A$1:$I$89,3,0)*0.475*44/12</f>
        <v>0</v>
      </c>
      <c r="EY137" s="22">
        <f t="shared" si="129"/>
        <v>0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>
        <f>FE137*VLOOKUP('Données projet'!$B$16,Paramètres!$A$1:$I$89,3,0)*VLOOKUP('Données projet'!$B$16,Paramètres!$A$1:$I$89,5,0)</f>
        <v>0</v>
      </c>
      <c r="FG137" s="13" t="e">
        <f t="shared" si="155"/>
        <v>#NUM!</v>
      </c>
      <c r="FH137" s="20" t="e">
        <f t="shared" si="130"/>
        <v>#NUM!</v>
      </c>
      <c r="FI137" s="59" t="e">
        <f t="shared" si="131"/>
        <v>#NUM!</v>
      </c>
      <c r="FJ137" s="59">
        <f ca="1">AVERAGE(OFFSET($FI$3,0,0,'Données projet'!$E$16+1,1))-AVERAGE(OFFSET($H$3,0,0,'Données projet'!$E$16+1,1))</f>
        <v>0</v>
      </c>
      <c r="FK137" s="59">
        <f t="shared" si="156"/>
        <v>0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>
        <f>EXP(-LN(2)/35)*FQ136+(1-EXP(-LN(2)/35))/(LN(2)/35)*FM137*FN137*VLOOKUP('Données projet'!$B$16,Paramètres!$A$1:$I$89,3,0)*0.475*44/12</f>
        <v>0</v>
      </c>
      <c r="FR137" s="21">
        <f>EXP(-LN(2)/25)*FR136+(1-EXP(-LN(2)/25))/(LN(2)/25)*Calculateur!FM137*Calculateur!FO137*VLOOKUP('Données projet'!$B$16,Paramètres!$A$1:$I$89,3,0)*0.475*44/12</f>
        <v>0</v>
      </c>
      <c r="FS137" s="21">
        <f>EXP(-LN(2)/2)*FS136+(1-EXP(-LN(2)/2))/(LN(2)/2)*FM137*FP137*VLOOKUP('Données projet'!$B$16,Paramètres!$A$1:$I$89,3,0)*0.475*44/12</f>
        <v>0</v>
      </c>
      <c r="FT137" s="22">
        <f t="shared" si="132"/>
        <v>0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1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186.90544184210381</v>
      </c>
      <c r="T138" s="59">
        <f t="shared" si="142"/>
        <v>202.05988514450519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26.943569157998571</v>
      </c>
      <c r="AA138" s="21">
        <f>EXP(-LN(2)/25)*AA137+(1-EXP(-LN(2)/25))/(LN(2)/25)*Calculateur!V138*Calculateur!X138*VLOOKUP('Données projet'!$B$9,Paramètres!$A$1:$I$89,3,0)*0.475*44/12</f>
        <v>2.7312309558544912</v>
      </c>
      <c r="AB138" s="21">
        <f>EXP(-LN(2)/2)*AB137+(1-EXP(-LN(2)/2))/(LN(2)/2)*V138*Y138*VLOOKUP('Données projet'!$B$9,Paramètres!$A$1:$I$89,3,0)*0.475*44/12</f>
        <v>2.2135215512419158E-10</v>
      </c>
      <c r="AC138" s="22">
        <f t="shared" si="111"/>
        <v>29.674800114074415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>
        <f>AI138*VLOOKUP('Données projet'!$B$10,Paramètres!$A$1:$I$89,3,0)*VLOOKUP('Données projet'!$B$10,Paramètres!$A$1:$I$89,5,0)</f>
        <v>0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186.90544184210381</v>
      </c>
      <c r="AO138" s="59">
        <f t="shared" si="144"/>
        <v>202.05988514450519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26.943569157998571</v>
      </c>
      <c r="AV138" s="21">
        <f>EXP(-LN(2)/25)*AV137+(1-EXP(-LN(2)/25))/(LN(2)/25)*Calculateur!AQ138*Calculateur!AS138*VLOOKUP('Données projet'!$B$10,Paramètres!$A$1:$I$89,3,0)*0.475*44/12</f>
        <v>2.7312309558544912</v>
      </c>
      <c r="AW138" s="21">
        <f>EXP(-LN(2)/2)*AW137+(1-EXP(-LN(2)/2))/(LN(2)/2)*AQ138*AT138*VLOOKUP('Données projet'!$B$10,Paramètres!$A$1:$I$89,3,0)*0.475*44/12</f>
        <v>2.2135215512419158E-10</v>
      </c>
      <c r="AX138" s="21">
        <f t="shared" si="114"/>
        <v>29.674800114074415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-2.8421709430404007E-14</v>
      </c>
      <c r="BE138" s="13">
        <f>BD138*VLOOKUP('Données projet'!$B$11,Paramètres!$A$1:$I$89,3,0)*VLOOKUP('Données projet'!$B$11,Paramètres!$A$1:$I$89,5,0)</f>
        <v>-2.3055690689943732E-14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5.8584049049231908</v>
      </c>
      <c r="BJ138" s="59">
        <f t="shared" si="146"/>
        <v>42.266833200216638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5.2060045671689602E-14</v>
      </c>
      <c r="BS138" s="22">
        <f t="shared" si="117"/>
        <v>5.2060045671689602E-14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>
        <f>BY138*VLOOKUP('Données projet'!$B$12,Paramètres!$A$1:$I$89,3,0)*VLOOKUP('Données projet'!$B$12,Paramètres!$A$1:$I$89,5,0)</f>
        <v>0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0</v>
      </c>
      <c r="CE138" s="59">
        <f t="shared" si="148"/>
        <v>0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0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>
        <f>CT138*VLOOKUP('Données projet'!$B$13,Paramètres!$A$1:$I$89,3,0)*VLOOKUP('Données projet'!$B$13,Paramètres!$A$1:$I$89,5,0)</f>
        <v>0</v>
      </c>
      <c r="CV138" s="13" t="e">
        <f t="shared" si="149"/>
        <v>#NUM!</v>
      </c>
      <c r="CW138" s="20" t="e">
        <f t="shared" si="121"/>
        <v>#NUM!</v>
      </c>
      <c r="CX138" s="59" t="e">
        <f t="shared" si="122"/>
        <v>#NUM!</v>
      </c>
      <c r="CY138" s="59">
        <f ca="1">AVERAGE(OFFSET($CX$3,0,0,'Données projet'!$E$13+1,1))-AVERAGE(OFFSET($H$3,0,0,'Données projet'!$E$13+1,1))</f>
        <v>0</v>
      </c>
      <c r="CZ138" s="59">
        <f t="shared" si="150"/>
        <v>0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</v>
      </c>
      <c r="DG138" s="21">
        <f>EXP(-LN(2)/25)*DG137+(1-EXP(-LN(2)/25))/(LN(2)/25)*Calculateur!DB138*Calculateur!DD138*VLOOKUP('Données projet'!$B$13,Paramètres!$A$1:$I$89,3,0)*0.475*44/12</f>
        <v>0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0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>
        <f>DO138*VLOOKUP('Données projet'!$B$14,Paramètres!$A$1:$I$89,3,0)*VLOOKUP('Données projet'!$B$14,Paramètres!$A$1:$I$89,5,0)</f>
        <v>0</v>
      </c>
      <c r="DQ138" s="13" t="e">
        <f t="shared" si="151"/>
        <v>#NUM!</v>
      </c>
      <c r="DR138" s="20" t="e">
        <f t="shared" si="124"/>
        <v>#NUM!</v>
      </c>
      <c r="DS138" s="59" t="e">
        <f t="shared" si="125"/>
        <v>#NUM!</v>
      </c>
      <c r="DT138" s="59">
        <f ca="1">AVERAGE(OFFSET($DS$3,0,0,'Données projet'!$E$14+1,1))-AVERAGE(OFFSET($H$3,0,0,'Données projet'!$E$14+1,1))</f>
        <v>0</v>
      </c>
      <c r="DU138" s="59">
        <f t="shared" si="152"/>
        <v>0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</v>
      </c>
      <c r="EB138" s="21">
        <f>EXP(-LN(2)/25)*EB137+(1-EXP(-LN(2)/25))/(LN(2)/25)*Calculateur!DW138*Calculateur!DY138*VLOOKUP('Données projet'!$B$14,Paramètres!$A$1:$I$89,3,0)*0.475*44/12</f>
        <v>0</v>
      </c>
      <c r="EC138" s="21">
        <f>EXP(-LN(2)/2)*EC137+(1-EXP(-LN(2)/2))/(LN(2)/2)*DW138*DZ138*VLOOKUP('Données projet'!$B$14,Paramètres!$A$1:$I$89,3,0)*0.475*44/12</f>
        <v>0</v>
      </c>
      <c r="ED138" s="22">
        <f t="shared" si="126"/>
        <v>0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>
        <f>EJ138*VLOOKUP('Données projet'!$B$15,Paramètres!$A$1:$I$89,3,0)*VLOOKUP('Données projet'!$B$15,Paramètres!$A$1:$I$89,5,0)</f>
        <v>0</v>
      </c>
      <c r="EL138" s="13" t="e">
        <f t="shared" si="153"/>
        <v>#NUM!</v>
      </c>
      <c r="EM138" s="20" t="e">
        <f t="shared" si="127"/>
        <v>#NUM!</v>
      </c>
      <c r="EN138" s="59" t="e">
        <f t="shared" si="128"/>
        <v>#NUM!</v>
      </c>
      <c r="EO138" s="59">
        <f ca="1">AVERAGE(OFFSET($EN$3,0,0,'Données projet'!$E$15+1,1))-AVERAGE(OFFSET($H$3,0,0,'Données projet'!$E$15+1,1))</f>
        <v>0</v>
      </c>
      <c r="EP138" s="59">
        <f t="shared" si="154"/>
        <v>0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>
        <f>EXP(-LN(2)/35)*EV137+(1-EXP(-LN(2)/35))/(LN(2)/35)*ER138*ES138*VLOOKUP('Données projet'!$B$15,Paramètres!$A$1:$I$89,3,0)*0.475*44/12</f>
        <v>0</v>
      </c>
      <c r="EW138" s="21">
        <f>EXP(-LN(2)/25)*EW137+(1-EXP(-LN(2)/25))/(LN(2)/25)*Calculateur!ER138*Calculateur!ET138*VLOOKUP('Données projet'!$B$15,Paramètres!$A$1:$I$89,3,0)*0.475*44/12</f>
        <v>0</v>
      </c>
      <c r="EX138" s="21">
        <f>EXP(-LN(2)/2)*EX137+(1-EXP(-LN(2)/2))/(LN(2)/2)*ER138*EU138*VLOOKUP('Données projet'!$B$15,Paramètres!$A$1:$I$89,3,0)*0.475*44/12</f>
        <v>0</v>
      </c>
      <c r="EY138" s="22">
        <f t="shared" si="129"/>
        <v>0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>
        <f>FE138*VLOOKUP('Données projet'!$B$16,Paramètres!$A$1:$I$89,3,0)*VLOOKUP('Données projet'!$B$16,Paramètres!$A$1:$I$89,5,0)</f>
        <v>0</v>
      </c>
      <c r="FG138" s="13" t="e">
        <f t="shared" si="155"/>
        <v>#NUM!</v>
      </c>
      <c r="FH138" s="20" t="e">
        <f t="shared" si="130"/>
        <v>#NUM!</v>
      </c>
      <c r="FI138" s="59" t="e">
        <f t="shared" si="131"/>
        <v>#NUM!</v>
      </c>
      <c r="FJ138" s="59">
        <f ca="1">AVERAGE(OFFSET($FI$3,0,0,'Données projet'!$E$16+1,1))-AVERAGE(OFFSET($H$3,0,0,'Données projet'!$E$16+1,1))</f>
        <v>0</v>
      </c>
      <c r="FK138" s="59">
        <f t="shared" si="156"/>
        <v>0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>
        <f>EXP(-LN(2)/35)*FQ137+(1-EXP(-LN(2)/35))/(LN(2)/35)*FM138*FN138*VLOOKUP('Données projet'!$B$16,Paramètres!$A$1:$I$89,3,0)*0.475*44/12</f>
        <v>0</v>
      </c>
      <c r="FR138" s="21">
        <f>EXP(-LN(2)/25)*FR137+(1-EXP(-LN(2)/25))/(LN(2)/25)*Calculateur!FM138*Calculateur!FO138*VLOOKUP('Données projet'!$B$16,Paramètres!$A$1:$I$89,3,0)*0.475*44/12</f>
        <v>0</v>
      </c>
      <c r="FS138" s="21">
        <f>EXP(-LN(2)/2)*FS137+(1-EXP(-LN(2)/2))/(LN(2)/2)*FM138*FP138*VLOOKUP('Données projet'!$B$16,Paramètres!$A$1:$I$89,3,0)*0.475*44/12</f>
        <v>0</v>
      </c>
      <c r="FT138" s="22">
        <f t="shared" si="132"/>
        <v>0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1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186.90544184210381</v>
      </c>
      <c r="T139" s="59">
        <f t="shared" si="142"/>
        <v>202.05988514450519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26.415222200764688</v>
      </c>
      <c r="AA139" s="21">
        <f>EXP(-LN(2)/25)*AA138+(1-EXP(-LN(2)/25))/(LN(2)/25)*Calculateur!V139*Calculateur!X139*VLOOKUP('Données projet'!$B$9,Paramètres!$A$1:$I$89,3,0)*0.475*44/12</f>
        <v>2.6565453017374563</v>
      </c>
      <c r="AB139" s="21">
        <f>EXP(-LN(2)/2)*AB138+(1-EXP(-LN(2)/2))/(LN(2)/2)*V139*Y139*VLOOKUP('Données projet'!$B$9,Paramètres!$A$1:$I$89,3,0)*0.475*44/12</f>
        <v>1.5651960991857246E-10</v>
      </c>
      <c r="AC139" s="22">
        <f t="shared" si="111"/>
        <v>29.071767502658663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>
        <f>AI139*VLOOKUP('Données projet'!$B$10,Paramètres!$A$1:$I$89,3,0)*VLOOKUP('Données projet'!$B$10,Paramètres!$A$1:$I$89,5,0)</f>
        <v>0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186.90544184210381</v>
      </c>
      <c r="AO139" s="59">
        <f t="shared" si="144"/>
        <v>202.05988514450519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26.415222200764688</v>
      </c>
      <c r="AV139" s="21">
        <f>EXP(-LN(2)/25)*AV138+(1-EXP(-LN(2)/25))/(LN(2)/25)*Calculateur!AQ139*Calculateur!AS139*VLOOKUP('Données projet'!$B$10,Paramètres!$A$1:$I$89,3,0)*0.475*44/12</f>
        <v>2.6565453017374563</v>
      </c>
      <c r="AW139" s="21">
        <f>EXP(-LN(2)/2)*AW138+(1-EXP(-LN(2)/2))/(LN(2)/2)*AQ139*AT139*VLOOKUP('Données projet'!$B$10,Paramètres!$A$1:$I$89,3,0)*0.475*44/12</f>
        <v>1.5651960991857246E-10</v>
      </c>
      <c r="AX139" s="21">
        <f t="shared" si="114"/>
        <v>29.071767502658663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-2.8421709430404007E-14</v>
      </c>
      <c r="BE139" s="13">
        <f>BD139*VLOOKUP('Données projet'!$B$11,Paramètres!$A$1:$I$89,3,0)*VLOOKUP('Données projet'!$B$11,Paramètres!$A$1:$I$89,5,0)</f>
        <v>-2.3055690689943732E-14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5.8584049049231908</v>
      </c>
      <c r="BJ139" s="59">
        <f t="shared" si="146"/>
        <v>42.266833200216638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3.6812011323333089E-14</v>
      </c>
      <c r="BS139" s="22">
        <f t="shared" si="117"/>
        <v>3.6812011323333089E-14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>
        <f>BY139*VLOOKUP('Données projet'!$B$12,Paramètres!$A$1:$I$89,3,0)*VLOOKUP('Données projet'!$B$12,Paramètres!$A$1:$I$89,5,0)</f>
        <v>0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0</v>
      </c>
      <c r="CE139" s="59">
        <f t="shared" si="148"/>
        <v>0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0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>
        <f>CT139*VLOOKUP('Données projet'!$B$13,Paramètres!$A$1:$I$89,3,0)*VLOOKUP('Données projet'!$B$13,Paramètres!$A$1:$I$89,5,0)</f>
        <v>0</v>
      </c>
      <c r="CV139" s="13" t="e">
        <f t="shared" si="149"/>
        <v>#NUM!</v>
      </c>
      <c r="CW139" s="20" t="e">
        <f t="shared" si="121"/>
        <v>#NUM!</v>
      </c>
      <c r="CX139" s="59" t="e">
        <f t="shared" si="122"/>
        <v>#NUM!</v>
      </c>
      <c r="CY139" s="59">
        <f ca="1">AVERAGE(OFFSET($CX$3,0,0,'Données projet'!$E$13+1,1))-AVERAGE(OFFSET($H$3,0,0,'Données projet'!$E$13+1,1))</f>
        <v>0</v>
      </c>
      <c r="CZ139" s="59">
        <f t="shared" si="150"/>
        <v>0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</v>
      </c>
      <c r="DG139" s="21">
        <f>EXP(-LN(2)/25)*DG138+(1-EXP(-LN(2)/25))/(LN(2)/25)*Calculateur!DB139*Calculateur!DD139*VLOOKUP('Données projet'!$B$13,Paramètres!$A$1:$I$89,3,0)*0.475*44/12</f>
        <v>0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0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>
        <f>DO139*VLOOKUP('Données projet'!$B$14,Paramètres!$A$1:$I$89,3,0)*VLOOKUP('Données projet'!$B$14,Paramètres!$A$1:$I$89,5,0)</f>
        <v>0</v>
      </c>
      <c r="DQ139" s="13" t="e">
        <f t="shared" si="151"/>
        <v>#NUM!</v>
      </c>
      <c r="DR139" s="20" t="e">
        <f t="shared" si="124"/>
        <v>#NUM!</v>
      </c>
      <c r="DS139" s="59" t="e">
        <f t="shared" si="125"/>
        <v>#NUM!</v>
      </c>
      <c r="DT139" s="59">
        <f ca="1">AVERAGE(OFFSET($DS$3,0,0,'Données projet'!$E$14+1,1))-AVERAGE(OFFSET($H$3,0,0,'Données projet'!$E$14+1,1))</f>
        <v>0</v>
      </c>
      <c r="DU139" s="59">
        <f t="shared" si="152"/>
        <v>0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</v>
      </c>
      <c r="EB139" s="21">
        <f>EXP(-LN(2)/25)*EB138+(1-EXP(-LN(2)/25))/(LN(2)/25)*Calculateur!DW139*Calculateur!DY139*VLOOKUP('Données projet'!$B$14,Paramètres!$A$1:$I$89,3,0)*0.475*44/12</f>
        <v>0</v>
      </c>
      <c r="EC139" s="21">
        <f>EXP(-LN(2)/2)*EC138+(1-EXP(-LN(2)/2))/(LN(2)/2)*DW139*DZ139*VLOOKUP('Données projet'!$B$14,Paramètres!$A$1:$I$89,3,0)*0.475*44/12</f>
        <v>0</v>
      </c>
      <c r="ED139" s="22">
        <f t="shared" si="126"/>
        <v>0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>
        <f>EJ139*VLOOKUP('Données projet'!$B$15,Paramètres!$A$1:$I$89,3,0)*VLOOKUP('Données projet'!$B$15,Paramètres!$A$1:$I$89,5,0)</f>
        <v>0</v>
      </c>
      <c r="EL139" s="13" t="e">
        <f t="shared" si="153"/>
        <v>#NUM!</v>
      </c>
      <c r="EM139" s="20" t="e">
        <f t="shared" si="127"/>
        <v>#NUM!</v>
      </c>
      <c r="EN139" s="59" t="e">
        <f t="shared" si="128"/>
        <v>#NUM!</v>
      </c>
      <c r="EO139" s="59">
        <f ca="1">AVERAGE(OFFSET($EN$3,0,0,'Données projet'!$E$15+1,1))-AVERAGE(OFFSET($H$3,0,0,'Données projet'!$E$15+1,1))</f>
        <v>0</v>
      </c>
      <c r="EP139" s="59">
        <f t="shared" si="154"/>
        <v>0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>
        <f>EXP(-LN(2)/35)*EV138+(1-EXP(-LN(2)/35))/(LN(2)/35)*ER139*ES139*VLOOKUP('Données projet'!$B$15,Paramètres!$A$1:$I$89,3,0)*0.475*44/12</f>
        <v>0</v>
      </c>
      <c r="EW139" s="21">
        <f>EXP(-LN(2)/25)*EW138+(1-EXP(-LN(2)/25))/(LN(2)/25)*Calculateur!ER139*Calculateur!ET139*VLOOKUP('Données projet'!$B$15,Paramètres!$A$1:$I$89,3,0)*0.475*44/12</f>
        <v>0</v>
      </c>
      <c r="EX139" s="21">
        <f>EXP(-LN(2)/2)*EX138+(1-EXP(-LN(2)/2))/(LN(2)/2)*ER139*EU139*VLOOKUP('Données projet'!$B$15,Paramètres!$A$1:$I$89,3,0)*0.475*44/12</f>
        <v>0</v>
      </c>
      <c r="EY139" s="22">
        <f t="shared" si="129"/>
        <v>0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>
        <f>FE139*VLOOKUP('Données projet'!$B$16,Paramètres!$A$1:$I$89,3,0)*VLOOKUP('Données projet'!$B$16,Paramètres!$A$1:$I$89,5,0)</f>
        <v>0</v>
      </c>
      <c r="FG139" s="13" t="e">
        <f t="shared" si="155"/>
        <v>#NUM!</v>
      </c>
      <c r="FH139" s="20" t="e">
        <f t="shared" si="130"/>
        <v>#NUM!</v>
      </c>
      <c r="FI139" s="59" t="e">
        <f t="shared" si="131"/>
        <v>#NUM!</v>
      </c>
      <c r="FJ139" s="59">
        <f ca="1">AVERAGE(OFFSET($FI$3,0,0,'Données projet'!$E$16+1,1))-AVERAGE(OFFSET($H$3,0,0,'Données projet'!$E$16+1,1))</f>
        <v>0</v>
      </c>
      <c r="FK139" s="59">
        <f t="shared" si="156"/>
        <v>0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>
        <f>EXP(-LN(2)/35)*FQ138+(1-EXP(-LN(2)/35))/(LN(2)/35)*FM139*FN139*VLOOKUP('Données projet'!$B$16,Paramètres!$A$1:$I$89,3,0)*0.475*44/12</f>
        <v>0</v>
      </c>
      <c r="FR139" s="21">
        <f>EXP(-LN(2)/25)*FR138+(1-EXP(-LN(2)/25))/(LN(2)/25)*Calculateur!FM139*Calculateur!FO139*VLOOKUP('Données projet'!$B$16,Paramètres!$A$1:$I$89,3,0)*0.475*44/12</f>
        <v>0</v>
      </c>
      <c r="FS139" s="21">
        <f>EXP(-LN(2)/2)*FS138+(1-EXP(-LN(2)/2))/(LN(2)/2)*FM139*FP139*VLOOKUP('Données projet'!$B$16,Paramètres!$A$1:$I$89,3,0)*0.475*44/12</f>
        <v>0</v>
      </c>
      <c r="FT139" s="22">
        <f t="shared" si="132"/>
        <v>0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1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186.90544184210381</v>
      </c>
      <c r="T140" s="59">
        <f t="shared" si="142"/>
        <v>202.05988514450519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25.897235805102337</v>
      </c>
      <c r="AA140" s="21">
        <f>EXP(-LN(2)/25)*AA139+(1-EXP(-LN(2)/25))/(LN(2)/25)*Calculateur!V140*Calculateur!X140*VLOOKUP('Données projet'!$B$9,Paramètres!$A$1:$I$89,3,0)*0.475*44/12</f>
        <v>2.5839019307597999</v>
      </c>
      <c r="AB140" s="21">
        <f>EXP(-LN(2)/2)*AB139+(1-EXP(-LN(2)/2))/(LN(2)/2)*V140*Y140*VLOOKUP('Données projet'!$B$9,Paramètres!$A$1:$I$89,3,0)*0.475*44/12</f>
        <v>1.1067607756209579E-10</v>
      </c>
      <c r="AC140" s="22">
        <f t="shared" si="111"/>
        <v>28.481137735972816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>
        <f>AI140*VLOOKUP('Données projet'!$B$10,Paramètres!$A$1:$I$89,3,0)*VLOOKUP('Données projet'!$B$10,Paramètres!$A$1:$I$89,5,0)</f>
        <v>0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186.90544184210381</v>
      </c>
      <c r="AO140" s="59">
        <f t="shared" si="144"/>
        <v>202.05988514450519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25.897235805102337</v>
      </c>
      <c r="AV140" s="21">
        <f>EXP(-LN(2)/25)*AV139+(1-EXP(-LN(2)/25))/(LN(2)/25)*Calculateur!AQ140*Calculateur!AS140*VLOOKUP('Données projet'!$B$10,Paramètres!$A$1:$I$89,3,0)*0.475*44/12</f>
        <v>2.5839019307597999</v>
      </c>
      <c r="AW140" s="21">
        <f>EXP(-LN(2)/2)*AW139+(1-EXP(-LN(2)/2))/(LN(2)/2)*AQ140*AT140*VLOOKUP('Données projet'!$B$10,Paramètres!$A$1:$I$89,3,0)*0.475*44/12</f>
        <v>1.1067607756209579E-10</v>
      </c>
      <c r="AX140" s="21">
        <f t="shared" si="114"/>
        <v>28.481137735972816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-2.8421709430404007E-14</v>
      </c>
      <c r="BE140" s="13">
        <f>BD140*VLOOKUP('Données projet'!$B$11,Paramètres!$A$1:$I$89,3,0)*VLOOKUP('Données projet'!$B$11,Paramètres!$A$1:$I$89,5,0)</f>
        <v>-2.3055690689943732E-14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5.8584049049231908</v>
      </c>
      <c r="BJ140" s="59">
        <f t="shared" si="146"/>
        <v>42.266833200216638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2.6030022835844801E-14</v>
      </c>
      <c r="BS140" s="22">
        <f t="shared" si="117"/>
        <v>2.6030022835844801E-14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>
        <f>BY140*VLOOKUP('Données projet'!$B$12,Paramètres!$A$1:$I$89,3,0)*VLOOKUP('Données projet'!$B$12,Paramètres!$A$1:$I$89,5,0)</f>
        <v>0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0</v>
      </c>
      <c r="CE140" s="59">
        <f t="shared" si="148"/>
        <v>0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0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>
        <f>CT140*VLOOKUP('Données projet'!$B$13,Paramètres!$A$1:$I$89,3,0)*VLOOKUP('Données projet'!$B$13,Paramètres!$A$1:$I$89,5,0)</f>
        <v>0</v>
      </c>
      <c r="CV140" s="13" t="e">
        <f t="shared" si="149"/>
        <v>#NUM!</v>
      </c>
      <c r="CW140" s="20" t="e">
        <f t="shared" si="121"/>
        <v>#NUM!</v>
      </c>
      <c r="CX140" s="59" t="e">
        <f t="shared" si="122"/>
        <v>#NUM!</v>
      </c>
      <c r="CY140" s="59">
        <f ca="1">AVERAGE(OFFSET($CX$3,0,0,'Données projet'!$E$13+1,1))-AVERAGE(OFFSET($H$3,0,0,'Données projet'!$E$13+1,1))</f>
        <v>0</v>
      </c>
      <c r="CZ140" s="59">
        <f t="shared" si="150"/>
        <v>0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</v>
      </c>
      <c r="DG140" s="21">
        <f>EXP(-LN(2)/25)*DG139+(1-EXP(-LN(2)/25))/(LN(2)/25)*Calculateur!DB140*Calculateur!DD140*VLOOKUP('Données projet'!$B$13,Paramètres!$A$1:$I$89,3,0)*0.475*44/12</f>
        <v>0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0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>
        <f>DO140*VLOOKUP('Données projet'!$B$14,Paramètres!$A$1:$I$89,3,0)*VLOOKUP('Données projet'!$B$14,Paramètres!$A$1:$I$89,5,0)</f>
        <v>0</v>
      </c>
      <c r="DQ140" s="13" t="e">
        <f t="shared" si="151"/>
        <v>#NUM!</v>
      </c>
      <c r="DR140" s="20" t="e">
        <f t="shared" si="124"/>
        <v>#NUM!</v>
      </c>
      <c r="DS140" s="59" t="e">
        <f t="shared" si="125"/>
        <v>#NUM!</v>
      </c>
      <c r="DT140" s="59">
        <f ca="1">AVERAGE(OFFSET($DS$3,0,0,'Données projet'!$E$14+1,1))-AVERAGE(OFFSET($H$3,0,0,'Données projet'!$E$14+1,1))</f>
        <v>0</v>
      </c>
      <c r="DU140" s="59">
        <f t="shared" si="152"/>
        <v>0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</v>
      </c>
      <c r="EB140" s="21">
        <f>EXP(-LN(2)/25)*EB139+(1-EXP(-LN(2)/25))/(LN(2)/25)*Calculateur!DW140*Calculateur!DY140*VLOOKUP('Données projet'!$B$14,Paramètres!$A$1:$I$89,3,0)*0.475*44/12</f>
        <v>0</v>
      </c>
      <c r="EC140" s="21">
        <f>EXP(-LN(2)/2)*EC139+(1-EXP(-LN(2)/2))/(LN(2)/2)*DW140*DZ140*VLOOKUP('Données projet'!$B$14,Paramètres!$A$1:$I$89,3,0)*0.475*44/12</f>
        <v>0</v>
      </c>
      <c r="ED140" s="22">
        <f t="shared" si="126"/>
        <v>0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>
        <f>EJ140*VLOOKUP('Données projet'!$B$15,Paramètres!$A$1:$I$89,3,0)*VLOOKUP('Données projet'!$B$15,Paramètres!$A$1:$I$89,5,0)</f>
        <v>0</v>
      </c>
      <c r="EL140" s="13" t="e">
        <f t="shared" si="153"/>
        <v>#NUM!</v>
      </c>
      <c r="EM140" s="20" t="e">
        <f t="shared" si="127"/>
        <v>#NUM!</v>
      </c>
      <c r="EN140" s="59" t="e">
        <f t="shared" si="128"/>
        <v>#NUM!</v>
      </c>
      <c r="EO140" s="59">
        <f ca="1">AVERAGE(OFFSET($EN$3,0,0,'Données projet'!$E$15+1,1))-AVERAGE(OFFSET($H$3,0,0,'Données projet'!$E$15+1,1))</f>
        <v>0</v>
      </c>
      <c r="EP140" s="59">
        <f t="shared" si="154"/>
        <v>0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>
        <f>EXP(-LN(2)/35)*EV139+(1-EXP(-LN(2)/35))/(LN(2)/35)*ER140*ES140*VLOOKUP('Données projet'!$B$15,Paramètres!$A$1:$I$89,3,0)*0.475*44/12</f>
        <v>0</v>
      </c>
      <c r="EW140" s="21">
        <f>EXP(-LN(2)/25)*EW139+(1-EXP(-LN(2)/25))/(LN(2)/25)*Calculateur!ER140*Calculateur!ET140*VLOOKUP('Données projet'!$B$15,Paramètres!$A$1:$I$89,3,0)*0.475*44/12</f>
        <v>0</v>
      </c>
      <c r="EX140" s="21">
        <f>EXP(-LN(2)/2)*EX139+(1-EXP(-LN(2)/2))/(LN(2)/2)*ER140*EU140*VLOOKUP('Données projet'!$B$15,Paramètres!$A$1:$I$89,3,0)*0.475*44/12</f>
        <v>0</v>
      </c>
      <c r="EY140" s="22">
        <f t="shared" si="129"/>
        <v>0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>
        <f>FE140*VLOOKUP('Données projet'!$B$16,Paramètres!$A$1:$I$89,3,0)*VLOOKUP('Données projet'!$B$16,Paramètres!$A$1:$I$89,5,0)</f>
        <v>0</v>
      </c>
      <c r="FG140" s="13" t="e">
        <f t="shared" si="155"/>
        <v>#NUM!</v>
      </c>
      <c r="FH140" s="20" t="e">
        <f t="shared" si="130"/>
        <v>#NUM!</v>
      </c>
      <c r="FI140" s="59" t="e">
        <f t="shared" si="131"/>
        <v>#NUM!</v>
      </c>
      <c r="FJ140" s="59">
        <f ca="1">AVERAGE(OFFSET($FI$3,0,0,'Données projet'!$E$16+1,1))-AVERAGE(OFFSET($H$3,0,0,'Données projet'!$E$16+1,1))</f>
        <v>0</v>
      </c>
      <c r="FK140" s="59">
        <f t="shared" si="156"/>
        <v>0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>
        <f>EXP(-LN(2)/35)*FQ139+(1-EXP(-LN(2)/35))/(LN(2)/35)*FM140*FN140*VLOOKUP('Données projet'!$B$16,Paramètres!$A$1:$I$89,3,0)*0.475*44/12</f>
        <v>0</v>
      </c>
      <c r="FR140" s="21">
        <f>EXP(-LN(2)/25)*FR139+(1-EXP(-LN(2)/25))/(LN(2)/25)*Calculateur!FM140*Calculateur!FO140*VLOOKUP('Données projet'!$B$16,Paramètres!$A$1:$I$89,3,0)*0.475*44/12</f>
        <v>0</v>
      </c>
      <c r="FS140" s="21">
        <f>EXP(-LN(2)/2)*FS139+(1-EXP(-LN(2)/2))/(LN(2)/2)*FM140*FP140*VLOOKUP('Données projet'!$B$16,Paramètres!$A$1:$I$89,3,0)*0.475*44/12</f>
        <v>0</v>
      </c>
      <c r="FT140" s="22">
        <f t="shared" si="132"/>
        <v>0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1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186.90544184210381</v>
      </c>
      <c r="T141" s="59">
        <f t="shared" si="142"/>
        <v>202.05988514450519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25.389406806718419</v>
      </c>
      <c r="AA141" s="21">
        <f>EXP(-LN(2)/25)*AA140+(1-EXP(-LN(2)/25))/(LN(2)/25)*Calculateur!V141*Calculateur!X141*VLOOKUP('Données projet'!$B$9,Paramètres!$A$1:$I$89,3,0)*0.475*44/12</f>
        <v>2.5132449965816761</v>
      </c>
      <c r="AB141" s="21">
        <f>EXP(-LN(2)/2)*AB140+(1-EXP(-LN(2)/2))/(LN(2)/2)*V141*Y141*VLOOKUP('Données projet'!$B$9,Paramètres!$A$1:$I$89,3,0)*0.475*44/12</f>
        <v>7.8259804959286229E-11</v>
      </c>
      <c r="AC141" s="22">
        <f t="shared" si="111"/>
        <v>27.902651803378355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>
        <f>AI141*VLOOKUP('Données projet'!$B$10,Paramètres!$A$1:$I$89,3,0)*VLOOKUP('Données projet'!$B$10,Paramètres!$A$1:$I$89,5,0)</f>
        <v>0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186.90544184210381</v>
      </c>
      <c r="AO141" s="59">
        <f t="shared" si="144"/>
        <v>202.05988514450519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25.389406806718419</v>
      </c>
      <c r="AV141" s="21">
        <f>EXP(-LN(2)/25)*AV140+(1-EXP(-LN(2)/25))/(LN(2)/25)*Calculateur!AQ141*Calculateur!AS141*VLOOKUP('Données projet'!$B$10,Paramètres!$A$1:$I$89,3,0)*0.475*44/12</f>
        <v>2.5132449965816761</v>
      </c>
      <c r="AW141" s="21">
        <f>EXP(-LN(2)/2)*AW140+(1-EXP(-LN(2)/2))/(LN(2)/2)*AQ141*AT141*VLOOKUP('Données projet'!$B$10,Paramètres!$A$1:$I$89,3,0)*0.475*44/12</f>
        <v>7.8259804959286229E-11</v>
      </c>
      <c r="AX141" s="21">
        <f t="shared" si="114"/>
        <v>27.902651803378355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-2.8421709430404007E-14</v>
      </c>
      <c r="BE141" s="13">
        <f>BD141*VLOOKUP('Données projet'!$B$11,Paramètres!$A$1:$I$89,3,0)*VLOOKUP('Données projet'!$B$11,Paramètres!$A$1:$I$89,5,0)</f>
        <v>-2.3055690689943732E-14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5.8584049049231908</v>
      </c>
      <c r="BJ141" s="59">
        <f t="shared" si="146"/>
        <v>42.266833200216638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1.8406005661666545E-14</v>
      </c>
      <c r="BS141" s="22">
        <f t="shared" si="117"/>
        <v>1.8406005661666545E-14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>
        <f>BY141*VLOOKUP('Données projet'!$B$12,Paramètres!$A$1:$I$89,3,0)*VLOOKUP('Données projet'!$B$12,Paramètres!$A$1:$I$89,5,0)</f>
        <v>0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0</v>
      </c>
      <c r="CE141" s="59">
        <f t="shared" si="148"/>
        <v>0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0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>
        <f>CT141*VLOOKUP('Données projet'!$B$13,Paramètres!$A$1:$I$89,3,0)*VLOOKUP('Données projet'!$B$13,Paramètres!$A$1:$I$89,5,0)</f>
        <v>0</v>
      </c>
      <c r="CV141" s="13" t="e">
        <f t="shared" si="149"/>
        <v>#NUM!</v>
      </c>
      <c r="CW141" s="20" t="e">
        <f t="shared" si="121"/>
        <v>#NUM!</v>
      </c>
      <c r="CX141" s="59" t="e">
        <f t="shared" si="122"/>
        <v>#NUM!</v>
      </c>
      <c r="CY141" s="59">
        <f ca="1">AVERAGE(OFFSET($CX$3,0,0,'Données projet'!$E$13+1,1))-AVERAGE(OFFSET($H$3,0,0,'Données projet'!$E$13+1,1))</f>
        <v>0</v>
      </c>
      <c r="CZ141" s="59">
        <f t="shared" si="150"/>
        <v>0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</v>
      </c>
      <c r="DG141" s="21">
        <f>EXP(-LN(2)/25)*DG140+(1-EXP(-LN(2)/25))/(LN(2)/25)*Calculateur!DB141*Calculateur!DD141*VLOOKUP('Données projet'!$B$13,Paramètres!$A$1:$I$89,3,0)*0.475*44/12</f>
        <v>0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0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>
        <f>DO141*VLOOKUP('Données projet'!$B$14,Paramètres!$A$1:$I$89,3,0)*VLOOKUP('Données projet'!$B$14,Paramètres!$A$1:$I$89,5,0)</f>
        <v>0</v>
      </c>
      <c r="DQ141" s="13" t="e">
        <f t="shared" si="151"/>
        <v>#NUM!</v>
      </c>
      <c r="DR141" s="20" t="e">
        <f t="shared" si="124"/>
        <v>#NUM!</v>
      </c>
      <c r="DS141" s="59" t="e">
        <f t="shared" si="125"/>
        <v>#NUM!</v>
      </c>
      <c r="DT141" s="59">
        <f ca="1">AVERAGE(OFFSET($DS$3,0,0,'Données projet'!$E$14+1,1))-AVERAGE(OFFSET($H$3,0,0,'Données projet'!$E$14+1,1))</f>
        <v>0</v>
      </c>
      <c r="DU141" s="59">
        <f t="shared" si="152"/>
        <v>0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</v>
      </c>
      <c r="EB141" s="21">
        <f>EXP(-LN(2)/25)*EB140+(1-EXP(-LN(2)/25))/(LN(2)/25)*Calculateur!DW141*Calculateur!DY141*VLOOKUP('Données projet'!$B$14,Paramètres!$A$1:$I$89,3,0)*0.475*44/12</f>
        <v>0</v>
      </c>
      <c r="EC141" s="21">
        <f>EXP(-LN(2)/2)*EC140+(1-EXP(-LN(2)/2))/(LN(2)/2)*DW141*DZ141*VLOOKUP('Données projet'!$B$14,Paramètres!$A$1:$I$89,3,0)*0.475*44/12</f>
        <v>0</v>
      </c>
      <c r="ED141" s="22">
        <f t="shared" si="126"/>
        <v>0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>
        <f>EJ141*VLOOKUP('Données projet'!$B$15,Paramètres!$A$1:$I$89,3,0)*VLOOKUP('Données projet'!$B$15,Paramètres!$A$1:$I$89,5,0)</f>
        <v>0</v>
      </c>
      <c r="EL141" s="13" t="e">
        <f t="shared" si="153"/>
        <v>#NUM!</v>
      </c>
      <c r="EM141" s="20" t="e">
        <f t="shared" si="127"/>
        <v>#NUM!</v>
      </c>
      <c r="EN141" s="59" t="e">
        <f t="shared" si="128"/>
        <v>#NUM!</v>
      </c>
      <c r="EO141" s="59">
        <f ca="1">AVERAGE(OFFSET($EN$3,0,0,'Données projet'!$E$15+1,1))-AVERAGE(OFFSET($H$3,0,0,'Données projet'!$E$15+1,1))</f>
        <v>0</v>
      </c>
      <c r="EP141" s="59">
        <f t="shared" si="154"/>
        <v>0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>
        <f>EXP(-LN(2)/35)*EV140+(1-EXP(-LN(2)/35))/(LN(2)/35)*ER141*ES141*VLOOKUP('Données projet'!$B$15,Paramètres!$A$1:$I$89,3,0)*0.475*44/12</f>
        <v>0</v>
      </c>
      <c r="EW141" s="21">
        <f>EXP(-LN(2)/25)*EW140+(1-EXP(-LN(2)/25))/(LN(2)/25)*Calculateur!ER141*Calculateur!ET141*VLOOKUP('Données projet'!$B$15,Paramètres!$A$1:$I$89,3,0)*0.475*44/12</f>
        <v>0</v>
      </c>
      <c r="EX141" s="21">
        <f>EXP(-LN(2)/2)*EX140+(1-EXP(-LN(2)/2))/(LN(2)/2)*ER141*EU141*VLOOKUP('Données projet'!$B$15,Paramètres!$A$1:$I$89,3,0)*0.475*44/12</f>
        <v>0</v>
      </c>
      <c r="EY141" s="22">
        <f t="shared" si="129"/>
        <v>0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>
        <f>FE141*VLOOKUP('Données projet'!$B$16,Paramètres!$A$1:$I$89,3,0)*VLOOKUP('Données projet'!$B$16,Paramètres!$A$1:$I$89,5,0)</f>
        <v>0</v>
      </c>
      <c r="FG141" s="13" t="e">
        <f t="shared" si="155"/>
        <v>#NUM!</v>
      </c>
      <c r="FH141" s="20" t="e">
        <f t="shared" si="130"/>
        <v>#NUM!</v>
      </c>
      <c r="FI141" s="59" t="e">
        <f t="shared" si="131"/>
        <v>#NUM!</v>
      </c>
      <c r="FJ141" s="59">
        <f ca="1">AVERAGE(OFFSET($FI$3,0,0,'Données projet'!$E$16+1,1))-AVERAGE(OFFSET($H$3,0,0,'Données projet'!$E$16+1,1))</f>
        <v>0</v>
      </c>
      <c r="FK141" s="59">
        <f t="shared" si="156"/>
        <v>0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>
        <f>EXP(-LN(2)/35)*FQ140+(1-EXP(-LN(2)/35))/(LN(2)/35)*FM141*FN141*VLOOKUP('Données projet'!$B$16,Paramètres!$A$1:$I$89,3,0)*0.475*44/12</f>
        <v>0</v>
      </c>
      <c r="FR141" s="21">
        <f>EXP(-LN(2)/25)*FR140+(1-EXP(-LN(2)/25))/(LN(2)/25)*Calculateur!FM141*Calculateur!FO141*VLOOKUP('Données projet'!$B$16,Paramètres!$A$1:$I$89,3,0)*0.475*44/12</f>
        <v>0</v>
      </c>
      <c r="FS141" s="21">
        <f>EXP(-LN(2)/2)*FS140+(1-EXP(-LN(2)/2))/(LN(2)/2)*FM141*FP141*VLOOKUP('Données projet'!$B$16,Paramètres!$A$1:$I$89,3,0)*0.475*44/12</f>
        <v>0</v>
      </c>
      <c r="FT141" s="22">
        <f t="shared" si="132"/>
        <v>0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1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186.90544184210381</v>
      </c>
      <c r="T142" s="59">
        <f t="shared" si="142"/>
        <v>202.05988514450519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24.891536025247706</v>
      </c>
      <c r="AA142" s="21">
        <f>EXP(-LN(2)/25)*AA141+(1-EXP(-LN(2)/25))/(LN(2)/25)*Calculateur!V142*Calculateur!X142*VLOOKUP('Données projet'!$B$9,Paramètres!$A$1:$I$89,3,0)*0.475*44/12</f>
        <v>2.4445201799843397</v>
      </c>
      <c r="AB142" s="21">
        <f>EXP(-LN(2)/2)*AB141+(1-EXP(-LN(2)/2))/(LN(2)/2)*V142*Y142*VLOOKUP('Données projet'!$B$9,Paramètres!$A$1:$I$89,3,0)*0.475*44/12</f>
        <v>5.5338038781047895E-11</v>
      </c>
      <c r="AC142" s="22">
        <f t="shared" si="111"/>
        <v>27.336056205287385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>
        <f>AI142*VLOOKUP('Données projet'!$B$10,Paramètres!$A$1:$I$89,3,0)*VLOOKUP('Données projet'!$B$10,Paramètres!$A$1:$I$89,5,0)</f>
        <v>0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186.90544184210381</v>
      </c>
      <c r="AO142" s="59">
        <f t="shared" si="144"/>
        <v>202.05988514450519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24.891536025247706</v>
      </c>
      <c r="AV142" s="21">
        <f>EXP(-LN(2)/25)*AV141+(1-EXP(-LN(2)/25))/(LN(2)/25)*Calculateur!AQ142*Calculateur!AS142*VLOOKUP('Données projet'!$B$10,Paramètres!$A$1:$I$89,3,0)*0.475*44/12</f>
        <v>2.4445201799843397</v>
      </c>
      <c r="AW142" s="21">
        <f>EXP(-LN(2)/2)*AW141+(1-EXP(-LN(2)/2))/(LN(2)/2)*AQ142*AT142*VLOOKUP('Données projet'!$B$10,Paramètres!$A$1:$I$89,3,0)*0.475*44/12</f>
        <v>5.5338038781047895E-11</v>
      </c>
      <c r="AX142" s="21">
        <f t="shared" si="114"/>
        <v>27.336056205287385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-2.8421709430404007E-14</v>
      </c>
      <c r="BE142" s="13">
        <f>BD142*VLOOKUP('Données projet'!$B$11,Paramètres!$A$1:$I$89,3,0)*VLOOKUP('Données projet'!$B$11,Paramètres!$A$1:$I$89,5,0)</f>
        <v>-2.3055690689943732E-14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5.8584049049231908</v>
      </c>
      <c r="BJ142" s="59">
        <f t="shared" si="146"/>
        <v>42.266833200216638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1.30150114179224E-14</v>
      </c>
      <c r="BS142" s="22">
        <f t="shared" si="117"/>
        <v>1.30150114179224E-14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>
        <f>BY142*VLOOKUP('Données projet'!$B$12,Paramètres!$A$1:$I$89,3,0)*VLOOKUP('Données projet'!$B$12,Paramètres!$A$1:$I$89,5,0)</f>
        <v>0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0</v>
      </c>
      <c r="CE142" s="59">
        <f t="shared" si="148"/>
        <v>0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0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>
        <f>CT142*VLOOKUP('Données projet'!$B$13,Paramètres!$A$1:$I$89,3,0)*VLOOKUP('Données projet'!$B$13,Paramètres!$A$1:$I$89,5,0)</f>
        <v>0</v>
      </c>
      <c r="CV142" s="13" t="e">
        <f t="shared" si="149"/>
        <v>#NUM!</v>
      </c>
      <c r="CW142" s="20" t="e">
        <f t="shared" si="121"/>
        <v>#NUM!</v>
      </c>
      <c r="CX142" s="59" t="e">
        <f t="shared" si="122"/>
        <v>#NUM!</v>
      </c>
      <c r="CY142" s="59">
        <f ca="1">AVERAGE(OFFSET($CX$3,0,0,'Données projet'!$E$13+1,1))-AVERAGE(OFFSET($H$3,0,0,'Données projet'!$E$13+1,1))</f>
        <v>0</v>
      </c>
      <c r="CZ142" s="59">
        <f t="shared" si="150"/>
        <v>0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</v>
      </c>
      <c r="DG142" s="21">
        <f>EXP(-LN(2)/25)*DG141+(1-EXP(-LN(2)/25))/(LN(2)/25)*Calculateur!DB142*Calculateur!DD142*VLOOKUP('Données projet'!$B$13,Paramètres!$A$1:$I$89,3,0)*0.475*44/12</f>
        <v>0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0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>
        <f>DO142*VLOOKUP('Données projet'!$B$14,Paramètres!$A$1:$I$89,3,0)*VLOOKUP('Données projet'!$B$14,Paramètres!$A$1:$I$89,5,0)</f>
        <v>0</v>
      </c>
      <c r="DQ142" s="13" t="e">
        <f t="shared" si="151"/>
        <v>#NUM!</v>
      </c>
      <c r="DR142" s="20" t="e">
        <f t="shared" si="124"/>
        <v>#NUM!</v>
      </c>
      <c r="DS142" s="59" t="e">
        <f t="shared" si="125"/>
        <v>#NUM!</v>
      </c>
      <c r="DT142" s="59">
        <f ca="1">AVERAGE(OFFSET($DS$3,0,0,'Données projet'!$E$14+1,1))-AVERAGE(OFFSET($H$3,0,0,'Données projet'!$E$14+1,1))</f>
        <v>0</v>
      </c>
      <c r="DU142" s="59">
        <f t="shared" si="152"/>
        <v>0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</v>
      </c>
      <c r="EB142" s="21">
        <f>EXP(-LN(2)/25)*EB141+(1-EXP(-LN(2)/25))/(LN(2)/25)*Calculateur!DW142*Calculateur!DY142*VLOOKUP('Données projet'!$B$14,Paramètres!$A$1:$I$89,3,0)*0.475*44/12</f>
        <v>0</v>
      </c>
      <c r="EC142" s="21">
        <f>EXP(-LN(2)/2)*EC141+(1-EXP(-LN(2)/2))/(LN(2)/2)*DW142*DZ142*VLOOKUP('Données projet'!$B$14,Paramètres!$A$1:$I$89,3,0)*0.475*44/12</f>
        <v>0</v>
      </c>
      <c r="ED142" s="22">
        <f t="shared" si="126"/>
        <v>0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>
        <f>EJ142*VLOOKUP('Données projet'!$B$15,Paramètres!$A$1:$I$89,3,0)*VLOOKUP('Données projet'!$B$15,Paramètres!$A$1:$I$89,5,0)</f>
        <v>0</v>
      </c>
      <c r="EL142" s="13" t="e">
        <f t="shared" si="153"/>
        <v>#NUM!</v>
      </c>
      <c r="EM142" s="20" t="e">
        <f t="shared" si="127"/>
        <v>#NUM!</v>
      </c>
      <c r="EN142" s="59" t="e">
        <f t="shared" si="128"/>
        <v>#NUM!</v>
      </c>
      <c r="EO142" s="59">
        <f ca="1">AVERAGE(OFFSET($EN$3,0,0,'Données projet'!$E$15+1,1))-AVERAGE(OFFSET($H$3,0,0,'Données projet'!$E$15+1,1))</f>
        <v>0</v>
      </c>
      <c r="EP142" s="59">
        <f t="shared" si="154"/>
        <v>0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>
        <f>EXP(-LN(2)/35)*EV141+(1-EXP(-LN(2)/35))/(LN(2)/35)*ER142*ES142*VLOOKUP('Données projet'!$B$15,Paramètres!$A$1:$I$89,3,0)*0.475*44/12</f>
        <v>0</v>
      </c>
      <c r="EW142" s="21">
        <f>EXP(-LN(2)/25)*EW141+(1-EXP(-LN(2)/25))/(LN(2)/25)*Calculateur!ER142*Calculateur!ET142*VLOOKUP('Données projet'!$B$15,Paramètres!$A$1:$I$89,3,0)*0.475*44/12</f>
        <v>0</v>
      </c>
      <c r="EX142" s="21">
        <f>EXP(-LN(2)/2)*EX141+(1-EXP(-LN(2)/2))/(LN(2)/2)*ER142*EU142*VLOOKUP('Données projet'!$B$15,Paramètres!$A$1:$I$89,3,0)*0.475*44/12</f>
        <v>0</v>
      </c>
      <c r="EY142" s="22">
        <f t="shared" si="129"/>
        <v>0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>
        <f>FE142*VLOOKUP('Données projet'!$B$16,Paramètres!$A$1:$I$89,3,0)*VLOOKUP('Données projet'!$B$16,Paramètres!$A$1:$I$89,5,0)</f>
        <v>0</v>
      </c>
      <c r="FG142" s="13" t="e">
        <f t="shared" si="155"/>
        <v>#NUM!</v>
      </c>
      <c r="FH142" s="20" t="e">
        <f t="shared" si="130"/>
        <v>#NUM!</v>
      </c>
      <c r="FI142" s="59" t="e">
        <f t="shared" si="131"/>
        <v>#NUM!</v>
      </c>
      <c r="FJ142" s="59">
        <f ca="1">AVERAGE(OFFSET($FI$3,0,0,'Données projet'!$E$16+1,1))-AVERAGE(OFFSET($H$3,0,0,'Données projet'!$E$16+1,1))</f>
        <v>0</v>
      </c>
      <c r="FK142" s="59">
        <f t="shared" si="156"/>
        <v>0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>
        <f>EXP(-LN(2)/35)*FQ141+(1-EXP(-LN(2)/35))/(LN(2)/35)*FM142*FN142*VLOOKUP('Données projet'!$B$16,Paramètres!$A$1:$I$89,3,0)*0.475*44/12</f>
        <v>0</v>
      </c>
      <c r="FR142" s="21">
        <f>EXP(-LN(2)/25)*FR141+(1-EXP(-LN(2)/25))/(LN(2)/25)*Calculateur!FM142*Calculateur!FO142*VLOOKUP('Données projet'!$B$16,Paramètres!$A$1:$I$89,3,0)*0.475*44/12</f>
        <v>0</v>
      </c>
      <c r="FS142" s="21">
        <f>EXP(-LN(2)/2)*FS141+(1-EXP(-LN(2)/2))/(LN(2)/2)*FM142*FP142*VLOOKUP('Données projet'!$B$16,Paramètres!$A$1:$I$89,3,0)*0.475*44/12</f>
        <v>0</v>
      </c>
      <c r="FT142" s="22">
        <f t="shared" si="132"/>
        <v>0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1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186.90544184210381</v>
      </c>
      <c r="T143" s="59">
        <f t="shared" si="142"/>
        <v>202.05988514450519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24.403428186130444</v>
      </c>
      <c r="AA143" s="21">
        <f>EXP(-LN(2)/25)*AA142+(1-EXP(-LN(2)/25))/(LN(2)/25)*Calculateur!V143*Calculateur!X143*VLOOKUP('Données projet'!$B$9,Paramètres!$A$1:$I$89,3,0)*0.475*44/12</f>
        <v>2.3776746471109385</v>
      </c>
      <c r="AB143" s="21">
        <f>EXP(-LN(2)/2)*AB142+(1-EXP(-LN(2)/2))/(LN(2)/2)*V143*Y143*VLOOKUP('Données projet'!$B$9,Paramètres!$A$1:$I$89,3,0)*0.475*44/12</f>
        <v>3.9129902479643114E-11</v>
      </c>
      <c r="AC143" s="22">
        <f t="shared" si="111"/>
        <v>26.781102833280514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>
        <f>AI143*VLOOKUP('Données projet'!$B$10,Paramètres!$A$1:$I$89,3,0)*VLOOKUP('Données projet'!$B$10,Paramètres!$A$1:$I$89,5,0)</f>
        <v>0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186.90544184210381</v>
      </c>
      <c r="AO143" s="59">
        <f t="shared" si="144"/>
        <v>202.05988514450519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24.403428186130444</v>
      </c>
      <c r="AV143" s="21">
        <f>EXP(-LN(2)/25)*AV142+(1-EXP(-LN(2)/25))/(LN(2)/25)*Calculateur!AQ143*Calculateur!AS143*VLOOKUP('Données projet'!$B$10,Paramètres!$A$1:$I$89,3,0)*0.475*44/12</f>
        <v>2.3776746471109385</v>
      </c>
      <c r="AW143" s="21">
        <f>EXP(-LN(2)/2)*AW142+(1-EXP(-LN(2)/2))/(LN(2)/2)*AQ143*AT143*VLOOKUP('Données projet'!$B$10,Paramètres!$A$1:$I$89,3,0)*0.475*44/12</f>
        <v>3.9129902479643114E-11</v>
      </c>
      <c r="AX143" s="21">
        <f t="shared" si="114"/>
        <v>26.781102833280514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-2.8421709430404007E-14</v>
      </c>
      <c r="BE143" s="13">
        <f>BD143*VLOOKUP('Données projet'!$B$11,Paramètres!$A$1:$I$89,3,0)*VLOOKUP('Données projet'!$B$11,Paramètres!$A$1:$I$89,5,0)</f>
        <v>-2.3055690689943732E-14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5.8584049049231908</v>
      </c>
      <c r="BJ143" s="59">
        <f t="shared" si="146"/>
        <v>42.266833200216638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9.2030028308332723E-15</v>
      </c>
      <c r="BS143" s="22">
        <f t="shared" si="117"/>
        <v>9.2030028308332723E-15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>
        <f>BY143*VLOOKUP('Données projet'!$B$12,Paramètres!$A$1:$I$89,3,0)*VLOOKUP('Données projet'!$B$12,Paramètres!$A$1:$I$89,5,0)</f>
        <v>0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0</v>
      </c>
      <c r="CE143" s="59">
        <f t="shared" si="148"/>
        <v>0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0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>
        <f>CT143*VLOOKUP('Données projet'!$B$13,Paramètres!$A$1:$I$89,3,0)*VLOOKUP('Données projet'!$B$13,Paramètres!$A$1:$I$89,5,0)</f>
        <v>0</v>
      </c>
      <c r="CV143" s="13" t="e">
        <f t="shared" si="149"/>
        <v>#NUM!</v>
      </c>
      <c r="CW143" s="20" t="e">
        <f t="shared" si="121"/>
        <v>#NUM!</v>
      </c>
      <c r="CX143" s="59" t="e">
        <f t="shared" si="122"/>
        <v>#NUM!</v>
      </c>
      <c r="CY143" s="59">
        <f ca="1">AVERAGE(OFFSET($CX$3,0,0,'Données projet'!$E$13+1,1))-AVERAGE(OFFSET($H$3,0,0,'Données projet'!$E$13+1,1))</f>
        <v>0</v>
      </c>
      <c r="CZ143" s="59">
        <f t="shared" si="150"/>
        <v>0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</v>
      </c>
      <c r="DG143" s="21">
        <f>EXP(-LN(2)/25)*DG142+(1-EXP(-LN(2)/25))/(LN(2)/25)*Calculateur!DB143*Calculateur!DD143*VLOOKUP('Données projet'!$B$13,Paramètres!$A$1:$I$89,3,0)*0.475*44/12</f>
        <v>0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0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>
        <f>DO143*VLOOKUP('Données projet'!$B$14,Paramètres!$A$1:$I$89,3,0)*VLOOKUP('Données projet'!$B$14,Paramètres!$A$1:$I$89,5,0)</f>
        <v>0</v>
      </c>
      <c r="DQ143" s="13" t="e">
        <f t="shared" si="151"/>
        <v>#NUM!</v>
      </c>
      <c r="DR143" s="20" t="e">
        <f t="shared" si="124"/>
        <v>#NUM!</v>
      </c>
      <c r="DS143" s="59" t="e">
        <f t="shared" si="125"/>
        <v>#NUM!</v>
      </c>
      <c r="DT143" s="59">
        <f ca="1">AVERAGE(OFFSET($DS$3,0,0,'Données projet'!$E$14+1,1))-AVERAGE(OFFSET($H$3,0,0,'Données projet'!$E$14+1,1))</f>
        <v>0</v>
      </c>
      <c r="DU143" s="59">
        <f t="shared" si="152"/>
        <v>0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</v>
      </c>
      <c r="EB143" s="21">
        <f>EXP(-LN(2)/25)*EB142+(1-EXP(-LN(2)/25))/(LN(2)/25)*Calculateur!DW143*Calculateur!DY143*VLOOKUP('Données projet'!$B$14,Paramètres!$A$1:$I$89,3,0)*0.475*44/12</f>
        <v>0</v>
      </c>
      <c r="EC143" s="21">
        <f>EXP(-LN(2)/2)*EC142+(1-EXP(-LN(2)/2))/(LN(2)/2)*DW143*DZ143*VLOOKUP('Données projet'!$B$14,Paramètres!$A$1:$I$89,3,0)*0.475*44/12</f>
        <v>0</v>
      </c>
      <c r="ED143" s="22">
        <f t="shared" si="126"/>
        <v>0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>
        <f>EJ143*VLOOKUP('Données projet'!$B$15,Paramètres!$A$1:$I$89,3,0)*VLOOKUP('Données projet'!$B$15,Paramètres!$A$1:$I$89,5,0)</f>
        <v>0</v>
      </c>
      <c r="EL143" s="13" t="e">
        <f t="shared" si="153"/>
        <v>#NUM!</v>
      </c>
      <c r="EM143" s="20" t="e">
        <f t="shared" si="127"/>
        <v>#NUM!</v>
      </c>
      <c r="EN143" s="59" t="e">
        <f t="shared" si="128"/>
        <v>#NUM!</v>
      </c>
      <c r="EO143" s="59">
        <f ca="1">AVERAGE(OFFSET($EN$3,0,0,'Données projet'!$E$15+1,1))-AVERAGE(OFFSET($H$3,0,0,'Données projet'!$E$15+1,1))</f>
        <v>0</v>
      </c>
      <c r="EP143" s="59">
        <f t="shared" si="154"/>
        <v>0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>
        <f>EXP(-LN(2)/35)*EV142+(1-EXP(-LN(2)/35))/(LN(2)/35)*ER143*ES143*VLOOKUP('Données projet'!$B$15,Paramètres!$A$1:$I$89,3,0)*0.475*44/12</f>
        <v>0</v>
      </c>
      <c r="EW143" s="21">
        <f>EXP(-LN(2)/25)*EW142+(1-EXP(-LN(2)/25))/(LN(2)/25)*Calculateur!ER143*Calculateur!ET143*VLOOKUP('Données projet'!$B$15,Paramètres!$A$1:$I$89,3,0)*0.475*44/12</f>
        <v>0</v>
      </c>
      <c r="EX143" s="21">
        <f>EXP(-LN(2)/2)*EX142+(1-EXP(-LN(2)/2))/(LN(2)/2)*ER143*EU143*VLOOKUP('Données projet'!$B$15,Paramètres!$A$1:$I$89,3,0)*0.475*44/12</f>
        <v>0</v>
      </c>
      <c r="EY143" s="22">
        <f t="shared" si="129"/>
        <v>0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>
        <f>FE143*VLOOKUP('Données projet'!$B$16,Paramètres!$A$1:$I$89,3,0)*VLOOKUP('Données projet'!$B$16,Paramètres!$A$1:$I$89,5,0)</f>
        <v>0</v>
      </c>
      <c r="FG143" s="13" t="e">
        <f t="shared" si="155"/>
        <v>#NUM!</v>
      </c>
      <c r="FH143" s="20" t="e">
        <f t="shared" si="130"/>
        <v>#NUM!</v>
      </c>
      <c r="FI143" s="59" t="e">
        <f t="shared" si="131"/>
        <v>#NUM!</v>
      </c>
      <c r="FJ143" s="59">
        <f ca="1">AVERAGE(OFFSET($FI$3,0,0,'Données projet'!$E$16+1,1))-AVERAGE(OFFSET($H$3,0,0,'Données projet'!$E$16+1,1))</f>
        <v>0</v>
      </c>
      <c r="FK143" s="59">
        <f t="shared" si="156"/>
        <v>0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>
        <f>EXP(-LN(2)/35)*FQ142+(1-EXP(-LN(2)/35))/(LN(2)/35)*FM143*FN143*VLOOKUP('Données projet'!$B$16,Paramètres!$A$1:$I$89,3,0)*0.475*44/12</f>
        <v>0</v>
      </c>
      <c r="FR143" s="21">
        <f>EXP(-LN(2)/25)*FR142+(1-EXP(-LN(2)/25))/(LN(2)/25)*Calculateur!FM143*Calculateur!FO143*VLOOKUP('Données projet'!$B$16,Paramètres!$A$1:$I$89,3,0)*0.475*44/12</f>
        <v>0</v>
      </c>
      <c r="FS143" s="21">
        <f>EXP(-LN(2)/2)*FS142+(1-EXP(-LN(2)/2))/(LN(2)/2)*FM143*FP143*VLOOKUP('Données projet'!$B$16,Paramètres!$A$1:$I$89,3,0)*0.475*44/12</f>
        <v>0</v>
      </c>
      <c r="FT143" s="22">
        <f t="shared" si="132"/>
        <v>0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1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186.90544184210381</v>
      </c>
      <c r="T144" s="59">
        <f t="shared" si="142"/>
        <v>202.05988514450519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23.924891844021886</v>
      </c>
      <c r="AA144" s="21">
        <f>EXP(-LN(2)/25)*AA143+(1-EXP(-LN(2)/25))/(LN(2)/25)*Calculateur!V144*Calculateur!X144*VLOOKUP('Données projet'!$B$9,Paramètres!$A$1:$I$89,3,0)*0.475*44/12</f>
        <v>2.3126570088492144</v>
      </c>
      <c r="AB144" s="21">
        <f>EXP(-LN(2)/2)*AB143+(1-EXP(-LN(2)/2))/(LN(2)/2)*V144*Y144*VLOOKUP('Données projet'!$B$9,Paramètres!$A$1:$I$89,3,0)*0.475*44/12</f>
        <v>2.7669019390523947E-11</v>
      </c>
      <c r="AC144" s="22">
        <f t="shared" si="111"/>
        <v>26.237548852898769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>
        <f>AI144*VLOOKUP('Données projet'!$B$10,Paramètres!$A$1:$I$89,3,0)*VLOOKUP('Données projet'!$B$10,Paramètres!$A$1:$I$89,5,0)</f>
        <v>0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186.90544184210381</v>
      </c>
      <c r="AO144" s="59">
        <f t="shared" si="144"/>
        <v>202.05988514450519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23.924891844021886</v>
      </c>
      <c r="AV144" s="21">
        <f>EXP(-LN(2)/25)*AV143+(1-EXP(-LN(2)/25))/(LN(2)/25)*Calculateur!AQ144*Calculateur!AS144*VLOOKUP('Données projet'!$B$10,Paramètres!$A$1:$I$89,3,0)*0.475*44/12</f>
        <v>2.3126570088492144</v>
      </c>
      <c r="AW144" s="21">
        <f>EXP(-LN(2)/2)*AW143+(1-EXP(-LN(2)/2))/(LN(2)/2)*AQ144*AT144*VLOOKUP('Données projet'!$B$10,Paramètres!$A$1:$I$89,3,0)*0.475*44/12</f>
        <v>2.7669019390523947E-11</v>
      </c>
      <c r="AX144" s="21">
        <f t="shared" si="114"/>
        <v>26.237548852898769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-2.8421709430404007E-14</v>
      </c>
      <c r="BE144" s="13">
        <f>BD144*VLOOKUP('Données projet'!$B$11,Paramètres!$A$1:$I$89,3,0)*VLOOKUP('Données projet'!$B$11,Paramètres!$A$1:$I$89,5,0)</f>
        <v>-2.3055690689943732E-14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5.8584049049231908</v>
      </c>
      <c r="BJ144" s="59">
        <f t="shared" si="146"/>
        <v>42.266833200216638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6.5075057089612002E-15</v>
      </c>
      <c r="BS144" s="22">
        <f t="shared" si="117"/>
        <v>6.5075057089612002E-15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>
        <f>BY144*VLOOKUP('Données projet'!$B$12,Paramètres!$A$1:$I$89,3,0)*VLOOKUP('Données projet'!$B$12,Paramètres!$A$1:$I$89,5,0)</f>
        <v>0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0</v>
      </c>
      <c r="CE144" s="59">
        <f t="shared" si="148"/>
        <v>0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0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>
        <f>CT144*VLOOKUP('Données projet'!$B$13,Paramètres!$A$1:$I$89,3,0)*VLOOKUP('Données projet'!$B$13,Paramètres!$A$1:$I$89,5,0)</f>
        <v>0</v>
      </c>
      <c r="CV144" s="13" t="e">
        <f t="shared" si="149"/>
        <v>#NUM!</v>
      </c>
      <c r="CW144" s="20" t="e">
        <f t="shared" si="121"/>
        <v>#NUM!</v>
      </c>
      <c r="CX144" s="59" t="e">
        <f t="shared" si="122"/>
        <v>#NUM!</v>
      </c>
      <c r="CY144" s="59">
        <f ca="1">AVERAGE(OFFSET($CX$3,0,0,'Données projet'!$E$13+1,1))-AVERAGE(OFFSET($H$3,0,0,'Données projet'!$E$13+1,1))</f>
        <v>0</v>
      </c>
      <c r="CZ144" s="59">
        <f t="shared" si="150"/>
        <v>0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</v>
      </c>
      <c r="DG144" s="21">
        <f>EXP(-LN(2)/25)*DG143+(1-EXP(-LN(2)/25))/(LN(2)/25)*Calculateur!DB144*Calculateur!DD144*VLOOKUP('Données projet'!$B$13,Paramètres!$A$1:$I$89,3,0)*0.475*44/12</f>
        <v>0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0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>
        <f>DO144*VLOOKUP('Données projet'!$B$14,Paramètres!$A$1:$I$89,3,0)*VLOOKUP('Données projet'!$B$14,Paramètres!$A$1:$I$89,5,0)</f>
        <v>0</v>
      </c>
      <c r="DQ144" s="13" t="e">
        <f t="shared" si="151"/>
        <v>#NUM!</v>
      </c>
      <c r="DR144" s="20" t="e">
        <f t="shared" si="124"/>
        <v>#NUM!</v>
      </c>
      <c r="DS144" s="59" t="e">
        <f t="shared" si="125"/>
        <v>#NUM!</v>
      </c>
      <c r="DT144" s="59">
        <f ca="1">AVERAGE(OFFSET($DS$3,0,0,'Données projet'!$E$14+1,1))-AVERAGE(OFFSET($H$3,0,0,'Données projet'!$E$14+1,1))</f>
        <v>0</v>
      </c>
      <c r="DU144" s="59">
        <f t="shared" si="152"/>
        <v>0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</v>
      </c>
      <c r="EB144" s="21">
        <f>EXP(-LN(2)/25)*EB143+(1-EXP(-LN(2)/25))/(LN(2)/25)*Calculateur!DW144*Calculateur!DY144*VLOOKUP('Données projet'!$B$14,Paramètres!$A$1:$I$89,3,0)*0.475*44/12</f>
        <v>0</v>
      </c>
      <c r="EC144" s="21">
        <f>EXP(-LN(2)/2)*EC143+(1-EXP(-LN(2)/2))/(LN(2)/2)*DW144*DZ144*VLOOKUP('Données projet'!$B$14,Paramètres!$A$1:$I$89,3,0)*0.475*44/12</f>
        <v>0</v>
      </c>
      <c r="ED144" s="22">
        <f t="shared" si="126"/>
        <v>0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>
        <f>EJ144*VLOOKUP('Données projet'!$B$15,Paramètres!$A$1:$I$89,3,0)*VLOOKUP('Données projet'!$B$15,Paramètres!$A$1:$I$89,5,0)</f>
        <v>0</v>
      </c>
      <c r="EL144" s="13" t="e">
        <f t="shared" si="153"/>
        <v>#NUM!</v>
      </c>
      <c r="EM144" s="20" t="e">
        <f t="shared" si="127"/>
        <v>#NUM!</v>
      </c>
      <c r="EN144" s="59" t="e">
        <f t="shared" si="128"/>
        <v>#NUM!</v>
      </c>
      <c r="EO144" s="59">
        <f ca="1">AVERAGE(OFFSET($EN$3,0,0,'Données projet'!$E$15+1,1))-AVERAGE(OFFSET($H$3,0,0,'Données projet'!$E$15+1,1))</f>
        <v>0</v>
      </c>
      <c r="EP144" s="59">
        <f t="shared" si="154"/>
        <v>0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>
        <f>EXP(-LN(2)/35)*EV143+(1-EXP(-LN(2)/35))/(LN(2)/35)*ER144*ES144*VLOOKUP('Données projet'!$B$15,Paramètres!$A$1:$I$89,3,0)*0.475*44/12</f>
        <v>0</v>
      </c>
      <c r="EW144" s="21">
        <f>EXP(-LN(2)/25)*EW143+(1-EXP(-LN(2)/25))/(LN(2)/25)*Calculateur!ER144*Calculateur!ET144*VLOOKUP('Données projet'!$B$15,Paramètres!$A$1:$I$89,3,0)*0.475*44/12</f>
        <v>0</v>
      </c>
      <c r="EX144" s="21">
        <f>EXP(-LN(2)/2)*EX143+(1-EXP(-LN(2)/2))/(LN(2)/2)*ER144*EU144*VLOOKUP('Données projet'!$B$15,Paramètres!$A$1:$I$89,3,0)*0.475*44/12</f>
        <v>0</v>
      </c>
      <c r="EY144" s="22">
        <f t="shared" si="129"/>
        <v>0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>
        <f>FE144*VLOOKUP('Données projet'!$B$16,Paramètres!$A$1:$I$89,3,0)*VLOOKUP('Données projet'!$B$16,Paramètres!$A$1:$I$89,5,0)</f>
        <v>0</v>
      </c>
      <c r="FG144" s="13" t="e">
        <f t="shared" si="155"/>
        <v>#NUM!</v>
      </c>
      <c r="FH144" s="20" t="e">
        <f t="shared" si="130"/>
        <v>#NUM!</v>
      </c>
      <c r="FI144" s="59" t="e">
        <f t="shared" si="131"/>
        <v>#NUM!</v>
      </c>
      <c r="FJ144" s="59">
        <f ca="1">AVERAGE(OFFSET($FI$3,0,0,'Données projet'!$E$16+1,1))-AVERAGE(OFFSET($H$3,0,0,'Données projet'!$E$16+1,1))</f>
        <v>0</v>
      </c>
      <c r="FK144" s="59">
        <f t="shared" si="156"/>
        <v>0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>
        <f>EXP(-LN(2)/35)*FQ143+(1-EXP(-LN(2)/35))/(LN(2)/35)*FM144*FN144*VLOOKUP('Données projet'!$B$16,Paramètres!$A$1:$I$89,3,0)*0.475*44/12</f>
        <v>0</v>
      </c>
      <c r="FR144" s="21">
        <f>EXP(-LN(2)/25)*FR143+(1-EXP(-LN(2)/25))/(LN(2)/25)*Calculateur!FM144*Calculateur!FO144*VLOOKUP('Données projet'!$B$16,Paramètres!$A$1:$I$89,3,0)*0.475*44/12</f>
        <v>0</v>
      </c>
      <c r="FS144" s="21">
        <f>EXP(-LN(2)/2)*FS143+(1-EXP(-LN(2)/2))/(LN(2)/2)*FM144*FP144*VLOOKUP('Données projet'!$B$16,Paramètres!$A$1:$I$89,3,0)*0.475*44/12</f>
        <v>0</v>
      </c>
      <c r="FT144" s="22">
        <f t="shared" si="132"/>
        <v>0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1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186.90544184210381</v>
      </c>
      <c r="T145" s="59">
        <f t="shared" si="142"/>
        <v>202.05988514450519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23.455739307703727</v>
      </c>
      <c r="AA145" s="21">
        <f>EXP(-LN(2)/25)*AA144+(1-EXP(-LN(2)/25))/(LN(2)/25)*Calculateur!V145*Calculateur!X145*VLOOKUP('Données projet'!$B$9,Paramètres!$A$1:$I$89,3,0)*0.475*44/12</f>
        <v>2.2494172813248863</v>
      </c>
      <c r="AB145" s="21">
        <f>EXP(-LN(2)/2)*AB144+(1-EXP(-LN(2)/2))/(LN(2)/2)*V145*Y145*VLOOKUP('Données projet'!$B$9,Paramètres!$A$1:$I$89,3,0)*0.475*44/12</f>
        <v>1.9564951239821557E-11</v>
      </c>
      <c r="AC145" s="22">
        <f t="shared" si="111"/>
        <v>25.705156589048176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>
        <f>AI145*VLOOKUP('Données projet'!$B$10,Paramètres!$A$1:$I$89,3,0)*VLOOKUP('Données projet'!$B$10,Paramètres!$A$1:$I$89,5,0)</f>
        <v>0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186.90544184210381</v>
      </c>
      <c r="AO145" s="59">
        <f t="shared" si="144"/>
        <v>202.05988514450519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23.455739307703727</v>
      </c>
      <c r="AV145" s="21">
        <f>EXP(-LN(2)/25)*AV144+(1-EXP(-LN(2)/25))/(LN(2)/25)*Calculateur!AQ145*Calculateur!AS145*VLOOKUP('Données projet'!$B$10,Paramètres!$A$1:$I$89,3,0)*0.475*44/12</f>
        <v>2.2494172813248863</v>
      </c>
      <c r="AW145" s="21">
        <f>EXP(-LN(2)/2)*AW144+(1-EXP(-LN(2)/2))/(LN(2)/2)*AQ145*AT145*VLOOKUP('Données projet'!$B$10,Paramètres!$A$1:$I$89,3,0)*0.475*44/12</f>
        <v>1.9564951239821557E-11</v>
      </c>
      <c r="AX145" s="21">
        <f t="shared" si="114"/>
        <v>25.705156589048176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-2.8421709430404007E-14</v>
      </c>
      <c r="BE145" s="13">
        <f>BD145*VLOOKUP('Données projet'!$B$11,Paramètres!$A$1:$I$89,3,0)*VLOOKUP('Données projet'!$B$11,Paramètres!$A$1:$I$89,5,0)</f>
        <v>-2.3055690689943732E-14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5.8584049049231908</v>
      </c>
      <c r="BJ145" s="59">
        <f t="shared" si="146"/>
        <v>42.266833200216638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4.6015014154166362E-15</v>
      </c>
      <c r="BS145" s="22">
        <f t="shared" si="117"/>
        <v>4.6015014154166362E-15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>
        <f>BY145*VLOOKUP('Données projet'!$B$12,Paramètres!$A$1:$I$89,3,0)*VLOOKUP('Données projet'!$B$12,Paramètres!$A$1:$I$89,5,0)</f>
        <v>0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0</v>
      </c>
      <c r="CE145" s="59">
        <f t="shared" si="148"/>
        <v>0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0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>
        <f>CT145*VLOOKUP('Données projet'!$B$13,Paramètres!$A$1:$I$89,3,0)*VLOOKUP('Données projet'!$B$13,Paramètres!$A$1:$I$89,5,0)</f>
        <v>0</v>
      </c>
      <c r="CV145" s="13" t="e">
        <f t="shared" si="149"/>
        <v>#NUM!</v>
      </c>
      <c r="CW145" s="20" t="e">
        <f t="shared" si="121"/>
        <v>#NUM!</v>
      </c>
      <c r="CX145" s="59" t="e">
        <f t="shared" si="122"/>
        <v>#NUM!</v>
      </c>
      <c r="CY145" s="59">
        <f ca="1">AVERAGE(OFFSET($CX$3,0,0,'Données projet'!$E$13+1,1))-AVERAGE(OFFSET($H$3,0,0,'Données projet'!$E$13+1,1))</f>
        <v>0</v>
      </c>
      <c r="CZ145" s="59">
        <f t="shared" si="150"/>
        <v>0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</v>
      </c>
      <c r="DG145" s="21">
        <f>EXP(-LN(2)/25)*DG144+(1-EXP(-LN(2)/25))/(LN(2)/25)*Calculateur!DB145*Calculateur!DD145*VLOOKUP('Données projet'!$B$13,Paramètres!$A$1:$I$89,3,0)*0.475*44/12</f>
        <v>0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0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>
        <f>DO145*VLOOKUP('Données projet'!$B$14,Paramètres!$A$1:$I$89,3,0)*VLOOKUP('Données projet'!$B$14,Paramètres!$A$1:$I$89,5,0)</f>
        <v>0</v>
      </c>
      <c r="DQ145" s="13" t="e">
        <f t="shared" si="151"/>
        <v>#NUM!</v>
      </c>
      <c r="DR145" s="20" t="e">
        <f t="shared" si="124"/>
        <v>#NUM!</v>
      </c>
      <c r="DS145" s="59" t="e">
        <f t="shared" si="125"/>
        <v>#NUM!</v>
      </c>
      <c r="DT145" s="59">
        <f ca="1">AVERAGE(OFFSET($DS$3,0,0,'Données projet'!$E$14+1,1))-AVERAGE(OFFSET($H$3,0,0,'Données projet'!$E$14+1,1))</f>
        <v>0</v>
      </c>
      <c r="DU145" s="59">
        <f t="shared" si="152"/>
        <v>0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</v>
      </c>
      <c r="EB145" s="21">
        <f>EXP(-LN(2)/25)*EB144+(1-EXP(-LN(2)/25))/(LN(2)/25)*Calculateur!DW145*Calculateur!DY145*VLOOKUP('Données projet'!$B$14,Paramètres!$A$1:$I$89,3,0)*0.475*44/12</f>
        <v>0</v>
      </c>
      <c r="EC145" s="21">
        <f>EXP(-LN(2)/2)*EC144+(1-EXP(-LN(2)/2))/(LN(2)/2)*DW145*DZ145*VLOOKUP('Données projet'!$B$14,Paramètres!$A$1:$I$89,3,0)*0.475*44/12</f>
        <v>0</v>
      </c>
      <c r="ED145" s="22">
        <f t="shared" si="126"/>
        <v>0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>
        <f>EJ145*VLOOKUP('Données projet'!$B$15,Paramètres!$A$1:$I$89,3,0)*VLOOKUP('Données projet'!$B$15,Paramètres!$A$1:$I$89,5,0)</f>
        <v>0</v>
      </c>
      <c r="EL145" s="13" t="e">
        <f t="shared" si="153"/>
        <v>#NUM!</v>
      </c>
      <c r="EM145" s="20" t="e">
        <f t="shared" si="127"/>
        <v>#NUM!</v>
      </c>
      <c r="EN145" s="59" t="e">
        <f t="shared" si="128"/>
        <v>#NUM!</v>
      </c>
      <c r="EO145" s="59">
        <f ca="1">AVERAGE(OFFSET($EN$3,0,0,'Données projet'!$E$15+1,1))-AVERAGE(OFFSET($H$3,0,0,'Données projet'!$E$15+1,1))</f>
        <v>0</v>
      </c>
      <c r="EP145" s="59">
        <f t="shared" si="154"/>
        <v>0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>
        <f>EXP(-LN(2)/35)*EV144+(1-EXP(-LN(2)/35))/(LN(2)/35)*ER145*ES145*VLOOKUP('Données projet'!$B$15,Paramètres!$A$1:$I$89,3,0)*0.475*44/12</f>
        <v>0</v>
      </c>
      <c r="EW145" s="21">
        <f>EXP(-LN(2)/25)*EW144+(1-EXP(-LN(2)/25))/(LN(2)/25)*Calculateur!ER145*Calculateur!ET145*VLOOKUP('Données projet'!$B$15,Paramètres!$A$1:$I$89,3,0)*0.475*44/12</f>
        <v>0</v>
      </c>
      <c r="EX145" s="21">
        <f>EXP(-LN(2)/2)*EX144+(1-EXP(-LN(2)/2))/(LN(2)/2)*ER145*EU145*VLOOKUP('Données projet'!$B$15,Paramètres!$A$1:$I$89,3,0)*0.475*44/12</f>
        <v>0</v>
      </c>
      <c r="EY145" s="22">
        <f t="shared" si="129"/>
        <v>0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>
        <f>FE145*VLOOKUP('Données projet'!$B$16,Paramètres!$A$1:$I$89,3,0)*VLOOKUP('Données projet'!$B$16,Paramètres!$A$1:$I$89,5,0)</f>
        <v>0</v>
      </c>
      <c r="FG145" s="13" t="e">
        <f t="shared" si="155"/>
        <v>#NUM!</v>
      </c>
      <c r="FH145" s="20" t="e">
        <f t="shared" si="130"/>
        <v>#NUM!</v>
      </c>
      <c r="FI145" s="59" t="e">
        <f t="shared" si="131"/>
        <v>#NUM!</v>
      </c>
      <c r="FJ145" s="59">
        <f ca="1">AVERAGE(OFFSET($FI$3,0,0,'Données projet'!$E$16+1,1))-AVERAGE(OFFSET($H$3,0,0,'Données projet'!$E$16+1,1))</f>
        <v>0</v>
      </c>
      <c r="FK145" s="59">
        <f t="shared" si="156"/>
        <v>0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>
        <f>EXP(-LN(2)/35)*FQ144+(1-EXP(-LN(2)/35))/(LN(2)/35)*FM145*FN145*VLOOKUP('Données projet'!$B$16,Paramètres!$A$1:$I$89,3,0)*0.475*44/12</f>
        <v>0</v>
      </c>
      <c r="FR145" s="21">
        <f>EXP(-LN(2)/25)*FR144+(1-EXP(-LN(2)/25))/(LN(2)/25)*Calculateur!FM145*Calculateur!FO145*VLOOKUP('Données projet'!$B$16,Paramètres!$A$1:$I$89,3,0)*0.475*44/12</f>
        <v>0</v>
      </c>
      <c r="FS145" s="21">
        <f>EXP(-LN(2)/2)*FS144+(1-EXP(-LN(2)/2))/(LN(2)/2)*FM145*FP145*VLOOKUP('Données projet'!$B$16,Paramètres!$A$1:$I$89,3,0)*0.475*44/12</f>
        <v>0</v>
      </c>
      <c r="FT145" s="22">
        <f t="shared" si="132"/>
        <v>0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1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186.90544184210381</v>
      </c>
      <c r="T146" s="59">
        <f t="shared" si="142"/>
        <v>202.05988514450519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22.995786566467977</v>
      </c>
      <c r="AA146" s="21">
        <f>EXP(-LN(2)/25)*AA145+(1-EXP(-LN(2)/25))/(LN(2)/25)*Calculateur!V146*Calculateur!X146*VLOOKUP('Données projet'!$B$9,Paramètres!$A$1:$I$89,3,0)*0.475*44/12</f>
        <v>2.1879068474753436</v>
      </c>
      <c r="AB146" s="21">
        <f>EXP(-LN(2)/2)*AB145+(1-EXP(-LN(2)/2))/(LN(2)/2)*V146*Y146*VLOOKUP('Données projet'!$B$9,Paramètres!$A$1:$I$89,3,0)*0.475*44/12</f>
        <v>1.3834509695261974E-11</v>
      </c>
      <c r="AC146" s="22">
        <f t="shared" si="111"/>
        <v>25.183693413957155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>
        <f>AI146*VLOOKUP('Données projet'!$B$10,Paramètres!$A$1:$I$89,3,0)*VLOOKUP('Données projet'!$B$10,Paramètres!$A$1:$I$89,5,0)</f>
        <v>0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186.90544184210381</v>
      </c>
      <c r="AO146" s="59">
        <f t="shared" si="144"/>
        <v>202.05988514450519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22.995786566467977</v>
      </c>
      <c r="AV146" s="21">
        <f>EXP(-LN(2)/25)*AV145+(1-EXP(-LN(2)/25))/(LN(2)/25)*Calculateur!AQ146*Calculateur!AS146*VLOOKUP('Données projet'!$B$10,Paramètres!$A$1:$I$89,3,0)*0.475*44/12</f>
        <v>2.1879068474753436</v>
      </c>
      <c r="AW146" s="21">
        <f>EXP(-LN(2)/2)*AW145+(1-EXP(-LN(2)/2))/(LN(2)/2)*AQ146*AT146*VLOOKUP('Données projet'!$B$10,Paramètres!$A$1:$I$89,3,0)*0.475*44/12</f>
        <v>1.3834509695261974E-11</v>
      </c>
      <c r="AX146" s="21">
        <f t="shared" si="114"/>
        <v>25.183693413957155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-2.8421709430404007E-14</v>
      </c>
      <c r="BE146" s="13">
        <f>BD146*VLOOKUP('Données projet'!$B$11,Paramètres!$A$1:$I$89,3,0)*VLOOKUP('Données projet'!$B$11,Paramètres!$A$1:$I$89,5,0)</f>
        <v>-2.3055690689943732E-14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5.8584049049231908</v>
      </c>
      <c r="BJ146" s="59">
        <f t="shared" si="146"/>
        <v>42.266833200216638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3.2537528544806001E-15</v>
      </c>
      <c r="BS146" s="22">
        <f t="shared" si="117"/>
        <v>3.2537528544806001E-15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>
        <f>BY146*VLOOKUP('Données projet'!$B$12,Paramètres!$A$1:$I$89,3,0)*VLOOKUP('Données projet'!$B$12,Paramètres!$A$1:$I$89,5,0)</f>
        <v>0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0</v>
      </c>
      <c r="CE146" s="59">
        <f t="shared" si="148"/>
        <v>0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0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>
        <f>CT146*VLOOKUP('Données projet'!$B$13,Paramètres!$A$1:$I$89,3,0)*VLOOKUP('Données projet'!$B$13,Paramètres!$A$1:$I$89,5,0)</f>
        <v>0</v>
      </c>
      <c r="CV146" s="13" t="e">
        <f t="shared" si="149"/>
        <v>#NUM!</v>
      </c>
      <c r="CW146" s="20" t="e">
        <f t="shared" si="121"/>
        <v>#NUM!</v>
      </c>
      <c r="CX146" s="59" t="e">
        <f t="shared" si="122"/>
        <v>#NUM!</v>
      </c>
      <c r="CY146" s="59">
        <f ca="1">AVERAGE(OFFSET($CX$3,0,0,'Données projet'!$E$13+1,1))-AVERAGE(OFFSET($H$3,0,0,'Données projet'!$E$13+1,1))</f>
        <v>0</v>
      </c>
      <c r="CZ146" s="59">
        <f t="shared" si="150"/>
        <v>0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</v>
      </c>
      <c r="DG146" s="21">
        <f>EXP(-LN(2)/25)*DG145+(1-EXP(-LN(2)/25))/(LN(2)/25)*Calculateur!DB146*Calculateur!DD146*VLOOKUP('Données projet'!$B$13,Paramètres!$A$1:$I$89,3,0)*0.475*44/12</f>
        <v>0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0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>
        <f>DO146*VLOOKUP('Données projet'!$B$14,Paramètres!$A$1:$I$89,3,0)*VLOOKUP('Données projet'!$B$14,Paramètres!$A$1:$I$89,5,0)</f>
        <v>0</v>
      </c>
      <c r="DQ146" s="13" t="e">
        <f t="shared" si="151"/>
        <v>#NUM!</v>
      </c>
      <c r="DR146" s="20" t="e">
        <f t="shared" si="124"/>
        <v>#NUM!</v>
      </c>
      <c r="DS146" s="59" t="e">
        <f t="shared" si="125"/>
        <v>#NUM!</v>
      </c>
      <c r="DT146" s="59">
        <f ca="1">AVERAGE(OFFSET($DS$3,0,0,'Données projet'!$E$14+1,1))-AVERAGE(OFFSET($H$3,0,0,'Données projet'!$E$14+1,1))</f>
        <v>0</v>
      </c>
      <c r="DU146" s="59">
        <f t="shared" si="152"/>
        <v>0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</v>
      </c>
      <c r="EB146" s="21">
        <f>EXP(-LN(2)/25)*EB145+(1-EXP(-LN(2)/25))/(LN(2)/25)*Calculateur!DW146*Calculateur!DY146*VLOOKUP('Données projet'!$B$14,Paramètres!$A$1:$I$89,3,0)*0.475*44/12</f>
        <v>0</v>
      </c>
      <c r="EC146" s="21">
        <f>EXP(-LN(2)/2)*EC145+(1-EXP(-LN(2)/2))/(LN(2)/2)*DW146*DZ146*VLOOKUP('Données projet'!$B$14,Paramètres!$A$1:$I$89,3,0)*0.475*44/12</f>
        <v>0</v>
      </c>
      <c r="ED146" s="22">
        <f t="shared" si="126"/>
        <v>0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>
        <f>EJ146*VLOOKUP('Données projet'!$B$15,Paramètres!$A$1:$I$89,3,0)*VLOOKUP('Données projet'!$B$15,Paramètres!$A$1:$I$89,5,0)</f>
        <v>0</v>
      </c>
      <c r="EL146" s="13" t="e">
        <f t="shared" si="153"/>
        <v>#NUM!</v>
      </c>
      <c r="EM146" s="20" t="e">
        <f t="shared" si="127"/>
        <v>#NUM!</v>
      </c>
      <c r="EN146" s="59" t="e">
        <f t="shared" si="128"/>
        <v>#NUM!</v>
      </c>
      <c r="EO146" s="59">
        <f ca="1">AVERAGE(OFFSET($EN$3,0,0,'Données projet'!$E$15+1,1))-AVERAGE(OFFSET($H$3,0,0,'Données projet'!$E$15+1,1))</f>
        <v>0</v>
      </c>
      <c r="EP146" s="59">
        <f t="shared" si="154"/>
        <v>0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>
        <f>EXP(-LN(2)/35)*EV145+(1-EXP(-LN(2)/35))/(LN(2)/35)*ER146*ES146*VLOOKUP('Données projet'!$B$15,Paramètres!$A$1:$I$89,3,0)*0.475*44/12</f>
        <v>0</v>
      </c>
      <c r="EW146" s="21">
        <f>EXP(-LN(2)/25)*EW145+(1-EXP(-LN(2)/25))/(LN(2)/25)*Calculateur!ER146*Calculateur!ET146*VLOOKUP('Données projet'!$B$15,Paramètres!$A$1:$I$89,3,0)*0.475*44/12</f>
        <v>0</v>
      </c>
      <c r="EX146" s="21">
        <f>EXP(-LN(2)/2)*EX145+(1-EXP(-LN(2)/2))/(LN(2)/2)*ER146*EU146*VLOOKUP('Données projet'!$B$15,Paramètres!$A$1:$I$89,3,0)*0.475*44/12</f>
        <v>0</v>
      </c>
      <c r="EY146" s="22">
        <f t="shared" si="129"/>
        <v>0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>
        <f>FE146*VLOOKUP('Données projet'!$B$16,Paramètres!$A$1:$I$89,3,0)*VLOOKUP('Données projet'!$B$16,Paramètres!$A$1:$I$89,5,0)</f>
        <v>0</v>
      </c>
      <c r="FG146" s="13" t="e">
        <f t="shared" si="155"/>
        <v>#NUM!</v>
      </c>
      <c r="FH146" s="20" t="e">
        <f t="shared" si="130"/>
        <v>#NUM!</v>
      </c>
      <c r="FI146" s="59" t="e">
        <f t="shared" si="131"/>
        <v>#NUM!</v>
      </c>
      <c r="FJ146" s="59">
        <f ca="1">AVERAGE(OFFSET($FI$3,0,0,'Données projet'!$E$16+1,1))-AVERAGE(OFFSET($H$3,0,0,'Données projet'!$E$16+1,1))</f>
        <v>0</v>
      </c>
      <c r="FK146" s="59">
        <f t="shared" si="156"/>
        <v>0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>
        <f>EXP(-LN(2)/35)*FQ145+(1-EXP(-LN(2)/35))/(LN(2)/35)*FM146*FN146*VLOOKUP('Données projet'!$B$16,Paramètres!$A$1:$I$89,3,0)*0.475*44/12</f>
        <v>0</v>
      </c>
      <c r="FR146" s="21">
        <f>EXP(-LN(2)/25)*FR145+(1-EXP(-LN(2)/25))/(LN(2)/25)*Calculateur!FM146*Calculateur!FO146*VLOOKUP('Données projet'!$B$16,Paramètres!$A$1:$I$89,3,0)*0.475*44/12</f>
        <v>0</v>
      </c>
      <c r="FS146" s="21">
        <f>EXP(-LN(2)/2)*FS145+(1-EXP(-LN(2)/2))/(LN(2)/2)*FM146*FP146*VLOOKUP('Données projet'!$B$16,Paramètres!$A$1:$I$89,3,0)*0.475*44/12</f>
        <v>0</v>
      </c>
      <c r="FT146" s="22">
        <f t="shared" si="132"/>
        <v>0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1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186.90544184210381</v>
      </c>
      <c r="T147" s="59">
        <f t="shared" si="142"/>
        <v>202.05988514450519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22.544853217944389</v>
      </c>
      <c r="AA147" s="21">
        <f>EXP(-LN(2)/25)*AA146+(1-EXP(-LN(2)/25))/(LN(2)/25)*Calculateur!V147*Calculateur!X147*VLOOKUP('Données projet'!$B$9,Paramètres!$A$1:$I$89,3,0)*0.475*44/12</f>
        <v>2.1280784196741096</v>
      </c>
      <c r="AB147" s="21">
        <f>EXP(-LN(2)/2)*AB146+(1-EXP(-LN(2)/2))/(LN(2)/2)*V147*Y147*VLOOKUP('Données projet'!$B$9,Paramètres!$A$1:$I$89,3,0)*0.475*44/12</f>
        <v>9.7824756199107786E-12</v>
      </c>
      <c r="AC147" s="22">
        <f t="shared" si="111"/>
        <v>24.672931637628285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>
        <f>AI147*VLOOKUP('Données projet'!$B$10,Paramètres!$A$1:$I$89,3,0)*VLOOKUP('Données projet'!$B$10,Paramètres!$A$1:$I$89,5,0)</f>
        <v>0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186.90544184210381</v>
      </c>
      <c r="AO147" s="59">
        <f t="shared" si="144"/>
        <v>202.05988514450519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22.544853217944389</v>
      </c>
      <c r="AV147" s="21">
        <f>EXP(-LN(2)/25)*AV146+(1-EXP(-LN(2)/25))/(LN(2)/25)*Calculateur!AQ147*Calculateur!AS147*VLOOKUP('Données projet'!$B$10,Paramètres!$A$1:$I$89,3,0)*0.475*44/12</f>
        <v>2.1280784196741096</v>
      </c>
      <c r="AW147" s="21">
        <f>EXP(-LN(2)/2)*AW146+(1-EXP(-LN(2)/2))/(LN(2)/2)*AQ147*AT147*VLOOKUP('Données projet'!$B$10,Paramètres!$A$1:$I$89,3,0)*0.475*44/12</f>
        <v>9.7824756199107786E-12</v>
      </c>
      <c r="AX147" s="21">
        <f t="shared" si="114"/>
        <v>24.672931637628285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-2.8421709430404007E-14</v>
      </c>
      <c r="BE147" s="13">
        <f>BD147*VLOOKUP('Données projet'!$B$11,Paramètres!$A$1:$I$89,3,0)*VLOOKUP('Données projet'!$B$11,Paramètres!$A$1:$I$89,5,0)</f>
        <v>-2.3055690689943732E-14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5.8584049049231908</v>
      </c>
      <c r="BJ147" s="59">
        <f t="shared" si="146"/>
        <v>42.266833200216638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2.3007507077083181E-15</v>
      </c>
      <c r="BS147" s="22">
        <f t="shared" si="117"/>
        <v>2.3007507077083181E-15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>
        <f>BY147*VLOOKUP('Données projet'!$B$12,Paramètres!$A$1:$I$89,3,0)*VLOOKUP('Données projet'!$B$12,Paramètres!$A$1:$I$89,5,0)</f>
        <v>0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0</v>
      </c>
      <c r="CE147" s="59">
        <f t="shared" si="148"/>
        <v>0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0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>
        <f>CT147*VLOOKUP('Données projet'!$B$13,Paramètres!$A$1:$I$89,3,0)*VLOOKUP('Données projet'!$B$13,Paramètres!$A$1:$I$89,5,0)</f>
        <v>0</v>
      </c>
      <c r="CV147" s="13" t="e">
        <f t="shared" si="149"/>
        <v>#NUM!</v>
      </c>
      <c r="CW147" s="20" t="e">
        <f t="shared" si="121"/>
        <v>#NUM!</v>
      </c>
      <c r="CX147" s="59" t="e">
        <f t="shared" si="122"/>
        <v>#NUM!</v>
      </c>
      <c r="CY147" s="59">
        <f ca="1">AVERAGE(OFFSET($CX$3,0,0,'Données projet'!$E$13+1,1))-AVERAGE(OFFSET($H$3,0,0,'Données projet'!$E$13+1,1))</f>
        <v>0</v>
      </c>
      <c r="CZ147" s="59">
        <f t="shared" si="150"/>
        <v>0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</v>
      </c>
      <c r="DG147" s="21">
        <f>EXP(-LN(2)/25)*DG146+(1-EXP(-LN(2)/25))/(LN(2)/25)*Calculateur!DB147*Calculateur!DD147*VLOOKUP('Données projet'!$B$13,Paramètres!$A$1:$I$89,3,0)*0.475*44/12</f>
        <v>0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0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>
        <f>DO147*VLOOKUP('Données projet'!$B$14,Paramètres!$A$1:$I$89,3,0)*VLOOKUP('Données projet'!$B$14,Paramètres!$A$1:$I$89,5,0)</f>
        <v>0</v>
      </c>
      <c r="DQ147" s="13" t="e">
        <f t="shared" si="151"/>
        <v>#NUM!</v>
      </c>
      <c r="DR147" s="20" t="e">
        <f t="shared" si="124"/>
        <v>#NUM!</v>
      </c>
      <c r="DS147" s="59" t="e">
        <f t="shared" si="125"/>
        <v>#NUM!</v>
      </c>
      <c r="DT147" s="59">
        <f ca="1">AVERAGE(OFFSET($DS$3,0,0,'Données projet'!$E$14+1,1))-AVERAGE(OFFSET($H$3,0,0,'Données projet'!$E$14+1,1))</f>
        <v>0</v>
      </c>
      <c r="DU147" s="59">
        <f t="shared" si="152"/>
        <v>0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</v>
      </c>
      <c r="EB147" s="21">
        <f>EXP(-LN(2)/25)*EB146+(1-EXP(-LN(2)/25))/(LN(2)/25)*Calculateur!DW147*Calculateur!DY147*VLOOKUP('Données projet'!$B$14,Paramètres!$A$1:$I$89,3,0)*0.475*44/12</f>
        <v>0</v>
      </c>
      <c r="EC147" s="21">
        <f>EXP(-LN(2)/2)*EC146+(1-EXP(-LN(2)/2))/(LN(2)/2)*DW147*DZ147*VLOOKUP('Données projet'!$B$14,Paramètres!$A$1:$I$89,3,0)*0.475*44/12</f>
        <v>0</v>
      </c>
      <c r="ED147" s="22">
        <f t="shared" si="126"/>
        <v>0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>
        <f>EJ147*VLOOKUP('Données projet'!$B$15,Paramètres!$A$1:$I$89,3,0)*VLOOKUP('Données projet'!$B$15,Paramètres!$A$1:$I$89,5,0)</f>
        <v>0</v>
      </c>
      <c r="EL147" s="13" t="e">
        <f t="shared" si="153"/>
        <v>#NUM!</v>
      </c>
      <c r="EM147" s="20" t="e">
        <f t="shared" si="127"/>
        <v>#NUM!</v>
      </c>
      <c r="EN147" s="59" t="e">
        <f t="shared" si="128"/>
        <v>#NUM!</v>
      </c>
      <c r="EO147" s="59">
        <f ca="1">AVERAGE(OFFSET($EN$3,0,0,'Données projet'!$E$15+1,1))-AVERAGE(OFFSET($H$3,0,0,'Données projet'!$E$15+1,1))</f>
        <v>0</v>
      </c>
      <c r="EP147" s="59">
        <f t="shared" si="154"/>
        <v>0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>
        <f>EXP(-LN(2)/35)*EV146+(1-EXP(-LN(2)/35))/(LN(2)/35)*ER147*ES147*VLOOKUP('Données projet'!$B$15,Paramètres!$A$1:$I$89,3,0)*0.475*44/12</f>
        <v>0</v>
      </c>
      <c r="EW147" s="21">
        <f>EXP(-LN(2)/25)*EW146+(1-EXP(-LN(2)/25))/(LN(2)/25)*Calculateur!ER147*Calculateur!ET147*VLOOKUP('Données projet'!$B$15,Paramètres!$A$1:$I$89,3,0)*0.475*44/12</f>
        <v>0</v>
      </c>
      <c r="EX147" s="21">
        <f>EXP(-LN(2)/2)*EX146+(1-EXP(-LN(2)/2))/(LN(2)/2)*ER147*EU147*VLOOKUP('Données projet'!$B$15,Paramètres!$A$1:$I$89,3,0)*0.475*44/12</f>
        <v>0</v>
      </c>
      <c r="EY147" s="22">
        <f t="shared" si="129"/>
        <v>0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>
        <f>FE147*VLOOKUP('Données projet'!$B$16,Paramètres!$A$1:$I$89,3,0)*VLOOKUP('Données projet'!$B$16,Paramètres!$A$1:$I$89,5,0)</f>
        <v>0</v>
      </c>
      <c r="FG147" s="13" t="e">
        <f t="shared" si="155"/>
        <v>#NUM!</v>
      </c>
      <c r="FH147" s="20" t="e">
        <f t="shared" si="130"/>
        <v>#NUM!</v>
      </c>
      <c r="FI147" s="59" t="e">
        <f t="shared" si="131"/>
        <v>#NUM!</v>
      </c>
      <c r="FJ147" s="59">
        <f ca="1">AVERAGE(OFFSET($FI$3,0,0,'Données projet'!$E$16+1,1))-AVERAGE(OFFSET($H$3,0,0,'Données projet'!$E$16+1,1))</f>
        <v>0</v>
      </c>
      <c r="FK147" s="59">
        <f t="shared" si="156"/>
        <v>0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>
        <f>EXP(-LN(2)/35)*FQ146+(1-EXP(-LN(2)/35))/(LN(2)/35)*FM147*FN147*VLOOKUP('Données projet'!$B$16,Paramètres!$A$1:$I$89,3,0)*0.475*44/12</f>
        <v>0</v>
      </c>
      <c r="FR147" s="21">
        <f>EXP(-LN(2)/25)*FR146+(1-EXP(-LN(2)/25))/(LN(2)/25)*Calculateur!FM147*Calculateur!FO147*VLOOKUP('Données projet'!$B$16,Paramètres!$A$1:$I$89,3,0)*0.475*44/12</f>
        <v>0</v>
      </c>
      <c r="FS147" s="21">
        <f>EXP(-LN(2)/2)*FS146+(1-EXP(-LN(2)/2))/(LN(2)/2)*FM147*FP147*VLOOKUP('Données projet'!$B$16,Paramètres!$A$1:$I$89,3,0)*0.475*44/12</f>
        <v>0</v>
      </c>
      <c r="FT147" s="22">
        <f t="shared" si="132"/>
        <v>0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1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186.90544184210381</v>
      </c>
      <c r="T148" s="59">
        <f t="shared" si="142"/>
        <v>202.05988514450519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22.102762397343163</v>
      </c>
      <c r="AA148" s="21">
        <f>EXP(-LN(2)/25)*AA147+(1-EXP(-LN(2)/25))/(LN(2)/25)*Calculateur!V148*Calculateur!X148*VLOOKUP('Données projet'!$B$9,Paramètres!$A$1:$I$89,3,0)*0.475*44/12</f>
        <v>2.069886003377341</v>
      </c>
      <c r="AB148" s="21">
        <f>EXP(-LN(2)/2)*AB147+(1-EXP(-LN(2)/2))/(LN(2)/2)*V148*Y148*VLOOKUP('Données projet'!$B$9,Paramètres!$A$1:$I$89,3,0)*0.475*44/12</f>
        <v>6.9172548476309868E-12</v>
      </c>
      <c r="AC148" s="22">
        <f t="shared" si="111"/>
        <v>24.172648400727422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>
        <f>AI148*VLOOKUP('Données projet'!$B$10,Paramètres!$A$1:$I$89,3,0)*VLOOKUP('Données projet'!$B$10,Paramètres!$A$1:$I$89,5,0)</f>
        <v>0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186.90544184210381</v>
      </c>
      <c r="AO148" s="59">
        <f t="shared" si="144"/>
        <v>202.05988514450519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22.102762397343163</v>
      </c>
      <c r="AV148" s="21">
        <f>EXP(-LN(2)/25)*AV147+(1-EXP(-LN(2)/25))/(LN(2)/25)*Calculateur!AQ148*Calculateur!AS148*VLOOKUP('Données projet'!$B$10,Paramètres!$A$1:$I$89,3,0)*0.475*44/12</f>
        <v>2.069886003377341</v>
      </c>
      <c r="AW148" s="21">
        <f>EXP(-LN(2)/2)*AW147+(1-EXP(-LN(2)/2))/(LN(2)/2)*AQ148*AT148*VLOOKUP('Données projet'!$B$10,Paramètres!$A$1:$I$89,3,0)*0.475*44/12</f>
        <v>6.9172548476309868E-12</v>
      </c>
      <c r="AX148" s="21">
        <f t="shared" si="114"/>
        <v>24.172648400727422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-2.8421709430404007E-14</v>
      </c>
      <c r="BE148" s="13">
        <f>BD148*VLOOKUP('Données projet'!$B$11,Paramètres!$A$1:$I$89,3,0)*VLOOKUP('Données projet'!$B$11,Paramètres!$A$1:$I$89,5,0)</f>
        <v>-2.3055690689943732E-14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5.8584049049231908</v>
      </c>
      <c r="BJ148" s="59">
        <f t="shared" si="146"/>
        <v>42.266833200216638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1.6268764272403001E-15</v>
      </c>
      <c r="BS148" s="22">
        <f t="shared" si="117"/>
        <v>1.6268764272403001E-15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>
        <f>BY148*VLOOKUP('Données projet'!$B$12,Paramètres!$A$1:$I$89,3,0)*VLOOKUP('Données projet'!$B$12,Paramètres!$A$1:$I$89,5,0)</f>
        <v>0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0</v>
      </c>
      <c r="CE148" s="59">
        <f t="shared" si="148"/>
        <v>0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0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>
        <f>CT148*VLOOKUP('Données projet'!$B$13,Paramètres!$A$1:$I$89,3,0)*VLOOKUP('Données projet'!$B$13,Paramètres!$A$1:$I$89,5,0)</f>
        <v>0</v>
      </c>
      <c r="CV148" s="13" t="e">
        <f t="shared" si="149"/>
        <v>#NUM!</v>
      </c>
      <c r="CW148" s="20" t="e">
        <f t="shared" si="121"/>
        <v>#NUM!</v>
      </c>
      <c r="CX148" s="59" t="e">
        <f t="shared" si="122"/>
        <v>#NUM!</v>
      </c>
      <c r="CY148" s="59">
        <f ca="1">AVERAGE(OFFSET($CX$3,0,0,'Données projet'!$E$13+1,1))-AVERAGE(OFFSET($H$3,0,0,'Données projet'!$E$13+1,1))</f>
        <v>0</v>
      </c>
      <c r="CZ148" s="59">
        <f t="shared" si="150"/>
        <v>0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</v>
      </c>
      <c r="DG148" s="21">
        <f>EXP(-LN(2)/25)*DG147+(1-EXP(-LN(2)/25))/(LN(2)/25)*Calculateur!DB148*Calculateur!DD148*VLOOKUP('Données projet'!$B$13,Paramètres!$A$1:$I$89,3,0)*0.475*44/12</f>
        <v>0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0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>
        <f>DO148*VLOOKUP('Données projet'!$B$14,Paramètres!$A$1:$I$89,3,0)*VLOOKUP('Données projet'!$B$14,Paramètres!$A$1:$I$89,5,0)</f>
        <v>0</v>
      </c>
      <c r="DQ148" s="13" t="e">
        <f t="shared" si="151"/>
        <v>#NUM!</v>
      </c>
      <c r="DR148" s="20" t="e">
        <f t="shared" si="124"/>
        <v>#NUM!</v>
      </c>
      <c r="DS148" s="59" t="e">
        <f t="shared" si="125"/>
        <v>#NUM!</v>
      </c>
      <c r="DT148" s="59">
        <f ca="1">AVERAGE(OFFSET($DS$3,0,0,'Données projet'!$E$14+1,1))-AVERAGE(OFFSET($H$3,0,0,'Données projet'!$E$14+1,1))</f>
        <v>0</v>
      </c>
      <c r="DU148" s="59">
        <f t="shared" si="152"/>
        <v>0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</v>
      </c>
      <c r="EB148" s="21">
        <f>EXP(-LN(2)/25)*EB147+(1-EXP(-LN(2)/25))/(LN(2)/25)*Calculateur!DW148*Calculateur!DY148*VLOOKUP('Données projet'!$B$14,Paramètres!$A$1:$I$89,3,0)*0.475*44/12</f>
        <v>0</v>
      </c>
      <c r="EC148" s="21">
        <f>EXP(-LN(2)/2)*EC147+(1-EXP(-LN(2)/2))/(LN(2)/2)*DW148*DZ148*VLOOKUP('Données projet'!$B$14,Paramètres!$A$1:$I$89,3,0)*0.475*44/12</f>
        <v>0</v>
      </c>
      <c r="ED148" s="22">
        <f t="shared" si="126"/>
        <v>0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>
        <f>EJ148*VLOOKUP('Données projet'!$B$15,Paramètres!$A$1:$I$89,3,0)*VLOOKUP('Données projet'!$B$15,Paramètres!$A$1:$I$89,5,0)</f>
        <v>0</v>
      </c>
      <c r="EL148" s="13" t="e">
        <f t="shared" si="153"/>
        <v>#NUM!</v>
      </c>
      <c r="EM148" s="20" t="e">
        <f t="shared" si="127"/>
        <v>#NUM!</v>
      </c>
      <c r="EN148" s="59" t="e">
        <f t="shared" si="128"/>
        <v>#NUM!</v>
      </c>
      <c r="EO148" s="59">
        <f ca="1">AVERAGE(OFFSET($EN$3,0,0,'Données projet'!$E$15+1,1))-AVERAGE(OFFSET($H$3,0,0,'Données projet'!$E$15+1,1))</f>
        <v>0</v>
      </c>
      <c r="EP148" s="59">
        <f t="shared" si="154"/>
        <v>0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>
        <f>EXP(-LN(2)/35)*EV147+(1-EXP(-LN(2)/35))/(LN(2)/35)*ER148*ES148*VLOOKUP('Données projet'!$B$15,Paramètres!$A$1:$I$89,3,0)*0.475*44/12</f>
        <v>0</v>
      </c>
      <c r="EW148" s="21">
        <f>EXP(-LN(2)/25)*EW147+(1-EXP(-LN(2)/25))/(LN(2)/25)*Calculateur!ER148*Calculateur!ET148*VLOOKUP('Données projet'!$B$15,Paramètres!$A$1:$I$89,3,0)*0.475*44/12</f>
        <v>0</v>
      </c>
      <c r="EX148" s="21">
        <f>EXP(-LN(2)/2)*EX147+(1-EXP(-LN(2)/2))/(LN(2)/2)*ER148*EU148*VLOOKUP('Données projet'!$B$15,Paramètres!$A$1:$I$89,3,0)*0.475*44/12</f>
        <v>0</v>
      </c>
      <c r="EY148" s="22">
        <f t="shared" si="129"/>
        <v>0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>
        <f>FE148*VLOOKUP('Données projet'!$B$16,Paramètres!$A$1:$I$89,3,0)*VLOOKUP('Données projet'!$B$16,Paramètres!$A$1:$I$89,5,0)</f>
        <v>0</v>
      </c>
      <c r="FG148" s="13" t="e">
        <f t="shared" si="155"/>
        <v>#NUM!</v>
      </c>
      <c r="FH148" s="20" t="e">
        <f t="shared" si="130"/>
        <v>#NUM!</v>
      </c>
      <c r="FI148" s="59" t="e">
        <f t="shared" si="131"/>
        <v>#NUM!</v>
      </c>
      <c r="FJ148" s="59">
        <f ca="1">AVERAGE(OFFSET($FI$3,0,0,'Données projet'!$E$16+1,1))-AVERAGE(OFFSET($H$3,0,0,'Données projet'!$E$16+1,1))</f>
        <v>0</v>
      </c>
      <c r="FK148" s="59">
        <f t="shared" si="156"/>
        <v>0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>
        <f>EXP(-LN(2)/35)*FQ147+(1-EXP(-LN(2)/35))/(LN(2)/35)*FM148*FN148*VLOOKUP('Données projet'!$B$16,Paramètres!$A$1:$I$89,3,0)*0.475*44/12</f>
        <v>0</v>
      </c>
      <c r="FR148" s="21">
        <f>EXP(-LN(2)/25)*FR147+(1-EXP(-LN(2)/25))/(LN(2)/25)*Calculateur!FM148*Calculateur!FO148*VLOOKUP('Données projet'!$B$16,Paramètres!$A$1:$I$89,3,0)*0.475*44/12</f>
        <v>0</v>
      </c>
      <c r="FS148" s="21">
        <f>EXP(-LN(2)/2)*FS147+(1-EXP(-LN(2)/2))/(LN(2)/2)*FM148*FP148*VLOOKUP('Données projet'!$B$16,Paramètres!$A$1:$I$89,3,0)*0.475*44/12</f>
        <v>0</v>
      </c>
      <c r="FT148" s="22">
        <f t="shared" si="132"/>
        <v>0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1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186.90544184210381</v>
      </c>
      <c r="T149" s="59">
        <f t="shared" si="142"/>
        <v>202.05988514450519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21.669340708085151</v>
      </c>
      <c r="AA149" s="21">
        <f>EXP(-LN(2)/25)*AA148+(1-EXP(-LN(2)/25))/(LN(2)/25)*Calculateur!V149*Calculateur!X149*VLOOKUP('Données projet'!$B$9,Paramètres!$A$1:$I$89,3,0)*0.475*44/12</f>
        <v>2.0132848617644132</v>
      </c>
      <c r="AB149" s="21">
        <f>EXP(-LN(2)/2)*AB148+(1-EXP(-LN(2)/2))/(LN(2)/2)*V149*Y149*VLOOKUP('Données projet'!$B$9,Paramètres!$A$1:$I$89,3,0)*0.475*44/12</f>
        <v>4.8912378099553893E-12</v>
      </c>
      <c r="AC149" s="22">
        <f t="shared" si="111"/>
        <v>23.682625569854455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>
        <f>AI149*VLOOKUP('Données projet'!$B$10,Paramètres!$A$1:$I$89,3,0)*VLOOKUP('Données projet'!$B$10,Paramètres!$A$1:$I$89,5,0)</f>
        <v>0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186.90544184210381</v>
      </c>
      <c r="AO149" s="59">
        <f t="shared" si="144"/>
        <v>202.05988514450519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21.669340708085151</v>
      </c>
      <c r="AV149" s="21">
        <f>EXP(-LN(2)/25)*AV148+(1-EXP(-LN(2)/25))/(LN(2)/25)*Calculateur!AQ149*Calculateur!AS149*VLOOKUP('Données projet'!$B$10,Paramètres!$A$1:$I$89,3,0)*0.475*44/12</f>
        <v>2.0132848617644132</v>
      </c>
      <c r="AW149" s="21">
        <f>EXP(-LN(2)/2)*AW148+(1-EXP(-LN(2)/2))/(LN(2)/2)*AQ149*AT149*VLOOKUP('Données projet'!$B$10,Paramètres!$A$1:$I$89,3,0)*0.475*44/12</f>
        <v>4.8912378099553893E-12</v>
      </c>
      <c r="AX149" s="21">
        <f t="shared" si="114"/>
        <v>23.682625569854455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-2.8421709430404007E-14</v>
      </c>
      <c r="BE149" s="13">
        <f>BD149*VLOOKUP('Données projet'!$B$11,Paramètres!$A$1:$I$89,3,0)*VLOOKUP('Données projet'!$B$11,Paramètres!$A$1:$I$89,5,0)</f>
        <v>-2.3055690689943732E-14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5.8584049049231908</v>
      </c>
      <c r="BJ149" s="59">
        <f t="shared" si="146"/>
        <v>42.266833200216638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1.150375353854159E-15</v>
      </c>
      <c r="BS149" s="22">
        <f t="shared" si="117"/>
        <v>1.150375353854159E-15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>
        <f>BY149*VLOOKUP('Données projet'!$B$12,Paramètres!$A$1:$I$89,3,0)*VLOOKUP('Données projet'!$B$12,Paramètres!$A$1:$I$89,5,0)</f>
        <v>0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0</v>
      </c>
      <c r="CE149" s="59">
        <f t="shared" si="148"/>
        <v>0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0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>
        <f>CT149*VLOOKUP('Données projet'!$B$13,Paramètres!$A$1:$I$89,3,0)*VLOOKUP('Données projet'!$B$13,Paramètres!$A$1:$I$89,5,0)</f>
        <v>0</v>
      </c>
      <c r="CV149" s="13" t="e">
        <f t="shared" si="149"/>
        <v>#NUM!</v>
      </c>
      <c r="CW149" s="20" t="e">
        <f t="shared" si="121"/>
        <v>#NUM!</v>
      </c>
      <c r="CX149" s="59" t="e">
        <f t="shared" si="122"/>
        <v>#NUM!</v>
      </c>
      <c r="CY149" s="59">
        <f ca="1">AVERAGE(OFFSET($CX$3,0,0,'Données projet'!$E$13+1,1))-AVERAGE(OFFSET($H$3,0,0,'Données projet'!$E$13+1,1))</f>
        <v>0</v>
      </c>
      <c r="CZ149" s="59">
        <f t="shared" si="150"/>
        <v>0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</v>
      </c>
      <c r="DG149" s="21">
        <f>EXP(-LN(2)/25)*DG148+(1-EXP(-LN(2)/25))/(LN(2)/25)*Calculateur!DB149*Calculateur!DD149*VLOOKUP('Données projet'!$B$13,Paramètres!$A$1:$I$89,3,0)*0.475*44/12</f>
        <v>0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0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>
        <f>DO149*VLOOKUP('Données projet'!$B$14,Paramètres!$A$1:$I$89,3,0)*VLOOKUP('Données projet'!$B$14,Paramètres!$A$1:$I$89,5,0)</f>
        <v>0</v>
      </c>
      <c r="DQ149" s="13" t="e">
        <f t="shared" si="151"/>
        <v>#NUM!</v>
      </c>
      <c r="DR149" s="20" t="e">
        <f t="shared" si="124"/>
        <v>#NUM!</v>
      </c>
      <c r="DS149" s="59" t="e">
        <f t="shared" si="125"/>
        <v>#NUM!</v>
      </c>
      <c r="DT149" s="59">
        <f ca="1">AVERAGE(OFFSET($DS$3,0,0,'Données projet'!$E$14+1,1))-AVERAGE(OFFSET($H$3,0,0,'Données projet'!$E$14+1,1))</f>
        <v>0</v>
      </c>
      <c r="DU149" s="59">
        <f t="shared" si="152"/>
        <v>0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</v>
      </c>
      <c r="EB149" s="21">
        <f>EXP(-LN(2)/25)*EB148+(1-EXP(-LN(2)/25))/(LN(2)/25)*Calculateur!DW149*Calculateur!DY149*VLOOKUP('Données projet'!$B$14,Paramètres!$A$1:$I$89,3,0)*0.475*44/12</f>
        <v>0</v>
      </c>
      <c r="EC149" s="21">
        <f>EXP(-LN(2)/2)*EC148+(1-EXP(-LN(2)/2))/(LN(2)/2)*DW149*DZ149*VLOOKUP('Données projet'!$B$14,Paramètres!$A$1:$I$89,3,0)*0.475*44/12</f>
        <v>0</v>
      </c>
      <c r="ED149" s="22">
        <f t="shared" si="126"/>
        <v>0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>
        <f>EJ149*VLOOKUP('Données projet'!$B$15,Paramètres!$A$1:$I$89,3,0)*VLOOKUP('Données projet'!$B$15,Paramètres!$A$1:$I$89,5,0)</f>
        <v>0</v>
      </c>
      <c r="EL149" s="13" t="e">
        <f t="shared" si="153"/>
        <v>#NUM!</v>
      </c>
      <c r="EM149" s="20" t="e">
        <f t="shared" si="127"/>
        <v>#NUM!</v>
      </c>
      <c r="EN149" s="59" t="e">
        <f t="shared" si="128"/>
        <v>#NUM!</v>
      </c>
      <c r="EO149" s="59">
        <f ca="1">AVERAGE(OFFSET($EN$3,0,0,'Données projet'!$E$15+1,1))-AVERAGE(OFFSET($H$3,0,0,'Données projet'!$E$15+1,1))</f>
        <v>0</v>
      </c>
      <c r="EP149" s="59">
        <f t="shared" si="154"/>
        <v>0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>
        <f>EXP(-LN(2)/35)*EV148+(1-EXP(-LN(2)/35))/(LN(2)/35)*ER149*ES149*VLOOKUP('Données projet'!$B$15,Paramètres!$A$1:$I$89,3,0)*0.475*44/12</f>
        <v>0</v>
      </c>
      <c r="EW149" s="21">
        <f>EXP(-LN(2)/25)*EW148+(1-EXP(-LN(2)/25))/(LN(2)/25)*Calculateur!ER149*Calculateur!ET149*VLOOKUP('Données projet'!$B$15,Paramètres!$A$1:$I$89,3,0)*0.475*44/12</f>
        <v>0</v>
      </c>
      <c r="EX149" s="21">
        <f>EXP(-LN(2)/2)*EX148+(1-EXP(-LN(2)/2))/(LN(2)/2)*ER149*EU149*VLOOKUP('Données projet'!$B$15,Paramètres!$A$1:$I$89,3,0)*0.475*44/12</f>
        <v>0</v>
      </c>
      <c r="EY149" s="22">
        <f t="shared" si="129"/>
        <v>0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>
        <f>FE149*VLOOKUP('Données projet'!$B$16,Paramètres!$A$1:$I$89,3,0)*VLOOKUP('Données projet'!$B$16,Paramètres!$A$1:$I$89,5,0)</f>
        <v>0</v>
      </c>
      <c r="FG149" s="13" t="e">
        <f t="shared" si="155"/>
        <v>#NUM!</v>
      </c>
      <c r="FH149" s="20" t="e">
        <f t="shared" si="130"/>
        <v>#NUM!</v>
      </c>
      <c r="FI149" s="59" t="e">
        <f t="shared" si="131"/>
        <v>#NUM!</v>
      </c>
      <c r="FJ149" s="59">
        <f ca="1">AVERAGE(OFFSET($FI$3,0,0,'Données projet'!$E$16+1,1))-AVERAGE(OFFSET($H$3,0,0,'Données projet'!$E$16+1,1))</f>
        <v>0</v>
      </c>
      <c r="FK149" s="59">
        <f t="shared" si="156"/>
        <v>0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>
        <f>EXP(-LN(2)/35)*FQ148+(1-EXP(-LN(2)/35))/(LN(2)/35)*FM149*FN149*VLOOKUP('Données projet'!$B$16,Paramètres!$A$1:$I$89,3,0)*0.475*44/12</f>
        <v>0</v>
      </c>
      <c r="FR149" s="21">
        <f>EXP(-LN(2)/25)*FR148+(1-EXP(-LN(2)/25))/(LN(2)/25)*Calculateur!FM149*Calculateur!FO149*VLOOKUP('Données projet'!$B$16,Paramètres!$A$1:$I$89,3,0)*0.475*44/12</f>
        <v>0</v>
      </c>
      <c r="FS149" s="21">
        <f>EXP(-LN(2)/2)*FS148+(1-EXP(-LN(2)/2))/(LN(2)/2)*FM149*FP149*VLOOKUP('Données projet'!$B$16,Paramètres!$A$1:$I$89,3,0)*0.475*44/12</f>
        <v>0</v>
      </c>
      <c r="FT149" s="22">
        <f t="shared" si="132"/>
        <v>0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1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186.90544184210381</v>
      </c>
      <c r="T150" s="59">
        <f t="shared" si="142"/>
        <v>202.05988514450519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21.244418153792363</v>
      </c>
      <c r="AA150" s="21">
        <f>EXP(-LN(2)/25)*AA149+(1-EXP(-LN(2)/25))/(LN(2)/25)*Calculateur!V150*Calculateur!X150*VLOOKUP('Données projet'!$B$9,Paramètres!$A$1:$I$89,3,0)*0.475*44/12</f>
        <v>1.9582314813454158</v>
      </c>
      <c r="AB150" s="21">
        <f>EXP(-LN(2)/2)*AB149+(1-EXP(-LN(2)/2))/(LN(2)/2)*V150*Y150*VLOOKUP('Données projet'!$B$9,Paramètres!$A$1:$I$89,3,0)*0.475*44/12</f>
        <v>3.4586274238154934E-12</v>
      </c>
      <c r="AC150" s="22">
        <f t="shared" si="111"/>
        <v>23.202649635141238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>
        <f>AI150*VLOOKUP('Données projet'!$B$10,Paramètres!$A$1:$I$89,3,0)*VLOOKUP('Données projet'!$B$10,Paramètres!$A$1:$I$89,5,0)</f>
        <v>0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186.90544184210381</v>
      </c>
      <c r="AO150" s="59">
        <f t="shared" si="144"/>
        <v>202.05988514450519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21.244418153792363</v>
      </c>
      <c r="AV150" s="21">
        <f>EXP(-LN(2)/25)*AV149+(1-EXP(-LN(2)/25))/(LN(2)/25)*Calculateur!AQ150*Calculateur!AS150*VLOOKUP('Données projet'!$B$10,Paramètres!$A$1:$I$89,3,0)*0.475*44/12</f>
        <v>1.9582314813454158</v>
      </c>
      <c r="AW150" s="21">
        <f>EXP(-LN(2)/2)*AW149+(1-EXP(-LN(2)/2))/(LN(2)/2)*AQ150*AT150*VLOOKUP('Données projet'!$B$10,Paramètres!$A$1:$I$89,3,0)*0.475*44/12</f>
        <v>3.4586274238154934E-12</v>
      </c>
      <c r="AX150" s="21">
        <f t="shared" si="114"/>
        <v>23.202649635141238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-2.8421709430404007E-14</v>
      </c>
      <c r="BE150" s="13">
        <f>BD150*VLOOKUP('Données projet'!$B$11,Paramètres!$A$1:$I$89,3,0)*VLOOKUP('Données projet'!$B$11,Paramètres!$A$1:$I$89,5,0)</f>
        <v>-2.3055690689943732E-14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5.8584049049231908</v>
      </c>
      <c r="BJ150" s="59">
        <f t="shared" si="146"/>
        <v>42.266833200216638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8.1343821362015003E-16</v>
      </c>
      <c r="BS150" s="22">
        <f t="shared" si="117"/>
        <v>8.1343821362015003E-16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>
        <f>BY150*VLOOKUP('Données projet'!$B$12,Paramètres!$A$1:$I$89,3,0)*VLOOKUP('Données projet'!$B$12,Paramètres!$A$1:$I$89,5,0)</f>
        <v>0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0</v>
      </c>
      <c r="CE150" s="59">
        <f t="shared" si="148"/>
        <v>0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0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>
        <f>CT150*VLOOKUP('Données projet'!$B$13,Paramètres!$A$1:$I$89,3,0)*VLOOKUP('Données projet'!$B$13,Paramètres!$A$1:$I$89,5,0)</f>
        <v>0</v>
      </c>
      <c r="CV150" s="13" t="e">
        <f t="shared" si="149"/>
        <v>#NUM!</v>
      </c>
      <c r="CW150" s="20" t="e">
        <f t="shared" si="121"/>
        <v>#NUM!</v>
      </c>
      <c r="CX150" s="59" t="e">
        <f t="shared" si="122"/>
        <v>#NUM!</v>
      </c>
      <c r="CY150" s="59">
        <f ca="1">AVERAGE(OFFSET($CX$3,0,0,'Données projet'!$E$13+1,1))-AVERAGE(OFFSET($H$3,0,0,'Données projet'!$E$13+1,1))</f>
        <v>0</v>
      </c>
      <c r="CZ150" s="59">
        <f t="shared" si="150"/>
        <v>0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</v>
      </c>
      <c r="DG150" s="21">
        <f>EXP(-LN(2)/25)*DG149+(1-EXP(-LN(2)/25))/(LN(2)/25)*Calculateur!DB150*Calculateur!DD150*VLOOKUP('Données projet'!$B$13,Paramètres!$A$1:$I$89,3,0)*0.475*44/12</f>
        <v>0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0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>
        <f>DO150*VLOOKUP('Données projet'!$B$14,Paramètres!$A$1:$I$89,3,0)*VLOOKUP('Données projet'!$B$14,Paramètres!$A$1:$I$89,5,0)</f>
        <v>0</v>
      </c>
      <c r="DQ150" s="13" t="e">
        <f t="shared" si="151"/>
        <v>#NUM!</v>
      </c>
      <c r="DR150" s="20" t="e">
        <f t="shared" si="124"/>
        <v>#NUM!</v>
      </c>
      <c r="DS150" s="59" t="e">
        <f t="shared" si="125"/>
        <v>#NUM!</v>
      </c>
      <c r="DT150" s="59">
        <f ca="1">AVERAGE(OFFSET($DS$3,0,0,'Données projet'!$E$14+1,1))-AVERAGE(OFFSET($H$3,0,0,'Données projet'!$E$14+1,1))</f>
        <v>0</v>
      </c>
      <c r="DU150" s="59">
        <f t="shared" si="152"/>
        <v>0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</v>
      </c>
      <c r="EB150" s="21">
        <f>EXP(-LN(2)/25)*EB149+(1-EXP(-LN(2)/25))/(LN(2)/25)*Calculateur!DW150*Calculateur!DY150*VLOOKUP('Données projet'!$B$14,Paramètres!$A$1:$I$89,3,0)*0.475*44/12</f>
        <v>0</v>
      </c>
      <c r="EC150" s="21">
        <f>EXP(-LN(2)/2)*EC149+(1-EXP(-LN(2)/2))/(LN(2)/2)*DW150*DZ150*VLOOKUP('Données projet'!$B$14,Paramètres!$A$1:$I$89,3,0)*0.475*44/12</f>
        <v>0</v>
      </c>
      <c r="ED150" s="22">
        <f t="shared" si="126"/>
        <v>0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>
        <f>EJ150*VLOOKUP('Données projet'!$B$15,Paramètres!$A$1:$I$89,3,0)*VLOOKUP('Données projet'!$B$15,Paramètres!$A$1:$I$89,5,0)</f>
        <v>0</v>
      </c>
      <c r="EL150" s="13" t="e">
        <f t="shared" si="153"/>
        <v>#NUM!</v>
      </c>
      <c r="EM150" s="20" t="e">
        <f t="shared" si="127"/>
        <v>#NUM!</v>
      </c>
      <c r="EN150" s="59" t="e">
        <f t="shared" si="128"/>
        <v>#NUM!</v>
      </c>
      <c r="EO150" s="59">
        <f ca="1">AVERAGE(OFFSET($EN$3,0,0,'Données projet'!$E$15+1,1))-AVERAGE(OFFSET($H$3,0,0,'Données projet'!$E$15+1,1))</f>
        <v>0</v>
      </c>
      <c r="EP150" s="59">
        <f t="shared" si="154"/>
        <v>0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>
        <f>EXP(-LN(2)/35)*EV149+(1-EXP(-LN(2)/35))/(LN(2)/35)*ER150*ES150*VLOOKUP('Données projet'!$B$15,Paramètres!$A$1:$I$89,3,0)*0.475*44/12</f>
        <v>0</v>
      </c>
      <c r="EW150" s="21">
        <f>EXP(-LN(2)/25)*EW149+(1-EXP(-LN(2)/25))/(LN(2)/25)*Calculateur!ER150*Calculateur!ET150*VLOOKUP('Données projet'!$B$15,Paramètres!$A$1:$I$89,3,0)*0.475*44/12</f>
        <v>0</v>
      </c>
      <c r="EX150" s="21">
        <f>EXP(-LN(2)/2)*EX149+(1-EXP(-LN(2)/2))/(LN(2)/2)*ER150*EU150*VLOOKUP('Données projet'!$B$15,Paramètres!$A$1:$I$89,3,0)*0.475*44/12</f>
        <v>0</v>
      </c>
      <c r="EY150" s="22">
        <f t="shared" si="129"/>
        <v>0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>
        <f>FE150*VLOOKUP('Données projet'!$B$16,Paramètres!$A$1:$I$89,3,0)*VLOOKUP('Données projet'!$B$16,Paramètres!$A$1:$I$89,5,0)</f>
        <v>0</v>
      </c>
      <c r="FG150" s="13" t="e">
        <f t="shared" si="155"/>
        <v>#NUM!</v>
      </c>
      <c r="FH150" s="20" t="e">
        <f t="shared" si="130"/>
        <v>#NUM!</v>
      </c>
      <c r="FI150" s="59" t="e">
        <f t="shared" si="131"/>
        <v>#NUM!</v>
      </c>
      <c r="FJ150" s="59">
        <f ca="1">AVERAGE(OFFSET($FI$3,0,0,'Données projet'!$E$16+1,1))-AVERAGE(OFFSET($H$3,0,0,'Données projet'!$E$16+1,1))</f>
        <v>0</v>
      </c>
      <c r="FK150" s="59">
        <f t="shared" si="156"/>
        <v>0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>
        <f>EXP(-LN(2)/35)*FQ149+(1-EXP(-LN(2)/35))/(LN(2)/35)*FM150*FN150*VLOOKUP('Données projet'!$B$16,Paramètres!$A$1:$I$89,3,0)*0.475*44/12</f>
        <v>0</v>
      </c>
      <c r="FR150" s="21">
        <f>EXP(-LN(2)/25)*FR149+(1-EXP(-LN(2)/25))/(LN(2)/25)*Calculateur!FM150*Calculateur!FO150*VLOOKUP('Données projet'!$B$16,Paramètres!$A$1:$I$89,3,0)*0.475*44/12</f>
        <v>0</v>
      </c>
      <c r="FS150" s="21">
        <f>EXP(-LN(2)/2)*FS149+(1-EXP(-LN(2)/2))/(LN(2)/2)*FM150*FP150*VLOOKUP('Données projet'!$B$16,Paramètres!$A$1:$I$89,3,0)*0.475*44/12</f>
        <v>0</v>
      </c>
      <c r="FT150" s="22">
        <f t="shared" si="132"/>
        <v>0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1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186.90544184210381</v>
      </c>
      <c r="T151" s="59">
        <f t="shared" si="142"/>
        <v>202.05988514450519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20.827828071612092</v>
      </c>
      <c r="AA151" s="21">
        <f>EXP(-LN(2)/25)*AA150+(1-EXP(-LN(2)/25))/(LN(2)/25)*Calculateur!V151*Calculateur!X151*VLOOKUP('Données projet'!$B$9,Paramètres!$A$1:$I$89,3,0)*0.475*44/12</f>
        <v>1.9046835385091074</v>
      </c>
      <c r="AB151" s="21">
        <f>EXP(-LN(2)/2)*AB150+(1-EXP(-LN(2)/2))/(LN(2)/2)*V151*Y151*VLOOKUP('Données projet'!$B$9,Paramètres!$A$1:$I$89,3,0)*0.475*44/12</f>
        <v>2.4456189049776946E-12</v>
      </c>
      <c r="AC151" s="22">
        <f t="shared" si="111"/>
        <v>22.732511610123645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>
        <f>AI151*VLOOKUP('Données projet'!$B$10,Paramètres!$A$1:$I$89,3,0)*VLOOKUP('Données projet'!$B$10,Paramètres!$A$1:$I$89,5,0)</f>
        <v>0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186.90544184210381</v>
      </c>
      <c r="AO151" s="59">
        <f t="shared" si="144"/>
        <v>202.05988514450519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20.827828071612092</v>
      </c>
      <c r="AV151" s="21">
        <f>EXP(-LN(2)/25)*AV150+(1-EXP(-LN(2)/25))/(LN(2)/25)*Calculateur!AQ151*Calculateur!AS151*VLOOKUP('Données projet'!$B$10,Paramètres!$A$1:$I$89,3,0)*0.475*44/12</f>
        <v>1.9046835385091074</v>
      </c>
      <c r="AW151" s="21">
        <f>EXP(-LN(2)/2)*AW150+(1-EXP(-LN(2)/2))/(LN(2)/2)*AQ151*AT151*VLOOKUP('Données projet'!$B$10,Paramètres!$A$1:$I$89,3,0)*0.475*44/12</f>
        <v>2.4456189049776946E-12</v>
      </c>
      <c r="AX151" s="21">
        <f t="shared" si="114"/>
        <v>22.732511610123645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-2.8421709430404007E-14</v>
      </c>
      <c r="BE151" s="13">
        <f>BD151*VLOOKUP('Données projet'!$B$11,Paramètres!$A$1:$I$89,3,0)*VLOOKUP('Données projet'!$B$11,Paramètres!$A$1:$I$89,5,0)</f>
        <v>-2.3055690689943732E-14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5.8584049049231908</v>
      </c>
      <c r="BJ151" s="59">
        <f t="shared" si="146"/>
        <v>42.266833200216638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5.7518767692707952E-16</v>
      </c>
      <c r="BS151" s="22">
        <f t="shared" si="117"/>
        <v>5.7518767692707952E-16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>
        <f>BY151*VLOOKUP('Données projet'!$B$12,Paramètres!$A$1:$I$89,3,0)*VLOOKUP('Données projet'!$B$12,Paramètres!$A$1:$I$89,5,0)</f>
        <v>0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0</v>
      </c>
      <c r="CE151" s="59">
        <f t="shared" si="148"/>
        <v>0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0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>
        <f>CT151*VLOOKUP('Données projet'!$B$13,Paramètres!$A$1:$I$89,3,0)*VLOOKUP('Données projet'!$B$13,Paramètres!$A$1:$I$89,5,0)</f>
        <v>0</v>
      </c>
      <c r="CV151" s="13" t="e">
        <f t="shared" si="149"/>
        <v>#NUM!</v>
      </c>
      <c r="CW151" s="20" t="e">
        <f t="shared" si="121"/>
        <v>#NUM!</v>
      </c>
      <c r="CX151" s="59" t="e">
        <f t="shared" si="122"/>
        <v>#NUM!</v>
      </c>
      <c r="CY151" s="59">
        <f ca="1">AVERAGE(OFFSET($CX$3,0,0,'Données projet'!$E$13+1,1))-AVERAGE(OFFSET($H$3,0,0,'Données projet'!$E$13+1,1))</f>
        <v>0</v>
      </c>
      <c r="CZ151" s="59">
        <f t="shared" si="150"/>
        <v>0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</v>
      </c>
      <c r="DG151" s="21">
        <f>EXP(-LN(2)/25)*DG150+(1-EXP(-LN(2)/25))/(LN(2)/25)*Calculateur!DB151*Calculateur!DD151*VLOOKUP('Données projet'!$B$13,Paramètres!$A$1:$I$89,3,0)*0.475*44/12</f>
        <v>0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0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>
        <f>DO151*VLOOKUP('Données projet'!$B$14,Paramètres!$A$1:$I$89,3,0)*VLOOKUP('Données projet'!$B$14,Paramètres!$A$1:$I$89,5,0)</f>
        <v>0</v>
      </c>
      <c r="DQ151" s="13" t="e">
        <f t="shared" si="151"/>
        <v>#NUM!</v>
      </c>
      <c r="DR151" s="20" t="e">
        <f t="shared" si="124"/>
        <v>#NUM!</v>
      </c>
      <c r="DS151" s="59" t="e">
        <f t="shared" si="125"/>
        <v>#NUM!</v>
      </c>
      <c r="DT151" s="59">
        <f ca="1">AVERAGE(OFFSET($DS$3,0,0,'Données projet'!$E$14+1,1))-AVERAGE(OFFSET($H$3,0,0,'Données projet'!$E$14+1,1))</f>
        <v>0</v>
      </c>
      <c r="DU151" s="59">
        <f t="shared" si="152"/>
        <v>0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</v>
      </c>
      <c r="EB151" s="21">
        <f>EXP(-LN(2)/25)*EB150+(1-EXP(-LN(2)/25))/(LN(2)/25)*Calculateur!DW151*Calculateur!DY151*VLOOKUP('Données projet'!$B$14,Paramètres!$A$1:$I$89,3,0)*0.475*44/12</f>
        <v>0</v>
      </c>
      <c r="EC151" s="21">
        <f>EXP(-LN(2)/2)*EC150+(1-EXP(-LN(2)/2))/(LN(2)/2)*DW151*DZ151*VLOOKUP('Données projet'!$B$14,Paramètres!$A$1:$I$89,3,0)*0.475*44/12</f>
        <v>0</v>
      </c>
      <c r="ED151" s="22">
        <f t="shared" si="126"/>
        <v>0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>
        <f>EJ151*VLOOKUP('Données projet'!$B$15,Paramètres!$A$1:$I$89,3,0)*VLOOKUP('Données projet'!$B$15,Paramètres!$A$1:$I$89,5,0)</f>
        <v>0</v>
      </c>
      <c r="EL151" s="13" t="e">
        <f t="shared" si="153"/>
        <v>#NUM!</v>
      </c>
      <c r="EM151" s="20" t="e">
        <f t="shared" si="127"/>
        <v>#NUM!</v>
      </c>
      <c r="EN151" s="59" t="e">
        <f t="shared" si="128"/>
        <v>#NUM!</v>
      </c>
      <c r="EO151" s="59">
        <f ca="1">AVERAGE(OFFSET($EN$3,0,0,'Données projet'!$E$15+1,1))-AVERAGE(OFFSET($H$3,0,0,'Données projet'!$E$15+1,1))</f>
        <v>0</v>
      </c>
      <c r="EP151" s="59">
        <f t="shared" si="154"/>
        <v>0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>
        <f>EXP(-LN(2)/35)*EV150+(1-EXP(-LN(2)/35))/(LN(2)/35)*ER151*ES151*VLOOKUP('Données projet'!$B$15,Paramètres!$A$1:$I$89,3,0)*0.475*44/12</f>
        <v>0</v>
      </c>
      <c r="EW151" s="21">
        <f>EXP(-LN(2)/25)*EW150+(1-EXP(-LN(2)/25))/(LN(2)/25)*Calculateur!ER151*Calculateur!ET151*VLOOKUP('Données projet'!$B$15,Paramètres!$A$1:$I$89,3,0)*0.475*44/12</f>
        <v>0</v>
      </c>
      <c r="EX151" s="21">
        <f>EXP(-LN(2)/2)*EX150+(1-EXP(-LN(2)/2))/(LN(2)/2)*ER151*EU151*VLOOKUP('Données projet'!$B$15,Paramètres!$A$1:$I$89,3,0)*0.475*44/12</f>
        <v>0</v>
      </c>
      <c r="EY151" s="22">
        <f t="shared" si="129"/>
        <v>0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>
        <f>FE151*VLOOKUP('Données projet'!$B$16,Paramètres!$A$1:$I$89,3,0)*VLOOKUP('Données projet'!$B$16,Paramètres!$A$1:$I$89,5,0)</f>
        <v>0</v>
      </c>
      <c r="FG151" s="13" t="e">
        <f t="shared" si="155"/>
        <v>#NUM!</v>
      </c>
      <c r="FH151" s="20" t="e">
        <f t="shared" si="130"/>
        <v>#NUM!</v>
      </c>
      <c r="FI151" s="59" t="e">
        <f t="shared" si="131"/>
        <v>#NUM!</v>
      </c>
      <c r="FJ151" s="59">
        <f ca="1">AVERAGE(OFFSET($FI$3,0,0,'Données projet'!$E$16+1,1))-AVERAGE(OFFSET($H$3,0,0,'Données projet'!$E$16+1,1))</f>
        <v>0</v>
      </c>
      <c r="FK151" s="59">
        <f t="shared" si="156"/>
        <v>0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>
        <f>EXP(-LN(2)/35)*FQ150+(1-EXP(-LN(2)/35))/(LN(2)/35)*FM151*FN151*VLOOKUP('Données projet'!$B$16,Paramètres!$A$1:$I$89,3,0)*0.475*44/12</f>
        <v>0</v>
      </c>
      <c r="FR151" s="21">
        <f>EXP(-LN(2)/25)*FR150+(1-EXP(-LN(2)/25))/(LN(2)/25)*Calculateur!FM151*Calculateur!FO151*VLOOKUP('Données projet'!$B$16,Paramètres!$A$1:$I$89,3,0)*0.475*44/12</f>
        <v>0</v>
      </c>
      <c r="FS151" s="21">
        <f>EXP(-LN(2)/2)*FS150+(1-EXP(-LN(2)/2))/(LN(2)/2)*FM151*FP151*VLOOKUP('Données projet'!$B$16,Paramètres!$A$1:$I$89,3,0)*0.475*44/12</f>
        <v>0</v>
      </c>
      <c r="FT151" s="22">
        <f t="shared" si="132"/>
        <v>0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1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186.90544184210381</v>
      </c>
      <c r="T152" s="59">
        <f t="shared" si="142"/>
        <v>202.05988514450519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20.419407066848514</v>
      </c>
      <c r="AA152" s="21">
        <f>EXP(-LN(2)/25)*AA151+(1-EXP(-LN(2)/25))/(LN(2)/25)*Calculateur!V152*Calculateur!X152*VLOOKUP('Données projet'!$B$9,Paramètres!$A$1:$I$89,3,0)*0.475*44/12</f>
        <v>1.8525998669856218</v>
      </c>
      <c r="AB152" s="21">
        <f>EXP(-LN(2)/2)*AB151+(1-EXP(-LN(2)/2))/(LN(2)/2)*V152*Y152*VLOOKUP('Données projet'!$B$9,Paramètres!$A$1:$I$89,3,0)*0.475*44/12</f>
        <v>1.7293137119077467E-12</v>
      </c>
      <c r="AC152" s="22">
        <f t="shared" si="111"/>
        <v>22.272006933835865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>
        <f>AI152*VLOOKUP('Données projet'!$B$10,Paramètres!$A$1:$I$89,3,0)*VLOOKUP('Données projet'!$B$10,Paramètres!$A$1:$I$89,5,0)</f>
        <v>0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186.90544184210381</v>
      </c>
      <c r="AO152" s="59">
        <f t="shared" si="144"/>
        <v>202.05988514450519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20.419407066848514</v>
      </c>
      <c r="AV152" s="21">
        <f>EXP(-LN(2)/25)*AV151+(1-EXP(-LN(2)/25))/(LN(2)/25)*Calculateur!AQ152*Calculateur!AS152*VLOOKUP('Données projet'!$B$10,Paramètres!$A$1:$I$89,3,0)*0.475*44/12</f>
        <v>1.8525998669856218</v>
      </c>
      <c r="AW152" s="21">
        <f>EXP(-LN(2)/2)*AW151+(1-EXP(-LN(2)/2))/(LN(2)/2)*AQ152*AT152*VLOOKUP('Données projet'!$B$10,Paramètres!$A$1:$I$89,3,0)*0.475*44/12</f>
        <v>1.7293137119077467E-12</v>
      </c>
      <c r="AX152" s="21">
        <f t="shared" si="114"/>
        <v>22.272006933835865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-2.8421709430404007E-14</v>
      </c>
      <c r="BE152" s="13">
        <f>BD152*VLOOKUP('Données projet'!$B$11,Paramètres!$A$1:$I$89,3,0)*VLOOKUP('Données projet'!$B$11,Paramètres!$A$1:$I$89,5,0)</f>
        <v>-2.3055690689943732E-14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5.8584049049231908</v>
      </c>
      <c r="BJ152" s="59">
        <f t="shared" si="146"/>
        <v>42.266833200216638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4.0671910681007502E-16</v>
      </c>
      <c r="BS152" s="22">
        <f t="shared" si="117"/>
        <v>4.0671910681007502E-16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>
        <f>BY152*VLOOKUP('Données projet'!$B$12,Paramètres!$A$1:$I$89,3,0)*VLOOKUP('Données projet'!$B$12,Paramètres!$A$1:$I$89,5,0)</f>
        <v>0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0</v>
      </c>
      <c r="CE152" s="59">
        <f t="shared" si="148"/>
        <v>0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0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>
        <f>CT152*VLOOKUP('Données projet'!$B$13,Paramètres!$A$1:$I$89,3,0)*VLOOKUP('Données projet'!$B$13,Paramètres!$A$1:$I$89,5,0)</f>
        <v>0</v>
      </c>
      <c r="CV152" s="13" t="e">
        <f t="shared" si="149"/>
        <v>#NUM!</v>
      </c>
      <c r="CW152" s="20" t="e">
        <f t="shared" si="121"/>
        <v>#NUM!</v>
      </c>
      <c r="CX152" s="59" t="e">
        <f t="shared" si="122"/>
        <v>#NUM!</v>
      </c>
      <c r="CY152" s="59">
        <f ca="1">AVERAGE(OFFSET($CX$3,0,0,'Données projet'!$E$13+1,1))-AVERAGE(OFFSET($H$3,0,0,'Données projet'!$E$13+1,1))</f>
        <v>0</v>
      </c>
      <c r="CZ152" s="59">
        <f t="shared" si="150"/>
        <v>0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</v>
      </c>
      <c r="DG152" s="21">
        <f>EXP(-LN(2)/25)*DG151+(1-EXP(-LN(2)/25))/(LN(2)/25)*Calculateur!DB152*Calculateur!DD152*VLOOKUP('Données projet'!$B$13,Paramètres!$A$1:$I$89,3,0)*0.475*44/12</f>
        <v>0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0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>
        <f>DO152*VLOOKUP('Données projet'!$B$14,Paramètres!$A$1:$I$89,3,0)*VLOOKUP('Données projet'!$B$14,Paramètres!$A$1:$I$89,5,0)</f>
        <v>0</v>
      </c>
      <c r="DQ152" s="13" t="e">
        <f t="shared" si="151"/>
        <v>#NUM!</v>
      </c>
      <c r="DR152" s="20" t="e">
        <f t="shared" si="124"/>
        <v>#NUM!</v>
      </c>
      <c r="DS152" s="59" t="e">
        <f t="shared" si="125"/>
        <v>#NUM!</v>
      </c>
      <c r="DT152" s="59">
        <f ca="1">AVERAGE(OFFSET($DS$3,0,0,'Données projet'!$E$14+1,1))-AVERAGE(OFFSET($H$3,0,0,'Données projet'!$E$14+1,1))</f>
        <v>0</v>
      </c>
      <c r="DU152" s="59">
        <f t="shared" si="152"/>
        <v>0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</v>
      </c>
      <c r="EB152" s="21">
        <f>EXP(-LN(2)/25)*EB151+(1-EXP(-LN(2)/25))/(LN(2)/25)*Calculateur!DW152*Calculateur!DY152*VLOOKUP('Données projet'!$B$14,Paramètres!$A$1:$I$89,3,0)*0.475*44/12</f>
        <v>0</v>
      </c>
      <c r="EC152" s="21">
        <f>EXP(-LN(2)/2)*EC151+(1-EXP(-LN(2)/2))/(LN(2)/2)*DW152*DZ152*VLOOKUP('Données projet'!$B$14,Paramètres!$A$1:$I$89,3,0)*0.475*44/12</f>
        <v>0</v>
      </c>
      <c r="ED152" s="22">
        <f t="shared" si="126"/>
        <v>0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>
        <f>EJ152*VLOOKUP('Données projet'!$B$15,Paramètres!$A$1:$I$89,3,0)*VLOOKUP('Données projet'!$B$15,Paramètres!$A$1:$I$89,5,0)</f>
        <v>0</v>
      </c>
      <c r="EL152" s="13" t="e">
        <f t="shared" si="153"/>
        <v>#NUM!</v>
      </c>
      <c r="EM152" s="20" t="e">
        <f t="shared" si="127"/>
        <v>#NUM!</v>
      </c>
      <c r="EN152" s="59" t="e">
        <f t="shared" si="128"/>
        <v>#NUM!</v>
      </c>
      <c r="EO152" s="59">
        <f ca="1">AVERAGE(OFFSET($EN$3,0,0,'Données projet'!$E$15+1,1))-AVERAGE(OFFSET($H$3,0,0,'Données projet'!$E$15+1,1))</f>
        <v>0</v>
      </c>
      <c r="EP152" s="59">
        <f t="shared" si="154"/>
        <v>0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>
        <f>EXP(-LN(2)/35)*EV151+(1-EXP(-LN(2)/35))/(LN(2)/35)*ER152*ES152*VLOOKUP('Données projet'!$B$15,Paramètres!$A$1:$I$89,3,0)*0.475*44/12</f>
        <v>0</v>
      </c>
      <c r="EW152" s="21">
        <f>EXP(-LN(2)/25)*EW151+(1-EXP(-LN(2)/25))/(LN(2)/25)*Calculateur!ER152*Calculateur!ET152*VLOOKUP('Données projet'!$B$15,Paramètres!$A$1:$I$89,3,0)*0.475*44/12</f>
        <v>0</v>
      </c>
      <c r="EX152" s="21">
        <f>EXP(-LN(2)/2)*EX151+(1-EXP(-LN(2)/2))/(LN(2)/2)*ER152*EU152*VLOOKUP('Données projet'!$B$15,Paramètres!$A$1:$I$89,3,0)*0.475*44/12</f>
        <v>0</v>
      </c>
      <c r="EY152" s="22">
        <f t="shared" si="129"/>
        <v>0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>
        <f>FE152*VLOOKUP('Données projet'!$B$16,Paramètres!$A$1:$I$89,3,0)*VLOOKUP('Données projet'!$B$16,Paramètres!$A$1:$I$89,5,0)</f>
        <v>0</v>
      </c>
      <c r="FG152" s="13" t="e">
        <f t="shared" si="155"/>
        <v>#NUM!</v>
      </c>
      <c r="FH152" s="20" t="e">
        <f t="shared" si="130"/>
        <v>#NUM!</v>
      </c>
      <c r="FI152" s="59" t="e">
        <f t="shared" si="131"/>
        <v>#NUM!</v>
      </c>
      <c r="FJ152" s="59">
        <f ca="1">AVERAGE(OFFSET($FI$3,0,0,'Données projet'!$E$16+1,1))-AVERAGE(OFFSET($H$3,0,0,'Données projet'!$E$16+1,1))</f>
        <v>0</v>
      </c>
      <c r="FK152" s="59">
        <f t="shared" si="156"/>
        <v>0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>
        <f>EXP(-LN(2)/35)*FQ151+(1-EXP(-LN(2)/35))/(LN(2)/35)*FM152*FN152*VLOOKUP('Données projet'!$B$16,Paramètres!$A$1:$I$89,3,0)*0.475*44/12</f>
        <v>0</v>
      </c>
      <c r="FR152" s="21">
        <f>EXP(-LN(2)/25)*FR151+(1-EXP(-LN(2)/25))/(LN(2)/25)*Calculateur!FM152*Calculateur!FO152*VLOOKUP('Données projet'!$B$16,Paramètres!$A$1:$I$89,3,0)*0.475*44/12</f>
        <v>0</v>
      </c>
      <c r="FS152" s="21">
        <f>EXP(-LN(2)/2)*FS151+(1-EXP(-LN(2)/2))/(LN(2)/2)*FM152*FP152*VLOOKUP('Données projet'!$B$16,Paramètres!$A$1:$I$89,3,0)*0.475*44/12</f>
        <v>0</v>
      </c>
      <c r="FT152" s="22">
        <f t="shared" si="132"/>
        <v>0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1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186.90544184210381</v>
      </c>
      <c r="T153" s="59">
        <f t="shared" si="142"/>
        <v>202.05988514450519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20.018994948876134</v>
      </c>
      <c r="AA153" s="21">
        <f>EXP(-LN(2)/25)*AA152+(1-EXP(-LN(2)/25))/(LN(2)/25)*Calculateur!V153*Calculateur!X153*VLOOKUP('Données projet'!$B$9,Paramètres!$A$1:$I$89,3,0)*0.475*44/12</f>
        <v>1.8019404261989072</v>
      </c>
      <c r="AB153" s="21">
        <f>EXP(-LN(2)/2)*AB152+(1-EXP(-LN(2)/2))/(LN(2)/2)*V153*Y153*VLOOKUP('Données projet'!$B$9,Paramètres!$A$1:$I$89,3,0)*0.475*44/12</f>
        <v>1.2228094524888473E-12</v>
      </c>
      <c r="AC153" s="22">
        <f t="shared" si="111"/>
        <v>21.820935375076264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>
        <f>AI153*VLOOKUP('Données projet'!$B$10,Paramètres!$A$1:$I$89,3,0)*VLOOKUP('Données projet'!$B$10,Paramètres!$A$1:$I$89,5,0)</f>
        <v>0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186.90544184210381</v>
      </c>
      <c r="AO153" s="59">
        <f t="shared" si="144"/>
        <v>202.05988514450519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20.018994948876134</v>
      </c>
      <c r="AV153" s="21">
        <f>EXP(-LN(2)/25)*AV152+(1-EXP(-LN(2)/25))/(LN(2)/25)*Calculateur!AQ153*Calculateur!AS153*VLOOKUP('Données projet'!$B$10,Paramètres!$A$1:$I$89,3,0)*0.475*44/12</f>
        <v>1.8019404261989072</v>
      </c>
      <c r="AW153" s="21">
        <f>EXP(-LN(2)/2)*AW152+(1-EXP(-LN(2)/2))/(LN(2)/2)*AQ153*AT153*VLOOKUP('Données projet'!$B$10,Paramètres!$A$1:$I$89,3,0)*0.475*44/12</f>
        <v>1.2228094524888473E-12</v>
      </c>
      <c r="AX153" s="21">
        <f t="shared" si="114"/>
        <v>21.820935375076264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-2.8421709430404007E-14</v>
      </c>
      <c r="BE153" s="13">
        <f>BD153*VLOOKUP('Données projet'!$B$11,Paramètres!$A$1:$I$89,3,0)*VLOOKUP('Données projet'!$B$11,Paramètres!$A$1:$I$89,5,0)</f>
        <v>-2.3055690689943732E-14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5.8584049049231908</v>
      </c>
      <c r="BJ153" s="59">
        <f t="shared" si="146"/>
        <v>42.266833200216638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2.8759383846353976E-16</v>
      </c>
      <c r="BS153" s="22">
        <f t="shared" si="117"/>
        <v>2.8759383846353976E-16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>
        <f>BY153*VLOOKUP('Données projet'!$B$12,Paramètres!$A$1:$I$89,3,0)*VLOOKUP('Données projet'!$B$12,Paramètres!$A$1:$I$89,5,0)</f>
        <v>0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0</v>
      </c>
      <c r="CE153" s="59">
        <f t="shared" si="148"/>
        <v>0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0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>
        <f>CT153*VLOOKUP('Données projet'!$B$13,Paramètres!$A$1:$I$89,3,0)*VLOOKUP('Données projet'!$B$13,Paramètres!$A$1:$I$89,5,0)</f>
        <v>0</v>
      </c>
      <c r="CV153" s="13" t="e">
        <f t="shared" si="149"/>
        <v>#NUM!</v>
      </c>
      <c r="CW153" s="20" t="e">
        <f t="shared" si="121"/>
        <v>#NUM!</v>
      </c>
      <c r="CX153" s="59" t="e">
        <f t="shared" si="122"/>
        <v>#NUM!</v>
      </c>
      <c r="CY153" s="59">
        <f ca="1">AVERAGE(OFFSET($CX$3,0,0,'Données projet'!$E$13+1,1))-AVERAGE(OFFSET($H$3,0,0,'Données projet'!$E$13+1,1))</f>
        <v>0</v>
      </c>
      <c r="CZ153" s="59">
        <f t="shared" si="150"/>
        <v>0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</v>
      </c>
      <c r="DG153" s="21">
        <f>EXP(-LN(2)/25)*DG152+(1-EXP(-LN(2)/25))/(LN(2)/25)*Calculateur!DB153*Calculateur!DD153*VLOOKUP('Données projet'!$B$13,Paramètres!$A$1:$I$89,3,0)*0.475*44/12</f>
        <v>0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0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>
        <f>DO153*VLOOKUP('Données projet'!$B$14,Paramètres!$A$1:$I$89,3,0)*VLOOKUP('Données projet'!$B$14,Paramètres!$A$1:$I$89,5,0)</f>
        <v>0</v>
      </c>
      <c r="DQ153" s="13" t="e">
        <f t="shared" si="151"/>
        <v>#NUM!</v>
      </c>
      <c r="DR153" s="20" t="e">
        <f t="shared" si="124"/>
        <v>#NUM!</v>
      </c>
      <c r="DS153" s="59" t="e">
        <f t="shared" si="125"/>
        <v>#NUM!</v>
      </c>
      <c r="DT153" s="59">
        <f ca="1">AVERAGE(OFFSET($DS$3,0,0,'Données projet'!$E$14+1,1))-AVERAGE(OFFSET($H$3,0,0,'Données projet'!$E$14+1,1))</f>
        <v>0</v>
      </c>
      <c r="DU153" s="59">
        <f t="shared" si="152"/>
        <v>0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</v>
      </c>
      <c r="EB153" s="21">
        <f>EXP(-LN(2)/25)*EB152+(1-EXP(-LN(2)/25))/(LN(2)/25)*Calculateur!DW153*Calculateur!DY153*VLOOKUP('Données projet'!$B$14,Paramètres!$A$1:$I$89,3,0)*0.475*44/12</f>
        <v>0</v>
      </c>
      <c r="EC153" s="21">
        <f>EXP(-LN(2)/2)*EC152+(1-EXP(-LN(2)/2))/(LN(2)/2)*DW153*DZ153*VLOOKUP('Données projet'!$B$14,Paramètres!$A$1:$I$89,3,0)*0.475*44/12</f>
        <v>0</v>
      </c>
      <c r="ED153" s="22">
        <f t="shared" si="126"/>
        <v>0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>
        <f>EJ153*VLOOKUP('Données projet'!$B$15,Paramètres!$A$1:$I$89,3,0)*VLOOKUP('Données projet'!$B$15,Paramètres!$A$1:$I$89,5,0)</f>
        <v>0</v>
      </c>
      <c r="EL153" s="13" t="e">
        <f t="shared" si="153"/>
        <v>#NUM!</v>
      </c>
      <c r="EM153" s="20" t="e">
        <f t="shared" si="127"/>
        <v>#NUM!</v>
      </c>
      <c r="EN153" s="59" t="e">
        <f t="shared" si="128"/>
        <v>#NUM!</v>
      </c>
      <c r="EO153" s="59">
        <f ca="1">AVERAGE(OFFSET($EN$3,0,0,'Données projet'!$E$15+1,1))-AVERAGE(OFFSET($H$3,0,0,'Données projet'!$E$15+1,1))</f>
        <v>0</v>
      </c>
      <c r="EP153" s="59">
        <f t="shared" si="154"/>
        <v>0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>
        <f>EXP(-LN(2)/35)*EV152+(1-EXP(-LN(2)/35))/(LN(2)/35)*ER153*ES153*VLOOKUP('Données projet'!$B$15,Paramètres!$A$1:$I$89,3,0)*0.475*44/12</f>
        <v>0</v>
      </c>
      <c r="EW153" s="21">
        <f>EXP(-LN(2)/25)*EW152+(1-EXP(-LN(2)/25))/(LN(2)/25)*Calculateur!ER153*Calculateur!ET153*VLOOKUP('Données projet'!$B$15,Paramètres!$A$1:$I$89,3,0)*0.475*44/12</f>
        <v>0</v>
      </c>
      <c r="EX153" s="21">
        <f>EXP(-LN(2)/2)*EX152+(1-EXP(-LN(2)/2))/(LN(2)/2)*ER153*EU153*VLOOKUP('Données projet'!$B$15,Paramètres!$A$1:$I$89,3,0)*0.475*44/12</f>
        <v>0</v>
      </c>
      <c r="EY153" s="22">
        <f t="shared" si="129"/>
        <v>0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>
        <f>FE153*VLOOKUP('Données projet'!$B$16,Paramètres!$A$1:$I$89,3,0)*VLOOKUP('Données projet'!$B$16,Paramètres!$A$1:$I$89,5,0)</f>
        <v>0</v>
      </c>
      <c r="FG153" s="13" t="e">
        <f t="shared" si="155"/>
        <v>#NUM!</v>
      </c>
      <c r="FH153" s="20" t="e">
        <f t="shared" si="130"/>
        <v>#NUM!</v>
      </c>
      <c r="FI153" s="59" t="e">
        <f t="shared" si="131"/>
        <v>#NUM!</v>
      </c>
      <c r="FJ153" s="59">
        <f ca="1">AVERAGE(OFFSET($FI$3,0,0,'Données projet'!$E$16+1,1))-AVERAGE(OFFSET($H$3,0,0,'Données projet'!$E$16+1,1))</f>
        <v>0</v>
      </c>
      <c r="FK153" s="59">
        <f t="shared" si="156"/>
        <v>0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>
        <f>EXP(-LN(2)/35)*FQ152+(1-EXP(-LN(2)/35))/(LN(2)/35)*FM153*FN153*VLOOKUP('Données projet'!$B$16,Paramètres!$A$1:$I$89,3,0)*0.475*44/12</f>
        <v>0</v>
      </c>
      <c r="FR153" s="21">
        <f>EXP(-LN(2)/25)*FR152+(1-EXP(-LN(2)/25))/(LN(2)/25)*Calculateur!FM153*Calculateur!FO153*VLOOKUP('Données projet'!$B$16,Paramètres!$A$1:$I$89,3,0)*0.475*44/12</f>
        <v>0</v>
      </c>
      <c r="FS153" s="21">
        <f>EXP(-LN(2)/2)*FS152+(1-EXP(-LN(2)/2))/(LN(2)/2)*FM153*FP153*VLOOKUP('Données projet'!$B$16,Paramètres!$A$1:$I$89,3,0)*0.475*44/12</f>
        <v>0</v>
      </c>
      <c r="FT153" s="22">
        <f t="shared" si="132"/>
        <v>0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1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186.90544184210381</v>
      </c>
      <c r="T154" s="59">
        <f t="shared" si="142"/>
        <v>202.05988514450519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19.626434668309916</v>
      </c>
      <c r="AA154" s="21">
        <f>EXP(-LN(2)/25)*AA153+(1-EXP(-LN(2)/25))/(LN(2)/25)*Calculateur!V154*Calculateur!X154*VLOOKUP('Données projet'!$B$9,Paramètres!$A$1:$I$89,3,0)*0.475*44/12</f>
        <v>1.7526662704845695</v>
      </c>
      <c r="AB154" s="21">
        <f>EXP(-LN(2)/2)*AB153+(1-EXP(-LN(2)/2))/(LN(2)/2)*V154*Y154*VLOOKUP('Données projet'!$B$9,Paramètres!$A$1:$I$89,3,0)*0.475*44/12</f>
        <v>8.6465685595387336E-13</v>
      </c>
      <c r="AC154" s="22">
        <f t="shared" ref="AC154:AC203" si="163">SUM(Z154:AB154)</f>
        <v>21.37910093879535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>
        <f>AI154*VLOOKUP('Données projet'!$B$10,Paramètres!$A$1:$I$89,3,0)*VLOOKUP('Données projet'!$B$10,Paramètres!$A$1:$I$89,5,0)</f>
        <v>0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186.90544184210381</v>
      </c>
      <c r="AO154" s="59">
        <f t="shared" si="144"/>
        <v>202.05988514450519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19.626434668309916</v>
      </c>
      <c r="AV154" s="21">
        <f>EXP(-LN(2)/25)*AV153+(1-EXP(-LN(2)/25))/(LN(2)/25)*Calculateur!AQ154*Calculateur!AS154*VLOOKUP('Données projet'!$B$10,Paramètres!$A$1:$I$89,3,0)*0.475*44/12</f>
        <v>1.7526662704845695</v>
      </c>
      <c r="AW154" s="21">
        <f>EXP(-LN(2)/2)*AW153+(1-EXP(-LN(2)/2))/(LN(2)/2)*AQ154*AT154*VLOOKUP('Données projet'!$B$10,Paramètres!$A$1:$I$89,3,0)*0.475*44/12</f>
        <v>8.6465685595387336E-13</v>
      </c>
      <c r="AX154" s="21">
        <f t="shared" ref="AX154:AX203" si="166">SUM(AU154:AW154)</f>
        <v>21.37910093879535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-2.8421709430404007E-14</v>
      </c>
      <c r="BE154" s="13">
        <f>BD154*VLOOKUP('Données projet'!$B$11,Paramètres!$A$1:$I$89,3,0)*VLOOKUP('Données projet'!$B$11,Paramètres!$A$1:$I$89,5,0)</f>
        <v>-2.3055690689943732E-14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5.8584049049231908</v>
      </c>
      <c r="BJ154" s="59">
        <f t="shared" si="146"/>
        <v>42.266833200216638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2.0335955340503751E-16</v>
      </c>
      <c r="BS154" s="22">
        <f t="shared" ref="BS154:BS203" si="169">SUM(BP154:BR154)</f>
        <v>2.0335955340503751E-16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>
        <f>BY154*VLOOKUP('Données projet'!$B$12,Paramètres!$A$1:$I$89,3,0)*VLOOKUP('Données projet'!$B$12,Paramètres!$A$1:$I$89,5,0)</f>
        <v>0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0</v>
      </c>
      <c r="CE154" s="59">
        <f t="shared" si="148"/>
        <v>0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0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>
        <f>CT154*VLOOKUP('Données projet'!$B$13,Paramètres!$A$1:$I$89,3,0)*VLOOKUP('Données projet'!$B$13,Paramètres!$A$1:$I$89,5,0)</f>
        <v>0</v>
      </c>
      <c r="CV154" s="13" t="e">
        <f t="shared" ref="CV154:CV203" si="173">EXP(-1.0587+0.8836*LN(CU154)+0.284)</f>
        <v>#NUM!</v>
      </c>
      <c r="CW154" s="20" t="e">
        <f t="shared" ref="CW154:CW203" si="174">(CU154+CV154)*0.475*44/12</f>
        <v>#NUM!</v>
      </c>
      <c r="CX154" s="59" t="e">
        <f t="shared" si="122"/>
        <v>#NUM!</v>
      </c>
      <c r="CY154" s="59">
        <f ca="1">AVERAGE(OFFSET($CX$3,0,0,'Données projet'!$E$13+1,1))-AVERAGE(OFFSET($H$3,0,0,'Données projet'!$E$13+1,1))</f>
        <v>0</v>
      </c>
      <c r="CZ154" s="59">
        <f t="shared" si="150"/>
        <v>0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</v>
      </c>
      <c r="DG154" s="21">
        <f>EXP(-LN(2)/25)*DG153+(1-EXP(-LN(2)/25))/(LN(2)/25)*Calculateur!DB154*Calculateur!DD154*VLOOKUP('Données projet'!$B$13,Paramètres!$A$1:$I$89,3,0)*0.475*44/12</f>
        <v>0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0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>
        <f>DO154*VLOOKUP('Données projet'!$B$14,Paramètres!$A$1:$I$89,3,0)*VLOOKUP('Données projet'!$B$14,Paramètres!$A$1:$I$89,5,0)</f>
        <v>0</v>
      </c>
      <c r="DQ154" s="13" t="e">
        <f t="shared" ref="DQ154:DQ203" si="176">EXP(-1.0587+0.8836*LN(DP154)+0.284)</f>
        <v>#NUM!</v>
      </c>
      <c r="DR154" s="20" t="e">
        <f t="shared" ref="DR154:DR203" si="177">(DP154+DQ154)*0.475*44/12</f>
        <v>#NUM!</v>
      </c>
      <c r="DS154" s="59" t="e">
        <f t="shared" si="125"/>
        <v>#NUM!</v>
      </c>
      <c r="DT154" s="59">
        <f ca="1">AVERAGE(OFFSET($DS$3,0,0,'Données projet'!$E$14+1,1))-AVERAGE(OFFSET($H$3,0,0,'Données projet'!$E$14+1,1))</f>
        <v>0</v>
      </c>
      <c r="DU154" s="59">
        <f t="shared" si="152"/>
        <v>0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</v>
      </c>
      <c r="EB154" s="21">
        <f>EXP(-LN(2)/25)*EB153+(1-EXP(-LN(2)/25))/(LN(2)/25)*Calculateur!DW154*Calculateur!DY154*VLOOKUP('Données projet'!$B$14,Paramètres!$A$1:$I$89,3,0)*0.475*44/12</f>
        <v>0</v>
      </c>
      <c r="EC154" s="21">
        <f>EXP(-LN(2)/2)*EC153+(1-EXP(-LN(2)/2))/(LN(2)/2)*DW154*DZ154*VLOOKUP('Données projet'!$B$14,Paramètres!$A$1:$I$89,3,0)*0.475*44/12</f>
        <v>0</v>
      </c>
      <c r="ED154" s="22">
        <f t="shared" ref="ED154:ED203" si="178">SUM(EA154:EC154)</f>
        <v>0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>
        <f>EJ154*VLOOKUP('Données projet'!$B$15,Paramètres!$A$1:$I$89,3,0)*VLOOKUP('Données projet'!$B$15,Paramètres!$A$1:$I$89,5,0)</f>
        <v>0</v>
      </c>
      <c r="EL154" s="13" t="e">
        <f t="shared" ref="EL154:EL203" si="179">EXP(-1.0587+0.8836*LN(EK154)+0.284)</f>
        <v>#NUM!</v>
      </c>
      <c r="EM154" s="20" t="e">
        <f t="shared" ref="EM154:EM203" si="180">(EK154+EL154)*0.475*44/12</f>
        <v>#NUM!</v>
      </c>
      <c r="EN154" s="59" t="e">
        <f t="shared" si="128"/>
        <v>#NUM!</v>
      </c>
      <c r="EO154" s="59">
        <f ca="1">AVERAGE(OFFSET($EN$3,0,0,'Données projet'!$E$15+1,1))-AVERAGE(OFFSET($H$3,0,0,'Données projet'!$E$15+1,1))</f>
        <v>0</v>
      </c>
      <c r="EP154" s="59">
        <f t="shared" si="154"/>
        <v>0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>
        <f>EXP(-LN(2)/35)*EV153+(1-EXP(-LN(2)/35))/(LN(2)/35)*ER154*ES154*VLOOKUP('Données projet'!$B$15,Paramètres!$A$1:$I$89,3,0)*0.475*44/12</f>
        <v>0</v>
      </c>
      <c r="EW154" s="21">
        <f>EXP(-LN(2)/25)*EW153+(1-EXP(-LN(2)/25))/(LN(2)/25)*Calculateur!ER154*Calculateur!ET154*VLOOKUP('Données projet'!$B$15,Paramètres!$A$1:$I$89,3,0)*0.475*44/12</f>
        <v>0</v>
      </c>
      <c r="EX154" s="21">
        <f>EXP(-LN(2)/2)*EX153+(1-EXP(-LN(2)/2))/(LN(2)/2)*ER154*EU154*VLOOKUP('Données projet'!$B$15,Paramètres!$A$1:$I$89,3,0)*0.475*44/12</f>
        <v>0</v>
      </c>
      <c r="EY154" s="22">
        <f t="shared" ref="EY154:EY203" si="181">SUM(EV154:EX154)</f>
        <v>0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>
        <f>FE154*VLOOKUP('Données projet'!$B$16,Paramètres!$A$1:$I$89,3,0)*VLOOKUP('Données projet'!$B$16,Paramètres!$A$1:$I$89,5,0)</f>
        <v>0</v>
      </c>
      <c r="FG154" s="13" t="e">
        <f t="shared" ref="FG154:FG203" si="182">EXP(-1.0587+0.8836*LN(FF154)+0.284)</f>
        <v>#NUM!</v>
      </c>
      <c r="FH154" s="20" t="e">
        <f t="shared" ref="FH154:FH203" si="183">(FF154+FG154)*0.475*44/12</f>
        <v>#NUM!</v>
      </c>
      <c r="FI154" s="59" t="e">
        <f t="shared" si="131"/>
        <v>#NUM!</v>
      </c>
      <c r="FJ154" s="59">
        <f ca="1">AVERAGE(OFFSET($FI$3,0,0,'Données projet'!$E$16+1,1))-AVERAGE(OFFSET($H$3,0,0,'Données projet'!$E$16+1,1))</f>
        <v>0</v>
      </c>
      <c r="FK154" s="59">
        <f t="shared" si="156"/>
        <v>0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>
        <f>EXP(-LN(2)/35)*FQ153+(1-EXP(-LN(2)/35))/(LN(2)/35)*FM154*FN154*VLOOKUP('Données projet'!$B$16,Paramètres!$A$1:$I$89,3,0)*0.475*44/12</f>
        <v>0</v>
      </c>
      <c r="FR154" s="21">
        <f>EXP(-LN(2)/25)*FR153+(1-EXP(-LN(2)/25))/(LN(2)/25)*Calculateur!FM154*Calculateur!FO154*VLOOKUP('Données projet'!$B$16,Paramètres!$A$1:$I$89,3,0)*0.475*44/12</f>
        <v>0</v>
      </c>
      <c r="FS154" s="21">
        <f>EXP(-LN(2)/2)*FS153+(1-EXP(-LN(2)/2))/(LN(2)/2)*FM154*FP154*VLOOKUP('Données projet'!$B$16,Paramètres!$A$1:$I$89,3,0)*0.475*44/12</f>
        <v>0</v>
      </c>
      <c r="FT154" s="22">
        <f t="shared" ref="FT154:FT203" si="184">SUM(FQ154:FS154)</f>
        <v>0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1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186.90544184210381</v>
      </c>
      <c r="T155" s="59">
        <f t="shared" si="142"/>
        <v>202.05988514450519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19.241572255407473</v>
      </c>
      <c r="AA155" s="21">
        <f>EXP(-LN(2)/25)*AA154+(1-EXP(-LN(2)/25))/(LN(2)/25)*Calculateur!V155*Calculateur!X155*VLOOKUP('Données projet'!$B$9,Paramètres!$A$1:$I$89,3,0)*0.475*44/12</f>
        <v>1.7047395191494554</v>
      </c>
      <c r="AB155" s="21">
        <f>EXP(-LN(2)/2)*AB154+(1-EXP(-LN(2)/2))/(LN(2)/2)*V155*Y155*VLOOKUP('Données projet'!$B$9,Paramètres!$A$1:$I$89,3,0)*0.475*44/12</f>
        <v>6.1140472624442366E-13</v>
      </c>
      <c r="AC155" s="22">
        <f t="shared" si="163"/>
        <v>20.94631177455754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>
        <f>AI155*VLOOKUP('Données projet'!$B$10,Paramètres!$A$1:$I$89,3,0)*VLOOKUP('Données projet'!$B$10,Paramètres!$A$1:$I$89,5,0)</f>
        <v>0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186.90544184210381</v>
      </c>
      <c r="AO155" s="59">
        <f t="shared" si="144"/>
        <v>202.05988514450519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19.241572255407473</v>
      </c>
      <c r="AV155" s="21">
        <f>EXP(-LN(2)/25)*AV154+(1-EXP(-LN(2)/25))/(LN(2)/25)*Calculateur!AQ155*Calculateur!AS155*VLOOKUP('Données projet'!$B$10,Paramètres!$A$1:$I$89,3,0)*0.475*44/12</f>
        <v>1.7047395191494554</v>
      </c>
      <c r="AW155" s="21">
        <f>EXP(-LN(2)/2)*AW154+(1-EXP(-LN(2)/2))/(LN(2)/2)*AQ155*AT155*VLOOKUP('Données projet'!$B$10,Paramètres!$A$1:$I$89,3,0)*0.475*44/12</f>
        <v>6.1140472624442366E-13</v>
      </c>
      <c r="AX155" s="21">
        <f t="shared" si="166"/>
        <v>20.94631177455754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-2.8421709430404007E-14</v>
      </c>
      <c r="BE155" s="13">
        <f>BD155*VLOOKUP('Données projet'!$B$11,Paramètres!$A$1:$I$89,3,0)*VLOOKUP('Données projet'!$B$11,Paramètres!$A$1:$I$89,5,0)</f>
        <v>-2.3055690689943732E-14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5.8584049049231908</v>
      </c>
      <c r="BJ155" s="59">
        <f t="shared" si="146"/>
        <v>42.266833200216638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1.4379691923176988E-16</v>
      </c>
      <c r="BS155" s="22">
        <f t="shared" si="169"/>
        <v>1.4379691923176988E-16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>
        <f>BY155*VLOOKUP('Données projet'!$B$12,Paramètres!$A$1:$I$89,3,0)*VLOOKUP('Données projet'!$B$12,Paramètres!$A$1:$I$89,5,0)</f>
        <v>0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0</v>
      </c>
      <c r="CE155" s="59">
        <f t="shared" si="148"/>
        <v>0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0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>
        <f>CT155*VLOOKUP('Données projet'!$B$13,Paramètres!$A$1:$I$89,3,0)*VLOOKUP('Données projet'!$B$13,Paramètres!$A$1:$I$89,5,0)</f>
        <v>0</v>
      </c>
      <c r="CV155" s="13" t="e">
        <f t="shared" si="173"/>
        <v>#NUM!</v>
      </c>
      <c r="CW155" s="20" t="e">
        <f t="shared" si="174"/>
        <v>#NUM!</v>
      </c>
      <c r="CX155" s="59" t="e">
        <f t="shared" si="122"/>
        <v>#NUM!</v>
      </c>
      <c r="CY155" s="59">
        <f ca="1">AVERAGE(OFFSET($CX$3,0,0,'Données projet'!$E$13+1,1))-AVERAGE(OFFSET($H$3,0,0,'Données projet'!$E$13+1,1))</f>
        <v>0</v>
      </c>
      <c r="CZ155" s="59">
        <f t="shared" si="150"/>
        <v>0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</v>
      </c>
      <c r="DG155" s="21">
        <f>EXP(-LN(2)/25)*DG154+(1-EXP(-LN(2)/25))/(LN(2)/25)*Calculateur!DB155*Calculateur!DD155*VLOOKUP('Données projet'!$B$13,Paramètres!$A$1:$I$89,3,0)*0.475*44/12</f>
        <v>0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0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>
        <f>DO155*VLOOKUP('Données projet'!$B$14,Paramètres!$A$1:$I$89,3,0)*VLOOKUP('Données projet'!$B$14,Paramètres!$A$1:$I$89,5,0)</f>
        <v>0</v>
      </c>
      <c r="DQ155" s="13" t="e">
        <f t="shared" si="176"/>
        <v>#NUM!</v>
      </c>
      <c r="DR155" s="20" t="e">
        <f t="shared" si="177"/>
        <v>#NUM!</v>
      </c>
      <c r="DS155" s="59" t="e">
        <f t="shared" si="125"/>
        <v>#NUM!</v>
      </c>
      <c r="DT155" s="59">
        <f ca="1">AVERAGE(OFFSET($DS$3,0,0,'Données projet'!$E$14+1,1))-AVERAGE(OFFSET($H$3,0,0,'Données projet'!$E$14+1,1))</f>
        <v>0</v>
      </c>
      <c r="DU155" s="59">
        <f t="shared" si="152"/>
        <v>0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</v>
      </c>
      <c r="EB155" s="21">
        <f>EXP(-LN(2)/25)*EB154+(1-EXP(-LN(2)/25))/(LN(2)/25)*Calculateur!DW155*Calculateur!DY155*VLOOKUP('Données projet'!$B$14,Paramètres!$A$1:$I$89,3,0)*0.475*44/12</f>
        <v>0</v>
      </c>
      <c r="EC155" s="21">
        <f>EXP(-LN(2)/2)*EC154+(1-EXP(-LN(2)/2))/(LN(2)/2)*DW155*DZ155*VLOOKUP('Données projet'!$B$14,Paramètres!$A$1:$I$89,3,0)*0.475*44/12</f>
        <v>0</v>
      </c>
      <c r="ED155" s="22">
        <f t="shared" si="178"/>
        <v>0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>
        <f>EJ155*VLOOKUP('Données projet'!$B$15,Paramètres!$A$1:$I$89,3,0)*VLOOKUP('Données projet'!$B$15,Paramètres!$A$1:$I$89,5,0)</f>
        <v>0</v>
      </c>
      <c r="EL155" s="13" t="e">
        <f t="shared" si="179"/>
        <v>#NUM!</v>
      </c>
      <c r="EM155" s="20" t="e">
        <f t="shared" si="180"/>
        <v>#NUM!</v>
      </c>
      <c r="EN155" s="59" t="e">
        <f t="shared" si="128"/>
        <v>#NUM!</v>
      </c>
      <c r="EO155" s="59">
        <f ca="1">AVERAGE(OFFSET($EN$3,0,0,'Données projet'!$E$15+1,1))-AVERAGE(OFFSET($H$3,0,0,'Données projet'!$E$15+1,1))</f>
        <v>0</v>
      </c>
      <c r="EP155" s="59">
        <f t="shared" si="154"/>
        <v>0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>
        <f>EXP(-LN(2)/35)*EV154+(1-EXP(-LN(2)/35))/(LN(2)/35)*ER155*ES155*VLOOKUP('Données projet'!$B$15,Paramètres!$A$1:$I$89,3,0)*0.475*44/12</f>
        <v>0</v>
      </c>
      <c r="EW155" s="21">
        <f>EXP(-LN(2)/25)*EW154+(1-EXP(-LN(2)/25))/(LN(2)/25)*Calculateur!ER155*Calculateur!ET155*VLOOKUP('Données projet'!$B$15,Paramètres!$A$1:$I$89,3,0)*0.475*44/12</f>
        <v>0</v>
      </c>
      <c r="EX155" s="21">
        <f>EXP(-LN(2)/2)*EX154+(1-EXP(-LN(2)/2))/(LN(2)/2)*ER155*EU155*VLOOKUP('Données projet'!$B$15,Paramètres!$A$1:$I$89,3,0)*0.475*44/12</f>
        <v>0</v>
      </c>
      <c r="EY155" s="22">
        <f t="shared" si="181"/>
        <v>0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>
        <f>FE155*VLOOKUP('Données projet'!$B$16,Paramètres!$A$1:$I$89,3,0)*VLOOKUP('Données projet'!$B$16,Paramètres!$A$1:$I$89,5,0)</f>
        <v>0</v>
      </c>
      <c r="FG155" s="13" t="e">
        <f t="shared" si="182"/>
        <v>#NUM!</v>
      </c>
      <c r="FH155" s="20" t="e">
        <f t="shared" si="183"/>
        <v>#NUM!</v>
      </c>
      <c r="FI155" s="59" t="e">
        <f t="shared" si="131"/>
        <v>#NUM!</v>
      </c>
      <c r="FJ155" s="59">
        <f ca="1">AVERAGE(OFFSET($FI$3,0,0,'Données projet'!$E$16+1,1))-AVERAGE(OFFSET($H$3,0,0,'Données projet'!$E$16+1,1))</f>
        <v>0</v>
      </c>
      <c r="FK155" s="59">
        <f t="shared" si="156"/>
        <v>0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>
        <f>EXP(-LN(2)/35)*FQ154+(1-EXP(-LN(2)/35))/(LN(2)/35)*FM155*FN155*VLOOKUP('Données projet'!$B$16,Paramètres!$A$1:$I$89,3,0)*0.475*44/12</f>
        <v>0</v>
      </c>
      <c r="FR155" s="21">
        <f>EXP(-LN(2)/25)*FR154+(1-EXP(-LN(2)/25))/(LN(2)/25)*Calculateur!FM155*Calculateur!FO155*VLOOKUP('Données projet'!$B$16,Paramètres!$A$1:$I$89,3,0)*0.475*44/12</f>
        <v>0</v>
      </c>
      <c r="FS155" s="21">
        <f>EXP(-LN(2)/2)*FS154+(1-EXP(-LN(2)/2))/(LN(2)/2)*FM155*FP155*VLOOKUP('Données projet'!$B$16,Paramètres!$A$1:$I$89,3,0)*0.475*44/12</f>
        <v>0</v>
      </c>
      <c r="FT155" s="22">
        <f t="shared" si="184"/>
        <v>0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1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186.90544184210381</v>
      </c>
      <c r="T156" s="59">
        <f t="shared" si="142"/>
        <v>202.05988514450519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18.864256759679154</v>
      </c>
      <c r="AA156" s="21">
        <f>EXP(-LN(2)/25)*AA155+(1-EXP(-LN(2)/25))/(LN(2)/25)*Calculateur!V156*Calculateur!X156*VLOOKUP('Données projet'!$B$9,Paramètres!$A$1:$I$89,3,0)*0.475*44/12</f>
        <v>1.6581233273499585</v>
      </c>
      <c r="AB156" s="21">
        <f>EXP(-LN(2)/2)*AB155+(1-EXP(-LN(2)/2))/(LN(2)/2)*V156*Y156*VLOOKUP('Données projet'!$B$9,Paramètres!$A$1:$I$89,3,0)*0.475*44/12</f>
        <v>4.3232842797693668E-13</v>
      </c>
      <c r="AC156" s="22">
        <f t="shared" si="163"/>
        <v>20.522380087029546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>
        <f>AI156*VLOOKUP('Données projet'!$B$10,Paramètres!$A$1:$I$89,3,0)*VLOOKUP('Données projet'!$B$10,Paramètres!$A$1:$I$89,5,0)</f>
        <v>0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186.90544184210381</v>
      </c>
      <c r="AO156" s="59">
        <f t="shared" si="144"/>
        <v>202.05988514450519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18.864256759679154</v>
      </c>
      <c r="AV156" s="21">
        <f>EXP(-LN(2)/25)*AV155+(1-EXP(-LN(2)/25))/(LN(2)/25)*Calculateur!AQ156*Calculateur!AS156*VLOOKUP('Données projet'!$B$10,Paramètres!$A$1:$I$89,3,0)*0.475*44/12</f>
        <v>1.6581233273499585</v>
      </c>
      <c r="AW156" s="21">
        <f>EXP(-LN(2)/2)*AW155+(1-EXP(-LN(2)/2))/(LN(2)/2)*AQ156*AT156*VLOOKUP('Données projet'!$B$10,Paramètres!$A$1:$I$89,3,0)*0.475*44/12</f>
        <v>4.3232842797693668E-13</v>
      </c>
      <c r="AX156" s="21">
        <f t="shared" si="166"/>
        <v>20.522380087029546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-2.8421709430404007E-14</v>
      </c>
      <c r="BE156" s="13">
        <f>BD156*VLOOKUP('Données projet'!$B$11,Paramètres!$A$1:$I$89,3,0)*VLOOKUP('Données projet'!$B$11,Paramètres!$A$1:$I$89,5,0)</f>
        <v>-2.3055690689943732E-14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5.8584049049231908</v>
      </c>
      <c r="BJ156" s="59">
        <f t="shared" si="146"/>
        <v>42.266833200216638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1.0167977670251875E-16</v>
      </c>
      <c r="BS156" s="22">
        <f t="shared" si="169"/>
        <v>1.0167977670251875E-16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>
        <f>BY156*VLOOKUP('Données projet'!$B$12,Paramètres!$A$1:$I$89,3,0)*VLOOKUP('Données projet'!$B$12,Paramètres!$A$1:$I$89,5,0)</f>
        <v>0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0</v>
      </c>
      <c r="CE156" s="59">
        <f t="shared" si="148"/>
        <v>0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0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>
        <f>CT156*VLOOKUP('Données projet'!$B$13,Paramètres!$A$1:$I$89,3,0)*VLOOKUP('Données projet'!$B$13,Paramètres!$A$1:$I$89,5,0)</f>
        <v>0</v>
      </c>
      <c r="CV156" s="13" t="e">
        <f t="shared" si="173"/>
        <v>#NUM!</v>
      </c>
      <c r="CW156" s="20" t="e">
        <f t="shared" si="174"/>
        <v>#NUM!</v>
      </c>
      <c r="CX156" s="59" t="e">
        <f t="shared" si="122"/>
        <v>#NUM!</v>
      </c>
      <c r="CY156" s="59">
        <f ca="1">AVERAGE(OFFSET($CX$3,0,0,'Données projet'!$E$13+1,1))-AVERAGE(OFFSET($H$3,0,0,'Données projet'!$E$13+1,1))</f>
        <v>0</v>
      </c>
      <c r="CZ156" s="59">
        <f t="shared" si="150"/>
        <v>0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</v>
      </c>
      <c r="DG156" s="21">
        <f>EXP(-LN(2)/25)*DG155+(1-EXP(-LN(2)/25))/(LN(2)/25)*Calculateur!DB156*Calculateur!DD156*VLOOKUP('Données projet'!$B$13,Paramètres!$A$1:$I$89,3,0)*0.475*44/12</f>
        <v>0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0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>
        <f>DO156*VLOOKUP('Données projet'!$B$14,Paramètres!$A$1:$I$89,3,0)*VLOOKUP('Données projet'!$B$14,Paramètres!$A$1:$I$89,5,0)</f>
        <v>0</v>
      </c>
      <c r="DQ156" s="13" t="e">
        <f t="shared" si="176"/>
        <v>#NUM!</v>
      </c>
      <c r="DR156" s="20" t="e">
        <f t="shared" si="177"/>
        <v>#NUM!</v>
      </c>
      <c r="DS156" s="59" t="e">
        <f t="shared" si="125"/>
        <v>#NUM!</v>
      </c>
      <c r="DT156" s="59">
        <f ca="1">AVERAGE(OFFSET($DS$3,0,0,'Données projet'!$E$14+1,1))-AVERAGE(OFFSET($H$3,0,0,'Données projet'!$E$14+1,1))</f>
        <v>0</v>
      </c>
      <c r="DU156" s="59">
        <f t="shared" si="152"/>
        <v>0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</v>
      </c>
      <c r="EB156" s="21">
        <f>EXP(-LN(2)/25)*EB155+(1-EXP(-LN(2)/25))/(LN(2)/25)*Calculateur!DW156*Calculateur!DY156*VLOOKUP('Données projet'!$B$14,Paramètres!$A$1:$I$89,3,0)*0.475*44/12</f>
        <v>0</v>
      </c>
      <c r="EC156" s="21">
        <f>EXP(-LN(2)/2)*EC155+(1-EXP(-LN(2)/2))/(LN(2)/2)*DW156*DZ156*VLOOKUP('Données projet'!$B$14,Paramètres!$A$1:$I$89,3,0)*0.475*44/12</f>
        <v>0</v>
      </c>
      <c r="ED156" s="22">
        <f t="shared" si="178"/>
        <v>0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>
        <f>EJ156*VLOOKUP('Données projet'!$B$15,Paramètres!$A$1:$I$89,3,0)*VLOOKUP('Données projet'!$B$15,Paramètres!$A$1:$I$89,5,0)</f>
        <v>0</v>
      </c>
      <c r="EL156" s="13" t="e">
        <f t="shared" si="179"/>
        <v>#NUM!</v>
      </c>
      <c r="EM156" s="20" t="e">
        <f t="shared" si="180"/>
        <v>#NUM!</v>
      </c>
      <c r="EN156" s="59" t="e">
        <f t="shared" si="128"/>
        <v>#NUM!</v>
      </c>
      <c r="EO156" s="59">
        <f ca="1">AVERAGE(OFFSET($EN$3,0,0,'Données projet'!$E$15+1,1))-AVERAGE(OFFSET($H$3,0,0,'Données projet'!$E$15+1,1))</f>
        <v>0</v>
      </c>
      <c r="EP156" s="59">
        <f t="shared" si="154"/>
        <v>0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>
        <f>EXP(-LN(2)/35)*EV155+(1-EXP(-LN(2)/35))/(LN(2)/35)*ER156*ES156*VLOOKUP('Données projet'!$B$15,Paramètres!$A$1:$I$89,3,0)*0.475*44/12</f>
        <v>0</v>
      </c>
      <c r="EW156" s="21">
        <f>EXP(-LN(2)/25)*EW155+(1-EXP(-LN(2)/25))/(LN(2)/25)*Calculateur!ER156*Calculateur!ET156*VLOOKUP('Données projet'!$B$15,Paramètres!$A$1:$I$89,3,0)*0.475*44/12</f>
        <v>0</v>
      </c>
      <c r="EX156" s="21">
        <f>EXP(-LN(2)/2)*EX155+(1-EXP(-LN(2)/2))/(LN(2)/2)*ER156*EU156*VLOOKUP('Données projet'!$B$15,Paramètres!$A$1:$I$89,3,0)*0.475*44/12</f>
        <v>0</v>
      </c>
      <c r="EY156" s="22">
        <f t="shared" si="181"/>
        <v>0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>
        <f>FE156*VLOOKUP('Données projet'!$B$16,Paramètres!$A$1:$I$89,3,0)*VLOOKUP('Données projet'!$B$16,Paramètres!$A$1:$I$89,5,0)</f>
        <v>0</v>
      </c>
      <c r="FG156" s="13" t="e">
        <f t="shared" si="182"/>
        <v>#NUM!</v>
      </c>
      <c r="FH156" s="20" t="e">
        <f t="shared" si="183"/>
        <v>#NUM!</v>
      </c>
      <c r="FI156" s="59" t="e">
        <f t="shared" si="131"/>
        <v>#NUM!</v>
      </c>
      <c r="FJ156" s="59">
        <f ca="1">AVERAGE(OFFSET($FI$3,0,0,'Données projet'!$E$16+1,1))-AVERAGE(OFFSET($H$3,0,0,'Données projet'!$E$16+1,1))</f>
        <v>0</v>
      </c>
      <c r="FK156" s="59">
        <f t="shared" si="156"/>
        <v>0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>
        <f>EXP(-LN(2)/35)*FQ155+(1-EXP(-LN(2)/35))/(LN(2)/35)*FM156*FN156*VLOOKUP('Données projet'!$B$16,Paramètres!$A$1:$I$89,3,0)*0.475*44/12</f>
        <v>0</v>
      </c>
      <c r="FR156" s="21">
        <f>EXP(-LN(2)/25)*FR155+(1-EXP(-LN(2)/25))/(LN(2)/25)*Calculateur!FM156*Calculateur!FO156*VLOOKUP('Données projet'!$B$16,Paramètres!$A$1:$I$89,3,0)*0.475*44/12</f>
        <v>0</v>
      </c>
      <c r="FS156" s="21">
        <f>EXP(-LN(2)/2)*FS155+(1-EXP(-LN(2)/2))/(LN(2)/2)*FM156*FP156*VLOOKUP('Données projet'!$B$16,Paramètres!$A$1:$I$89,3,0)*0.475*44/12</f>
        <v>0</v>
      </c>
      <c r="FT156" s="22">
        <f t="shared" si="184"/>
        <v>0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1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186.90544184210381</v>
      </c>
      <c r="T157" s="59">
        <f t="shared" si="142"/>
        <v>202.05988514450519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18.49434019068234</v>
      </c>
      <c r="AA157" s="21">
        <f>EXP(-LN(2)/25)*AA156+(1-EXP(-LN(2)/25))/(LN(2)/25)*Calculateur!V157*Calculateur!X157*VLOOKUP('Données projet'!$B$9,Paramètres!$A$1:$I$89,3,0)*0.475*44/12</f>
        <v>1.6127818577666577</v>
      </c>
      <c r="AB157" s="21">
        <f>EXP(-LN(2)/2)*AB156+(1-EXP(-LN(2)/2))/(LN(2)/2)*V157*Y157*VLOOKUP('Données projet'!$B$9,Paramètres!$A$1:$I$89,3,0)*0.475*44/12</f>
        <v>3.0570236312221183E-13</v>
      </c>
      <c r="AC157" s="22">
        <f t="shared" si="163"/>
        <v>20.107122048449305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>
        <f>AI157*VLOOKUP('Données projet'!$B$10,Paramètres!$A$1:$I$89,3,0)*VLOOKUP('Données projet'!$B$10,Paramètres!$A$1:$I$89,5,0)</f>
        <v>0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186.90544184210381</v>
      </c>
      <c r="AO157" s="59">
        <f t="shared" si="144"/>
        <v>202.05988514450519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18.49434019068234</v>
      </c>
      <c r="AV157" s="21">
        <f>EXP(-LN(2)/25)*AV156+(1-EXP(-LN(2)/25))/(LN(2)/25)*Calculateur!AQ157*Calculateur!AS157*VLOOKUP('Données projet'!$B$10,Paramètres!$A$1:$I$89,3,0)*0.475*44/12</f>
        <v>1.6127818577666577</v>
      </c>
      <c r="AW157" s="21">
        <f>EXP(-LN(2)/2)*AW156+(1-EXP(-LN(2)/2))/(LN(2)/2)*AQ157*AT157*VLOOKUP('Données projet'!$B$10,Paramètres!$A$1:$I$89,3,0)*0.475*44/12</f>
        <v>3.0570236312221183E-13</v>
      </c>
      <c r="AX157" s="21">
        <f t="shared" si="166"/>
        <v>20.107122048449305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-2.8421709430404007E-14</v>
      </c>
      <c r="BE157" s="13">
        <f>BD157*VLOOKUP('Données projet'!$B$11,Paramètres!$A$1:$I$89,3,0)*VLOOKUP('Données projet'!$B$11,Paramètres!$A$1:$I$89,5,0)</f>
        <v>-2.3055690689943732E-14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5.8584049049231908</v>
      </c>
      <c r="BJ157" s="59">
        <f t="shared" si="146"/>
        <v>42.266833200216638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7.189845961588494E-17</v>
      </c>
      <c r="BS157" s="22">
        <f t="shared" si="169"/>
        <v>7.189845961588494E-17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>
        <f>BY157*VLOOKUP('Données projet'!$B$12,Paramètres!$A$1:$I$89,3,0)*VLOOKUP('Données projet'!$B$12,Paramètres!$A$1:$I$89,5,0)</f>
        <v>0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0</v>
      </c>
      <c r="CE157" s="59">
        <f t="shared" si="148"/>
        <v>0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0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>
        <f>CT157*VLOOKUP('Données projet'!$B$13,Paramètres!$A$1:$I$89,3,0)*VLOOKUP('Données projet'!$B$13,Paramètres!$A$1:$I$89,5,0)</f>
        <v>0</v>
      </c>
      <c r="CV157" s="13" t="e">
        <f t="shared" si="173"/>
        <v>#NUM!</v>
      </c>
      <c r="CW157" s="20" t="e">
        <f t="shared" si="174"/>
        <v>#NUM!</v>
      </c>
      <c r="CX157" s="59" t="e">
        <f t="shared" si="122"/>
        <v>#NUM!</v>
      </c>
      <c r="CY157" s="59">
        <f ca="1">AVERAGE(OFFSET($CX$3,0,0,'Données projet'!$E$13+1,1))-AVERAGE(OFFSET($H$3,0,0,'Données projet'!$E$13+1,1))</f>
        <v>0</v>
      </c>
      <c r="CZ157" s="59">
        <f t="shared" si="150"/>
        <v>0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</v>
      </c>
      <c r="DG157" s="21">
        <f>EXP(-LN(2)/25)*DG156+(1-EXP(-LN(2)/25))/(LN(2)/25)*Calculateur!DB157*Calculateur!DD157*VLOOKUP('Données projet'!$B$13,Paramètres!$A$1:$I$89,3,0)*0.475*44/12</f>
        <v>0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0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>
        <f>DO157*VLOOKUP('Données projet'!$B$14,Paramètres!$A$1:$I$89,3,0)*VLOOKUP('Données projet'!$B$14,Paramètres!$A$1:$I$89,5,0)</f>
        <v>0</v>
      </c>
      <c r="DQ157" s="13" t="e">
        <f t="shared" si="176"/>
        <v>#NUM!</v>
      </c>
      <c r="DR157" s="20" t="e">
        <f t="shared" si="177"/>
        <v>#NUM!</v>
      </c>
      <c r="DS157" s="59" t="e">
        <f t="shared" si="125"/>
        <v>#NUM!</v>
      </c>
      <c r="DT157" s="59">
        <f ca="1">AVERAGE(OFFSET($DS$3,0,0,'Données projet'!$E$14+1,1))-AVERAGE(OFFSET($H$3,0,0,'Données projet'!$E$14+1,1))</f>
        <v>0</v>
      </c>
      <c r="DU157" s="59">
        <f t="shared" si="152"/>
        <v>0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</v>
      </c>
      <c r="EB157" s="21">
        <f>EXP(-LN(2)/25)*EB156+(1-EXP(-LN(2)/25))/(LN(2)/25)*Calculateur!DW157*Calculateur!DY157*VLOOKUP('Données projet'!$B$14,Paramètres!$A$1:$I$89,3,0)*0.475*44/12</f>
        <v>0</v>
      </c>
      <c r="EC157" s="21">
        <f>EXP(-LN(2)/2)*EC156+(1-EXP(-LN(2)/2))/(LN(2)/2)*DW157*DZ157*VLOOKUP('Données projet'!$B$14,Paramètres!$A$1:$I$89,3,0)*0.475*44/12</f>
        <v>0</v>
      </c>
      <c r="ED157" s="22">
        <f t="shared" si="178"/>
        <v>0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>
        <f>EJ157*VLOOKUP('Données projet'!$B$15,Paramètres!$A$1:$I$89,3,0)*VLOOKUP('Données projet'!$B$15,Paramètres!$A$1:$I$89,5,0)</f>
        <v>0</v>
      </c>
      <c r="EL157" s="13" t="e">
        <f t="shared" si="179"/>
        <v>#NUM!</v>
      </c>
      <c r="EM157" s="20" t="e">
        <f t="shared" si="180"/>
        <v>#NUM!</v>
      </c>
      <c r="EN157" s="59" t="e">
        <f t="shared" si="128"/>
        <v>#NUM!</v>
      </c>
      <c r="EO157" s="59">
        <f ca="1">AVERAGE(OFFSET($EN$3,0,0,'Données projet'!$E$15+1,1))-AVERAGE(OFFSET($H$3,0,0,'Données projet'!$E$15+1,1))</f>
        <v>0</v>
      </c>
      <c r="EP157" s="59">
        <f t="shared" si="154"/>
        <v>0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>
        <f>EXP(-LN(2)/35)*EV156+(1-EXP(-LN(2)/35))/(LN(2)/35)*ER157*ES157*VLOOKUP('Données projet'!$B$15,Paramètres!$A$1:$I$89,3,0)*0.475*44/12</f>
        <v>0</v>
      </c>
      <c r="EW157" s="21">
        <f>EXP(-LN(2)/25)*EW156+(1-EXP(-LN(2)/25))/(LN(2)/25)*Calculateur!ER157*Calculateur!ET157*VLOOKUP('Données projet'!$B$15,Paramètres!$A$1:$I$89,3,0)*0.475*44/12</f>
        <v>0</v>
      </c>
      <c r="EX157" s="21">
        <f>EXP(-LN(2)/2)*EX156+(1-EXP(-LN(2)/2))/(LN(2)/2)*ER157*EU157*VLOOKUP('Données projet'!$B$15,Paramètres!$A$1:$I$89,3,0)*0.475*44/12</f>
        <v>0</v>
      </c>
      <c r="EY157" s="22">
        <f t="shared" si="181"/>
        <v>0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>
        <f>FE157*VLOOKUP('Données projet'!$B$16,Paramètres!$A$1:$I$89,3,0)*VLOOKUP('Données projet'!$B$16,Paramètres!$A$1:$I$89,5,0)</f>
        <v>0</v>
      </c>
      <c r="FG157" s="13" t="e">
        <f t="shared" si="182"/>
        <v>#NUM!</v>
      </c>
      <c r="FH157" s="20" t="e">
        <f t="shared" si="183"/>
        <v>#NUM!</v>
      </c>
      <c r="FI157" s="59" t="e">
        <f t="shared" si="131"/>
        <v>#NUM!</v>
      </c>
      <c r="FJ157" s="59">
        <f ca="1">AVERAGE(OFFSET($FI$3,0,0,'Données projet'!$E$16+1,1))-AVERAGE(OFFSET($H$3,0,0,'Données projet'!$E$16+1,1))</f>
        <v>0</v>
      </c>
      <c r="FK157" s="59">
        <f t="shared" si="156"/>
        <v>0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>
        <f>EXP(-LN(2)/35)*FQ156+(1-EXP(-LN(2)/35))/(LN(2)/35)*FM157*FN157*VLOOKUP('Données projet'!$B$16,Paramètres!$A$1:$I$89,3,0)*0.475*44/12</f>
        <v>0</v>
      </c>
      <c r="FR157" s="21">
        <f>EXP(-LN(2)/25)*FR156+(1-EXP(-LN(2)/25))/(LN(2)/25)*Calculateur!FM157*Calculateur!FO157*VLOOKUP('Données projet'!$B$16,Paramètres!$A$1:$I$89,3,0)*0.475*44/12</f>
        <v>0</v>
      </c>
      <c r="FS157" s="21">
        <f>EXP(-LN(2)/2)*FS156+(1-EXP(-LN(2)/2))/(LN(2)/2)*FM157*FP157*VLOOKUP('Données projet'!$B$16,Paramètres!$A$1:$I$89,3,0)*0.475*44/12</f>
        <v>0</v>
      </c>
      <c r="FT157" s="22">
        <f t="shared" si="184"/>
        <v>0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1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186.90544184210381</v>
      </c>
      <c r="T158" s="59">
        <f t="shared" si="142"/>
        <v>202.05988514450519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18.131677459976725</v>
      </c>
      <c r="AA158" s="21">
        <f>EXP(-LN(2)/25)*AA157+(1-EXP(-LN(2)/25))/(LN(2)/25)*Calculateur!V158*Calculateur!X158*VLOOKUP('Données projet'!$B$9,Paramètres!$A$1:$I$89,3,0)*0.475*44/12</f>
        <v>1.5686802530535167</v>
      </c>
      <c r="AB158" s="21">
        <f>EXP(-LN(2)/2)*AB157+(1-EXP(-LN(2)/2))/(LN(2)/2)*V158*Y158*VLOOKUP('Données projet'!$B$9,Paramètres!$A$1:$I$89,3,0)*0.475*44/12</f>
        <v>2.1616421398846834E-13</v>
      </c>
      <c r="AC158" s="22">
        <f t="shared" si="163"/>
        <v>19.70035771303046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>
        <f>AI158*VLOOKUP('Données projet'!$B$10,Paramètres!$A$1:$I$89,3,0)*VLOOKUP('Données projet'!$B$10,Paramètres!$A$1:$I$89,5,0)</f>
        <v>0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186.90544184210381</v>
      </c>
      <c r="AO158" s="59">
        <f t="shared" si="144"/>
        <v>202.05988514450519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18.131677459976725</v>
      </c>
      <c r="AV158" s="21">
        <f>EXP(-LN(2)/25)*AV157+(1-EXP(-LN(2)/25))/(LN(2)/25)*Calculateur!AQ158*Calculateur!AS158*VLOOKUP('Données projet'!$B$10,Paramètres!$A$1:$I$89,3,0)*0.475*44/12</f>
        <v>1.5686802530535167</v>
      </c>
      <c r="AW158" s="21">
        <f>EXP(-LN(2)/2)*AW157+(1-EXP(-LN(2)/2))/(LN(2)/2)*AQ158*AT158*VLOOKUP('Données projet'!$B$10,Paramètres!$A$1:$I$89,3,0)*0.475*44/12</f>
        <v>2.1616421398846834E-13</v>
      </c>
      <c r="AX158" s="21">
        <f t="shared" si="166"/>
        <v>19.70035771303046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-2.8421709430404007E-14</v>
      </c>
      <c r="BE158" s="13">
        <f>BD158*VLOOKUP('Données projet'!$B$11,Paramètres!$A$1:$I$89,3,0)*VLOOKUP('Données projet'!$B$11,Paramètres!$A$1:$I$89,5,0)</f>
        <v>-2.3055690689943732E-14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5.8584049049231908</v>
      </c>
      <c r="BJ158" s="59">
        <f t="shared" si="146"/>
        <v>42.266833200216638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5.0839888351259377E-17</v>
      </c>
      <c r="BS158" s="22">
        <f t="shared" si="169"/>
        <v>5.0839888351259377E-17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>
        <f>BY158*VLOOKUP('Données projet'!$B$12,Paramètres!$A$1:$I$89,3,0)*VLOOKUP('Données projet'!$B$12,Paramètres!$A$1:$I$89,5,0)</f>
        <v>0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0</v>
      </c>
      <c r="CE158" s="59">
        <f t="shared" si="148"/>
        <v>0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0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>
        <f>CT158*VLOOKUP('Données projet'!$B$13,Paramètres!$A$1:$I$89,3,0)*VLOOKUP('Données projet'!$B$13,Paramètres!$A$1:$I$89,5,0)</f>
        <v>0</v>
      </c>
      <c r="CV158" s="13" t="e">
        <f t="shared" si="173"/>
        <v>#NUM!</v>
      </c>
      <c r="CW158" s="20" t="e">
        <f t="shared" si="174"/>
        <v>#NUM!</v>
      </c>
      <c r="CX158" s="59" t="e">
        <f t="shared" si="122"/>
        <v>#NUM!</v>
      </c>
      <c r="CY158" s="59">
        <f ca="1">AVERAGE(OFFSET($CX$3,0,0,'Données projet'!$E$13+1,1))-AVERAGE(OFFSET($H$3,0,0,'Données projet'!$E$13+1,1))</f>
        <v>0</v>
      </c>
      <c r="CZ158" s="59">
        <f t="shared" si="150"/>
        <v>0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</v>
      </c>
      <c r="DG158" s="21">
        <f>EXP(-LN(2)/25)*DG157+(1-EXP(-LN(2)/25))/(LN(2)/25)*Calculateur!DB158*Calculateur!DD158*VLOOKUP('Données projet'!$B$13,Paramètres!$A$1:$I$89,3,0)*0.475*44/12</f>
        <v>0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0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>
        <f>DO158*VLOOKUP('Données projet'!$B$14,Paramètres!$A$1:$I$89,3,0)*VLOOKUP('Données projet'!$B$14,Paramètres!$A$1:$I$89,5,0)</f>
        <v>0</v>
      </c>
      <c r="DQ158" s="13" t="e">
        <f t="shared" si="176"/>
        <v>#NUM!</v>
      </c>
      <c r="DR158" s="20" t="e">
        <f t="shared" si="177"/>
        <v>#NUM!</v>
      </c>
      <c r="DS158" s="59" t="e">
        <f t="shared" si="125"/>
        <v>#NUM!</v>
      </c>
      <c r="DT158" s="59">
        <f ca="1">AVERAGE(OFFSET($DS$3,0,0,'Données projet'!$E$14+1,1))-AVERAGE(OFFSET($H$3,0,0,'Données projet'!$E$14+1,1))</f>
        <v>0</v>
      </c>
      <c r="DU158" s="59">
        <f t="shared" si="152"/>
        <v>0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</v>
      </c>
      <c r="EB158" s="21">
        <f>EXP(-LN(2)/25)*EB157+(1-EXP(-LN(2)/25))/(LN(2)/25)*Calculateur!DW158*Calculateur!DY158*VLOOKUP('Données projet'!$B$14,Paramètres!$A$1:$I$89,3,0)*0.475*44/12</f>
        <v>0</v>
      </c>
      <c r="EC158" s="21">
        <f>EXP(-LN(2)/2)*EC157+(1-EXP(-LN(2)/2))/(LN(2)/2)*DW158*DZ158*VLOOKUP('Données projet'!$B$14,Paramètres!$A$1:$I$89,3,0)*0.475*44/12</f>
        <v>0</v>
      </c>
      <c r="ED158" s="22">
        <f t="shared" si="178"/>
        <v>0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>
        <f>EJ158*VLOOKUP('Données projet'!$B$15,Paramètres!$A$1:$I$89,3,0)*VLOOKUP('Données projet'!$B$15,Paramètres!$A$1:$I$89,5,0)</f>
        <v>0</v>
      </c>
      <c r="EL158" s="13" t="e">
        <f t="shared" si="179"/>
        <v>#NUM!</v>
      </c>
      <c r="EM158" s="20" t="e">
        <f t="shared" si="180"/>
        <v>#NUM!</v>
      </c>
      <c r="EN158" s="59" t="e">
        <f t="shared" si="128"/>
        <v>#NUM!</v>
      </c>
      <c r="EO158" s="59">
        <f ca="1">AVERAGE(OFFSET($EN$3,0,0,'Données projet'!$E$15+1,1))-AVERAGE(OFFSET($H$3,0,0,'Données projet'!$E$15+1,1))</f>
        <v>0</v>
      </c>
      <c r="EP158" s="59">
        <f t="shared" si="154"/>
        <v>0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>
        <f>EXP(-LN(2)/35)*EV157+(1-EXP(-LN(2)/35))/(LN(2)/35)*ER158*ES158*VLOOKUP('Données projet'!$B$15,Paramètres!$A$1:$I$89,3,0)*0.475*44/12</f>
        <v>0</v>
      </c>
      <c r="EW158" s="21">
        <f>EXP(-LN(2)/25)*EW157+(1-EXP(-LN(2)/25))/(LN(2)/25)*Calculateur!ER158*Calculateur!ET158*VLOOKUP('Données projet'!$B$15,Paramètres!$A$1:$I$89,3,0)*0.475*44/12</f>
        <v>0</v>
      </c>
      <c r="EX158" s="21">
        <f>EXP(-LN(2)/2)*EX157+(1-EXP(-LN(2)/2))/(LN(2)/2)*ER158*EU158*VLOOKUP('Données projet'!$B$15,Paramètres!$A$1:$I$89,3,0)*0.475*44/12</f>
        <v>0</v>
      </c>
      <c r="EY158" s="22">
        <f t="shared" si="181"/>
        <v>0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>
        <f>FE158*VLOOKUP('Données projet'!$B$16,Paramètres!$A$1:$I$89,3,0)*VLOOKUP('Données projet'!$B$16,Paramètres!$A$1:$I$89,5,0)</f>
        <v>0</v>
      </c>
      <c r="FG158" s="13" t="e">
        <f t="shared" si="182"/>
        <v>#NUM!</v>
      </c>
      <c r="FH158" s="20" t="e">
        <f t="shared" si="183"/>
        <v>#NUM!</v>
      </c>
      <c r="FI158" s="59" t="e">
        <f t="shared" si="131"/>
        <v>#NUM!</v>
      </c>
      <c r="FJ158" s="59">
        <f ca="1">AVERAGE(OFFSET($FI$3,0,0,'Données projet'!$E$16+1,1))-AVERAGE(OFFSET($H$3,0,0,'Données projet'!$E$16+1,1))</f>
        <v>0</v>
      </c>
      <c r="FK158" s="59">
        <f t="shared" si="156"/>
        <v>0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>
        <f>EXP(-LN(2)/35)*FQ157+(1-EXP(-LN(2)/35))/(LN(2)/35)*FM158*FN158*VLOOKUP('Données projet'!$B$16,Paramètres!$A$1:$I$89,3,0)*0.475*44/12</f>
        <v>0</v>
      </c>
      <c r="FR158" s="21">
        <f>EXP(-LN(2)/25)*FR157+(1-EXP(-LN(2)/25))/(LN(2)/25)*Calculateur!FM158*Calculateur!FO158*VLOOKUP('Données projet'!$B$16,Paramètres!$A$1:$I$89,3,0)*0.475*44/12</f>
        <v>0</v>
      </c>
      <c r="FS158" s="21">
        <f>EXP(-LN(2)/2)*FS157+(1-EXP(-LN(2)/2))/(LN(2)/2)*FM158*FP158*VLOOKUP('Données projet'!$B$16,Paramètres!$A$1:$I$89,3,0)*0.475*44/12</f>
        <v>0</v>
      </c>
      <c r="FT158" s="22">
        <f t="shared" si="184"/>
        <v>0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1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186.90544184210381</v>
      </c>
      <c r="T159" s="59">
        <f t="shared" si="142"/>
        <v>202.05988514450519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17.776126324217824</v>
      </c>
      <c r="AA159" s="21">
        <f>EXP(-LN(2)/25)*AA158+(1-EXP(-LN(2)/25))/(LN(2)/25)*Calculateur!V159*Calculateur!X159*VLOOKUP('Données projet'!$B$9,Paramètres!$A$1:$I$89,3,0)*0.475*44/12</f>
        <v>1.525784609040459</v>
      </c>
      <c r="AB159" s="21">
        <f>EXP(-LN(2)/2)*AB158+(1-EXP(-LN(2)/2))/(LN(2)/2)*V159*Y159*VLOOKUP('Données projet'!$B$9,Paramètres!$A$1:$I$89,3,0)*0.475*44/12</f>
        <v>1.5285118156110592E-13</v>
      </c>
      <c r="AC159" s="22">
        <f t="shared" si="163"/>
        <v>19.301910933258437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>
        <f>AI159*VLOOKUP('Données projet'!$B$10,Paramètres!$A$1:$I$89,3,0)*VLOOKUP('Données projet'!$B$10,Paramètres!$A$1:$I$89,5,0)</f>
        <v>0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186.90544184210381</v>
      </c>
      <c r="AO159" s="59">
        <f t="shared" si="144"/>
        <v>202.05988514450519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17.776126324217824</v>
      </c>
      <c r="AV159" s="21">
        <f>EXP(-LN(2)/25)*AV158+(1-EXP(-LN(2)/25))/(LN(2)/25)*Calculateur!AQ159*Calculateur!AS159*VLOOKUP('Données projet'!$B$10,Paramètres!$A$1:$I$89,3,0)*0.475*44/12</f>
        <v>1.525784609040459</v>
      </c>
      <c r="AW159" s="21">
        <f>EXP(-LN(2)/2)*AW158+(1-EXP(-LN(2)/2))/(LN(2)/2)*AQ159*AT159*VLOOKUP('Données projet'!$B$10,Paramètres!$A$1:$I$89,3,0)*0.475*44/12</f>
        <v>1.5285118156110592E-13</v>
      </c>
      <c r="AX159" s="21">
        <f t="shared" si="166"/>
        <v>19.301910933258437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-2.8421709430404007E-14</v>
      </c>
      <c r="BE159" s="13">
        <f>BD159*VLOOKUP('Données projet'!$B$11,Paramètres!$A$1:$I$89,3,0)*VLOOKUP('Données projet'!$B$11,Paramètres!$A$1:$I$89,5,0)</f>
        <v>-2.3055690689943732E-14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5.8584049049231908</v>
      </c>
      <c r="BJ159" s="59">
        <f t="shared" si="146"/>
        <v>42.266833200216638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3.594922980794247E-17</v>
      </c>
      <c r="BS159" s="22">
        <f t="shared" si="169"/>
        <v>3.594922980794247E-17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>
        <f>BY159*VLOOKUP('Données projet'!$B$12,Paramètres!$A$1:$I$89,3,0)*VLOOKUP('Données projet'!$B$12,Paramètres!$A$1:$I$89,5,0)</f>
        <v>0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0</v>
      </c>
      <c r="CE159" s="59">
        <f t="shared" si="148"/>
        <v>0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0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>
        <f>CT159*VLOOKUP('Données projet'!$B$13,Paramètres!$A$1:$I$89,3,0)*VLOOKUP('Données projet'!$B$13,Paramètres!$A$1:$I$89,5,0)</f>
        <v>0</v>
      </c>
      <c r="CV159" s="13" t="e">
        <f t="shared" si="173"/>
        <v>#NUM!</v>
      </c>
      <c r="CW159" s="20" t="e">
        <f t="shared" si="174"/>
        <v>#NUM!</v>
      </c>
      <c r="CX159" s="59" t="e">
        <f t="shared" si="122"/>
        <v>#NUM!</v>
      </c>
      <c r="CY159" s="59">
        <f ca="1">AVERAGE(OFFSET($CX$3,0,0,'Données projet'!$E$13+1,1))-AVERAGE(OFFSET($H$3,0,0,'Données projet'!$E$13+1,1))</f>
        <v>0</v>
      </c>
      <c r="CZ159" s="59">
        <f t="shared" si="150"/>
        <v>0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</v>
      </c>
      <c r="DG159" s="21">
        <f>EXP(-LN(2)/25)*DG158+(1-EXP(-LN(2)/25))/(LN(2)/25)*Calculateur!DB159*Calculateur!DD159*VLOOKUP('Données projet'!$B$13,Paramètres!$A$1:$I$89,3,0)*0.475*44/12</f>
        <v>0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0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>
        <f>DO159*VLOOKUP('Données projet'!$B$14,Paramètres!$A$1:$I$89,3,0)*VLOOKUP('Données projet'!$B$14,Paramètres!$A$1:$I$89,5,0)</f>
        <v>0</v>
      </c>
      <c r="DQ159" s="13" t="e">
        <f t="shared" si="176"/>
        <v>#NUM!</v>
      </c>
      <c r="DR159" s="20" t="e">
        <f t="shared" si="177"/>
        <v>#NUM!</v>
      </c>
      <c r="DS159" s="59" t="e">
        <f t="shared" si="125"/>
        <v>#NUM!</v>
      </c>
      <c r="DT159" s="59">
        <f ca="1">AVERAGE(OFFSET($DS$3,0,0,'Données projet'!$E$14+1,1))-AVERAGE(OFFSET($H$3,0,0,'Données projet'!$E$14+1,1))</f>
        <v>0</v>
      </c>
      <c r="DU159" s="59">
        <f t="shared" si="152"/>
        <v>0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</v>
      </c>
      <c r="EB159" s="21">
        <f>EXP(-LN(2)/25)*EB158+(1-EXP(-LN(2)/25))/(LN(2)/25)*Calculateur!DW159*Calculateur!DY159*VLOOKUP('Données projet'!$B$14,Paramètres!$A$1:$I$89,3,0)*0.475*44/12</f>
        <v>0</v>
      </c>
      <c r="EC159" s="21">
        <f>EXP(-LN(2)/2)*EC158+(1-EXP(-LN(2)/2))/(LN(2)/2)*DW159*DZ159*VLOOKUP('Données projet'!$B$14,Paramètres!$A$1:$I$89,3,0)*0.475*44/12</f>
        <v>0</v>
      </c>
      <c r="ED159" s="22">
        <f t="shared" si="178"/>
        <v>0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>
        <f>EJ159*VLOOKUP('Données projet'!$B$15,Paramètres!$A$1:$I$89,3,0)*VLOOKUP('Données projet'!$B$15,Paramètres!$A$1:$I$89,5,0)</f>
        <v>0</v>
      </c>
      <c r="EL159" s="13" t="e">
        <f t="shared" si="179"/>
        <v>#NUM!</v>
      </c>
      <c r="EM159" s="20" t="e">
        <f t="shared" si="180"/>
        <v>#NUM!</v>
      </c>
      <c r="EN159" s="59" t="e">
        <f t="shared" si="128"/>
        <v>#NUM!</v>
      </c>
      <c r="EO159" s="59">
        <f ca="1">AVERAGE(OFFSET($EN$3,0,0,'Données projet'!$E$15+1,1))-AVERAGE(OFFSET($H$3,0,0,'Données projet'!$E$15+1,1))</f>
        <v>0</v>
      </c>
      <c r="EP159" s="59">
        <f t="shared" si="154"/>
        <v>0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>
        <f>EXP(-LN(2)/35)*EV158+(1-EXP(-LN(2)/35))/(LN(2)/35)*ER159*ES159*VLOOKUP('Données projet'!$B$15,Paramètres!$A$1:$I$89,3,0)*0.475*44/12</f>
        <v>0</v>
      </c>
      <c r="EW159" s="21">
        <f>EXP(-LN(2)/25)*EW158+(1-EXP(-LN(2)/25))/(LN(2)/25)*Calculateur!ER159*Calculateur!ET159*VLOOKUP('Données projet'!$B$15,Paramètres!$A$1:$I$89,3,0)*0.475*44/12</f>
        <v>0</v>
      </c>
      <c r="EX159" s="21">
        <f>EXP(-LN(2)/2)*EX158+(1-EXP(-LN(2)/2))/(LN(2)/2)*ER159*EU159*VLOOKUP('Données projet'!$B$15,Paramètres!$A$1:$I$89,3,0)*0.475*44/12</f>
        <v>0</v>
      </c>
      <c r="EY159" s="22">
        <f t="shared" si="181"/>
        <v>0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>
        <f>FE159*VLOOKUP('Données projet'!$B$16,Paramètres!$A$1:$I$89,3,0)*VLOOKUP('Données projet'!$B$16,Paramètres!$A$1:$I$89,5,0)</f>
        <v>0</v>
      </c>
      <c r="FG159" s="13" t="e">
        <f t="shared" si="182"/>
        <v>#NUM!</v>
      </c>
      <c r="FH159" s="20" t="e">
        <f t="shared" si="183"/>
        <v>#NUM!</v>
      </c>
      <c r="FI159" s="59" t="e">
        <f t="shared" si="131"/>
        <v>#NUM!</v>
      </c>
      <c r="FJ159" s="59">
        <f ca="1">AVERAGE(OFFSET($FI$3,0,0,'Données projet'!$E$16+1,1))-AVERAGE(OFFSET($H$3,0,0,'Données projet'!$E$16+1,1))</f>
        <v>0</v>
      </c>
      <c r="FK159" s="59">
        <f t="shared" si="156"/>
        <v>0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>
        <f>EXP(-LN(2)/35)*FQ158+(1-EXP(-LN(2)/35))/(LN(2)/35)*FM159*FN159*VLOOKUP('Données projet'!$B$16,Paramètres!$A$1:$I$89,3,0)*0.475*44/12</f>
        <v>0</v>
      </c>
      <c r="FR159" s="21">
        <f>EXP(-LN(2)/25)*FR158+(1-EXP(-LN(2)/25))/(LN(2)/25)*Calculateur!FM159*Calculateur!FO159*VLOOKUP('Données projet'!$B$16,Paramètres!$A$1:$I$89,3,0)*0.475*44/12</f>
        <v>0</v>
      </c>
      <c r="FS159" s="21">
        <f>EXP(-LN(2)/2)*FS158+(1-EXP(-LN(2)/2))/(LN(2)/2)*FM159*FP159*VLOOKUP('Données projet'!$B$16,Paramètres!$A$1:$I$89,3,0)*0.475*44/12</f>
        <v>0</v>
      </c>
      <c r="FT159" s="22">
        <f t="shared" si="184"/>
        <v>0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1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186.90544184210381</v>
      </c>
      <c r="T160" s="59">
        <f t="shared" si="142"/>
        <v>202.05988514450519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17.427547329366377</v>
      </c>
      <c r="AA160" s="21">
        <f>EXP(-LN(2)/25)*AA159+(1-EXP(-LN(2)/25))/(LN(2)/25)*Calculateur!V160*Calculateur!X160*VLOOKUP('Données projet'!$B$9,Paramètres!$A$1:$I$89,3,0)*0.475*44/12</f>
        <v>1.4840619486687223</v>
      </c>
      <c r="AB160" s="21">
        <f>EXP(-LN(2)/2)*AB159+(1-EXP(-LN(2)/2))/(LN(2)/2)*V160*Y160*VLOOKUP('Données projet'!$B$9,Paramètres!$A$1:$I$89,3,0)*0.475*44/12</f>
        <v>1.0808210699423417E-13</v>
      </c>
      <c r="AC160" s="22">
        <f t="shared" si="163"/>
        <v>18.911609278035204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>
        <f>AI160*VLOOKUP('Données projet'!$B$10,Paramètres!$A$1:$I$89,3,0)*VLOOKUP('Données projet'!$B$10,Paramètres!$A$1:$I$89,5,0)</f>
        <v>0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186.90544184210381</v>
      </c>
      <c r="AO160" s="59">
        <f t="shared" si="144"/>
        <v>202.05988514450519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17.427547329366377</v>
      </c>
      <c r="AV160" s="21">
        <f>EXP(-LN(2)/25)*AV159+(1-EXP(-LN(2)/25))/(LN(2)/25)*Calculateur!AQ160*Calculateur!AS160*VLOOKUP('Données projet'!$B$10,Paramètres!$A$1:$I$89,3,0)*0.475*44/12</f>
        <v>1.4840619486687223</v>
      </c>
      <c r="AW160" s="21">
        <f>EXP(-LN(2)/2)*AW159+(1-EXP(-LN(2)/2))/(LN(2)/2)*AQ160*AT160*VLOOKUP('Données projet'!$B$10,Paramètres!$A$1:$I$89,3,0)*0.475*44/12</f>
        <v>1.0808210699423417E-13</v>
      </c>
      <c r="AX160" s="21">
        <f t="shared" si="166"/>
        <v>18.911609278035204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-2.8421709430404007E-14</v>
      </c>
      <c r="BE160" s="13">
        <f>BD160*VLOOKUP('Données projet'!$B$11,Paramètres!$A$1:$I$89,3,0)*VLOOKUP('Données projet'!$B$11,Paramètres!$A$1:$I$89,5,0)</f>
        <v>-2.3055690689943732E-14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5.8584049049231908</v>
      </c>
      <c r="BJ160" s="59">
        <f t="shared" si="146"/>
        <v>42.266833200216638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2.5419944175629688E-17</v>
      </c>
      <c r="BS160" s="22">
        <f t="shared" si="169"/>
        <v>2.5419944175629688E-17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>
        <f>BY160*VLOOKUP('Données projet'!$B$12,Paramètres!$A$1:$I$89,3,0)*VLOOKUP('Données projet'!$B$12,Paramètres!$A$1:$I$89,5,0)</f>
        <v>0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0</v>
      </c>
      <c r="CE160" s="59">
        <f t="shared" si="148"/>
        <v>0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0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>
        <f>CT160*VLOOKUP('Données projet'!$B$13,Paramètres!$A$1:$I$89,3,0)*VLOOKUP('Données projet'!$B$13,Paramètres!$A$1:$I$89,5,0)</f>
        <v>0</v>
      </c>
      <c r="CV160" s="13" t="e">
        <f t="shared" si="173"/>
        <v>#NUM!</v>
      </c>
      <c r="CW160" s="20" t="e">
        <f t="shared" si="174"/>
        <v>#NUM!</v>
      </c>
      <c r="CX160" s="59" t="e">
        <f t="shared" si="122"/>
        <v>#NUM!</v>
      </c>
      <c r="CY160" s="59">
        <f ca="1">AVERAGE(OFFSET($CX$3,0,0,'Données projet'!$E$13+1,1))-AVERAGE(OFFSET($H$3,0,0,'Données projet'!$E$13+1,1))</f>
        <v>0</v>
      </c>
      <c r="CZ160" s="59">
        <f t="shared" si="150"/>
        <v>0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</v>
      </c>
      <c r="DG160" s="21">
        <f>EXP(-LN(2)/25)*DG159+(1-EXP(-LN(2)/25))/(LN(2)/25)*Calculateur!DB160*Calculateur!DD160*VLOOKUP('Données projet'!$B$13,Paramètres!$A$1:$I$89,3,0)*0.475*44/12</f>
        <v>0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0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>
        <f>DO160*VLOOKUP('Données projet'!$B$14,Paramètres!$A$1:$I$89,3,0)*VLOOKUP('Données projet'!$B$14,Paramètres!$A$1:$I$89,5,0)</f>
        <v>0</v>
      </c>
      <c r="DQ160" s="13" t="e">
        <f t="shared" si="176"/>
        <v>#NUM!</v>
      </c>
      <c r="DR160" s="20" t="e">
        <f t="shared" si="177"/>
        <v>#NUM!</v>
      </c>
      <c r="DS160" s="59" t="e">
        <f t="shared" si="125"/>
        <v>#NUM!</v>
      </c>
      <c r="DT160" s="59">
        <f ca="1">AVERAGE(OFFSET($DS$3,0,0,'Données projet'!$E$14+1,1))-AVERAGE(OFFSET($H$3,0,0,'Données projet'!$E$14+1,1))</f>
        <v>0</v>
      </c>
      <c r="DU160" s="59">
        <f t="shared" si="152"/>
        <v>0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</v>
      </c>
      <c r="EB160" s="21">
        <f>EXP(-LN(2)/25)*EB159+(1-EXP(-LN(2)/25))/(LN(2)/25)*Calculateur!DW160*Calculateur!DY160*VLOOKUP('Données projet'!$B$14,Paramètres!$A$1:$I$89,3,0)*0.475*44/12</f>
        <v>0</v>
      </c>
      <c r="EC160" s="21">
        <f>EXP(-LN(2)/2)*EC159+(1-EXP(-LN(2)/2))/(LN(2)/2)*DW160*DZ160*VLOOKUP('Données projet'!$B$14,Paramètres!$A$1:$I$89,3,0)*0.475*44/12</f>
        <v>0</v>
      </c>
      <c r="ED160" s="22">
        <f t="shared" si="178"/>
        <v>0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>
        <f>EJ160*VLOOKUP('Données projet'!$B$15,Paramètres!$A$1:$I$89,3,0)*VLOOKUP('Données projet'!$B$15,Paramètres!$A$1:$I$89,5,0)</f>
        <v>0</v>
      </c>
      <c r="EL160" s="13" t="e">
        <f t="shared" si="179"/>
        <v>#NUM!</v>
      </c>
      <c r="EM160" s="20" t="e">
        <f t="shared" si="180"/>
        <v>#NUM!</v>
      </c>
      <c r="EN160" s="59" t="e">
        <f t="shared" si="128"/>
        <v>#NUM!</v>
      </c>
      <c r="EO160" s="59">
        <f ca="1">AVERAGE(OFFSET($EN$3,0,0,'Données projet'!$E$15+1,1))-AVERAGE(OFFSET($H$3,0,0,'Données projet'!$E$15+1,1))</f>
        <v>0</v>
      </c>
      <c r="EP160" s="59">
        <f t="shared" si="154"/>
        <v>0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>
        <f>EXP(-LN(2)/35)*EV159+(1-EXP(-LN(2)/35))/(LN(2)/35)*ER160*ES160*VLOOKUP('Données projet'!$B$15,Paramètres!$A$1:$I$89,3,0)*0.475*44/12</f>
        <v>0</v>
      </c>
      <c r="EW160" s="21">
        <f>EXP(-LN(2)/25)*EW159+(1-EXP(-LN(2)/25))/(LN(2)/25)*Calculateur!ER160*Calculateur!ET160*VLOOKUP('Données projet'!$B$15,Paramètres!$A$1:$I$89,3,0)*0.475*44/12</f>
        <v>0</v>
      </c>
      <c r="EX160" s="21">
        <f>EXP(-LN(2)/2)*EX159+(1-EXP(-LN(2)/2))/(LN(2)/2)*ER160*EU160*VLOOKUP('Données projet'!$B$15,Paramètres!$A$1:$I$89,3,0)*0.475*44/12</f>
        <v>0</v>
      </c>
      <c r="EY160" s="22">
        <f t="shared" si="181"/>
        <v>0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>
        <f>FE160*VLOOKUP('Données projet'!$B$16,Paramètres!$A$1:$I$89,3,0)*VLOOKUP('Données projet'!$B$16,Paramètres!$A$1:$I$89,5,0)</f>
        <v>0</v>
      </c>
      <c r="FG160" s="13" t="e">
        <f t="shared" si="182"/>
        <v>#NUM!</v>
      </c>
      <c r="FH160" s="20" t="e">
        <f t="shared" si="183"/>
        <v>#NUM!</v>
      </c>
      <c r="FI160" s="59" t="e">
        <f t="shared" si="131"/>
        <v>#NUM!</v>
      </c>
      <c r="FJ160" s="59">
        <f ca="1">AVERAGE(OFFSET($FI$3,0,0,'Données projet'!$E$16+1,1))-AVERAGE(OFFSET($H$3,0,0,'Données projet'!$E$16+1,1))</f>
        <v>0</v>
      </c>
      <c r="FK160" s="59">
        <f t="shared" si="156"/>
        <v>0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>
        <f>EXP(-LN(2)/35)*FQ159+(1-EXP(-LN(2)/35))/(LN(2)/35)*FM160*FN160*VLOOKUP('Données projet'!$B$16,Paramètres!$A$1:$I$89,3,0)*0.475*44/12</f>
        <v>0</v>
      </c>
      <c r="FR160" s="21">
        <f>EXP(-LN(2)/25)*FR159+(1-EXP(-LN(2)/25))/(LN(2)/25)*Calculateur!FM160*Calculateur!FO160*VLOOKUP('Données projet'!$B$16,Paramètres!$A$1:$I$89,3,0)*0.475*44/12</f>
        <v>0</v>
      </c>
      <c r="FS160" s="21">
        <f>EXP(-LN(2)/2)*FS159+(1-EXP(-LN(2)/2))/(LN(2)/2)*FM160*FP160*VLOOKUP('Données projet'!$B$16,Paramètres!$A$1:$I$89,3,0)*0.475*44/12</f>
        <v>0</v>
      </c>
      <c r="FT160" s="22">
        <f t="shared" si="184"/>
        <v>0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1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186.90544184210381</v>
      </c>
      <c r="T161" s="59">
        <f t="shared" si="142"/>
        <v>202.05988514450519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17.085803755991773</v>
      </c>
      <c r="AA161" s="21">
        <f>EXP(-LN(2)/25)*AA160+(1-EXP(-LN(2)/25))/(LN(2)/25)*Calculateur!V161*Calculateur!X161*VLOOKUP('Données projet'!$B$9,Paramètres!$A$1:$I$89,3,0)*0.475*44/12</f>
        <v>1.4434801966389501</v>
      </c>
      <c r="AB161" s="21">
        <f>EXP(-LN(2)/2)*AB160+(1-EXP(-LN(2)/2))/(LN(2)/2)*V161*Y161*VLOOKUP('Données projet'!$B$9,Paramètres!$A$1:$I$89,3,0)*0.475*44/12</f>
        <v>7.6425590780552958E-14</v>
      </c>
      <c r="AC161" s="22">
        <f t="shared" si="163"/>
        <v>18.529283952630802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>
        <f>AI161*VLOOKUP('Données projet'!$B$10,Paramètres!$A$1:$I$89,3,0)*VLOOKUP('Données projet'!$B$10,Paramètres!$A$1:$I$89,5,0)</f>
        <v>0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186.90544184210381</v>
      </c>
      <c r="AO161" s="59">
        <f t="shared" si="144"/>
        <v>202.05988514450519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17.085803755991773</v>
      </c>
      <c r="AV161" s="21">
        <f>EXP(-LN(2)/25)*AV160+(1-EXP(-LN(2)/25))/(LN(2)/25)*Calculateur!AQ161*Calculateur!AS161*VLOOKUP('Données projet'!$B$10,Paramètres!$A$1:$I$89,3,0)*0.475*44/12</f>
        <v>1.4434801966389501</v>
      </c>
      <c r="AW161" s="21">
        <f>EXP(-LN(2)/2)*AW160+(1-EXP(-LN(2)/2))/(LN(2)/2)*AQ161*AT161*VLOOKUP('Données projet'!$B$10,Paramètres!$A$1:$I$89,3,0)*0.475*44/12</f>
        <v>7.6425590780552958E-14</v>
      </c>
      <c r="AX161" s="21">
        <f t="shared" si="166"/>
        <v>18.529283952630802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-2.8421709430404007E-14</v>
      </c>
      <c r="BE161" s="13">
        <f>BD161*VLOOKUP('Données projet'!$B$11,Paramètres!$A$1:$I$89,3,0)*VLOOKUP('Données projet'!$B$11,Paramètres!$A$1:$I$89,5,0)</f>
        <v>-2.3055690689943732E-14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5.8584049049231908</v>
      </c>
      <c r="BJ161" s="59">
        <f t="shared" si="146"/>
        <v>42.266833200216638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1.7974614903971235E-17</v>
      </c>
      <c r="BS161" s="22">
        <f t="shared" si="169"/>
        <v>1.7974614903971235E-17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>
        <f>BY161*VLOOKUP('Données projet'!$B$12,Paramètres!$A$1:$I$89,3,0)*VLOOKUP('Données projet'!$B$12,Paramètres!$A$1:$I$89,5,0)</f>
        <v>0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0</v>
      </c>
      <c r="CE161" s="59">
        <f t="shared" si="148"/>
        <v>0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0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>
        <f>CT161*VLOOKUP('Données projet'!$B$13,Paramètres!$A$1:$I$89,3,0)*VLOOKUP('Données projet'!$B$13,Paramètres!$A$1:$I$89,5,0)</f>
        <v>0</v>
      </c>
      <c r="CV161" s="13" t="e">
        <f t="shared" si="173"/>
        <v>#NUM!</v>
      </c>
      <c r="CW161" s="20" t="e">
        <f t="shared" si="174"/>
        <v>#NUM!</v>
      </c>
      <c r="CX161" s="59" t="e">
        <f t="shared" si="122"/>
        <v>#NUM!</v>
      </c>
      <c r="CY161" s="59">
        <f ca="1">AVERAGE(OFFSET($CX$3,0,0,'Données projet'!$E$13+1,1))-AVERAGE(OFFSET($H$3,0,0,'Données projet'!$E$13+1,1))</f>
        <v>0</v>
      </c>
      <c r="CZ161" s="59">
        <f t="shared" si="150"/>
        <v>0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</v>
      </c>
      <c r="DG161" s="21">
        <f>EXP(-LN(2)/25)*DG160+(1-EXP(-LN(2)/25))/(LN(2)/25)*Calculateur!DB161*Calculateur!DD161*VLOOKUP('Données projet'!$B$13,Paramètres!$A$1:$I$89,3,0)*0.475*44/12</f>
        <v>0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0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>
        <f>DO161*VLOOKUP('Données projet'!$B$14,Paramètres!$A$1:$I$89,3,0)*VLOOKUP('Données projet'!$B$14,Paramètres!$A$1:$I$89,5,0)</f>
        <v>0</v>
      </c>
      <c r="DQ161" s="13" t="e">
        <f t="shared" si="176"/>
        <v>#NUM!</v>
      </c>
      <c r="DR161" s="20" t="e">
        <f t="shared" si="177"/>
        <v>#NUM!</v>
      </c>
      <c r="DS161" s="59" t="e">
        <f t="shared" si="125"/>
        <v>#NUM!</v>
      </c>
      <c r="DT161" s="59">
        <f ca="1">AVERAGE(OFFSET($DS$3,0,0,'Données projet'!$E$14+1,1))-AVERAGE(OFFSET($H$3,0,0,'Données projet'!$E$14+1,1))</f>
        <v>0</v>
      </c>
      <c r="DU161" s="59">
        <f t="shared" si="152"/>
        <v>0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</v>
      </c>
      <c r="EB161" s="21">
        <f>EXP(-LN(2)/25)*EB160+(1-EXP(-LN(2)/25))/(LN(2)/25)*Calculateur!DW161*Calculateur!DY161*VLOOKUP('Données projet'!$B$14,Paramètres!$A$1:$I$89,3,0)*0.475*44/12</f>
        <v>0</v>
      </c>
      <c r="EC161" s="21">
        <f>EXP(-LN(2)/2)*EC160+(1-EXP(-LN(2)/2))/(LN(2)/2)*DW161*DZ161*VLOOKUP('Données projet'!$B$14,Paramètres!$A$1:$I$89,3,0)*0.475*44/12</f>
        <v>0</v>
      </c>
      <c r="ED161" s="22">
        <f t="shared" si="178"/>
        <v>0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>
        <f>EJ161*VLOOKUP('Données projet'!$B$15,Paramètres!$A$1:$I$89,3,0)*VLOOKUP('Données projet'!$B$15,Paramètres!$A$1:$I$89,5,0)</f>
        <v>0</v>
      </c>
      <c r="EL161" s="13" t="e">
        <f t="shared" si="179"/>
        <v>#NUM!</v>
      </c>
      <c r="EM161" s="20" t="e">
        <f t="shared" si="180"/>
        <v>#NUM!</v>
      </c>
      <c r="EN161" s="59" t="e">
        <f t="shared" si="128"/>
        <v>#NUM!</v>
      </c>
      <c r="EO161" s="59">
        <f ca="1">AVERAGE(OFFSET($EN$3,0,0,'Données projet'!$E$15+1,1))-AVERAGE(OFFSET($H$3,0,0,'Données projet'!$E$15+1,1))</f>
        <v>0</v>
      </c>
      <c r="EP161" s="59">
        <f t="shared" si="154"/>
        <v>0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>
        <f>EXP(-LN(2)/35)*EV160+(1-EXP(-LN(2)/35))/(LN(2)/35)*ER161*ES161*VLOOKUP('Données projet'!$B$15,Paramètres!$A$1:$I$89,3,0)*0.475*44/12</f>
        <v>0</v>
      </c>
      <c r="EW161" s="21">
        <f>EXP(-LN(2)/25)*EW160+(1-EXP(-LN(2)/25))/(LN(2)/25)*Calculateur!ER161*Calculateur!ET161*VLOOKUP('Données projet'!$B$15,Paramètres!$A$1:$I$89,3,0)*0.475*44/12</f>
        <v>0</v>
      </c>
      <c r="EX161" s="21">
        <f>EXP(-LN(2)/2)*EX160+(1-EXP(-LN(2)/2))/(LN(2)/2)*ER161*EU161*VLOOKUP('Données projet'!$B$15,Paramètres!$A$1:$I$89,3,0)*0.475*44/12</f>
        <v>0</v>
      </c>
      <c r="EY161" s="22">
        <f t="shared" si="181"/>
        <v>0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>
        <f>FE161*VLOOKUP('Données projet'!$B$16,Paramètres!$A$1:$I$89,3,0)*VLOOKUP('Données projet'!$B$16,Paramètres!$A$1:$I$89,5,0)</f>
        <v>0</v>
      </c>
      <c r="FG161" s="13" t="e">
        <f t="shared" si="182"/>
        <v>#NUM!</v>
      </c>
      <c r="FH161" s="20" t="e">
        <f t="shared" si="183"/>
        <v>#NUM!</v>
      </c>
      <c r="FI161" s="59" t="e">
        <f t="shared" si="131"/>
        <v>#NUM!</v>
      </c>
      <c r="FJ161" s="59">
        <f ca="1">AVERAGE(OFFSET($FI$3,0,0,'Données projet'!$E$16+1,1))-AVERAGE(OFFSET($H$3,0,0,'Données projet'!$E$16+1,1))</f>
        <v>0</v>
      </c>
      <c r="FK161" s="59">
        <f t="shared" si="156"/>
        <v>0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>
        <f>EXP(-LN(2)/35)*FQ160+(1-EXP(-LN(2)/35))/(LN(2)/35)*FM161*FN161*VLOOKUP('Données projet'!$B$16,Paramètres!$A$1:$I$89,3,0)*0.475*44/12</f>
        <v>0</v>
      </c>
      <c r="FR161" s="21">
        <f>EXP(-LN(2)/25)*FR160+(1-EXP(-LN(2)/25))/(LN(2)/25)*Calculateur!FM161*Calculateur!FO161*VLOOKUP('Données projet'!$B$16,Paramètres!$A$1:$I$89,3,0)*0.475*44/12</f>
        <v>0</v>
      </c>
      <c r="FS161" s="21">
        <f>EXP(-LN(2)/2)*FS160+(1-EXP(-LN(2)/2))/(LN(2)/2)*FM161*FP161*VLOOKUP('Données projet'!$B$16,Paramètres!$A$1:$I$89,3,0)*0.475*44/12</f>
        <v>0</v>
      </c>
      <c r="FT161" s="22">
        <f t="shared" si="184"/>
        <v>0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1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186.90544184210381</v>
      </c>
      <c r="T162" s="59">
        <f t="shared" si="142"/>
        <v>202.05988514450519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16.750761565648045</v>
      </c>
      <c r="AA162" s="21">
        <f>EXP(-LN(2)/25)*AA161+(1-EXP(-LN(2)/25))/(LN(2)/25)*Calculateur!V162*Calculateur!X162*VLOOKUP('Données projet'!$B$9,Paramètres!$A$1:$I$89,3,0)*0.475*44/12</f>
        <v>1.4040081547525336</v>
      </c>
      <c r="AB162" s="21">
        <f>EXP(-LN(2)/2)*AB161+(1-EXP(-LN(2)/2))/(LN(2)/2)*V162*Y162*VLOOKUP('Données projet'!$B$9,Paramètres!$A$1:$I$89,3,0)*0.475*44/12</f>
        <v>5.4041053497117085E-14</v>
      </c>
      <c r="AC162" s="22">
        <f t="shared" si="163"/>
        <v>18.154769720400633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>
        <f>AI162*VLOOKUP('Données projet'!$B$10,Paramètres!$A$1:$I$89,3,0)*VLOOKUP('Données projet'!$B$10,Paramètres!$A$1:$I$89,5,0)</f>
        <v>0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186.90544184210381</v>
      </c>
      <c r="AO162" s="59">
        <f t="shared" si="144"/>
        <v>202.05988514450519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16.750761565648045</v>
      </c>
      <c r="AV162" s="21">
        <f>EXP(-LN(2)/25)*AV161+(1-EXP(-LN(2)/25))/(LN(2)/25)*Calculateur!AQ162*Calculateur!AS162*VLOOKUP('Données projet'!$B$10,Paramètres!$A$1:$I$89,3,0)*0.475*44/12</f>
        <v>1.4040081547525336</v>
      </c>
      <c r="AW162" s="21">
        <f>EXP(-LN(2)/2)*AW161+(1-EXP(-LN(2)/2))/(LN(2)/2)*AQ162*AT162*VLOOKUP('Données projet'!$B$10,Paramètres!$A$1:$I$89,3,0)*0.475*44/12</f>
        <v>5.4041053497117085E-14</v>
      </c>
      <c r="AX162" s="21">
        <f t="shared" si="166"/>
        <v>18.154769720400633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-2.8421709430404007E-14</v>
      </c>
      <c r="BE162" s="13">
        <f>BD162*VLOOKUP('Données projet'!$B$11,Paramètres!$A$1:$I$89,3,0)*VLOOKUP('Données projet'!$B$11,Paramètres!$A$1:$I$89,5,0)</f>
        <v>-2.3055690689943732E-14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5.8584049049231908</v>
      </c>
      <c r="BJ162" s="59">
        <f t="shared" si="146"/>
        <v>42.266833200216638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1.2709972087814844E-17</v>
      </c>
      <c r="BS162" s="22">
        <f t="shared" si="169"/>
        <v>1.2709972087814844E-17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>
        <f>BY162*VLOOKUP('Données projet'!$B$12,Paramètres!$A$1:$I$89,3,0)*VLOOKUP('Données projet'!$B$12,Paramètres!$A$1:$I$89,5,0)</f>
        <v>0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0</v>
      </c>
      <c r="CE162" s="59">
        <f t="shared" si="148"/>
        <v>0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0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>
        <f>CT162*VLOOKUP('Données projet'!$B$13,Paramètres!$A$1:$I$89,3,0)*VLOOKUP('Données projet'!$B$13,Paramètres!$A$1:$I$89,5,0)</f>
        <v>0</v>
      </c>
      <c r="CV162" s="13" t="e">
        <f t="shared" si="173"/>
        <v>#NUM!</v>
      </c>
      <c r="CW162" s="20" t="e">
        <f t="shared" si="174"/>
        <v>#NUM!</v>
      </c>
      <c r="CX162" s="59" t="e">
        <f t="shared" si="122"/>
        <v>#NUM!</v>
      </c>
      <c r="CY162" s="59">
        <f ca="1">AVERAGE(OFFSET($CX$3,0,0,'Données projet'!$E$13+1,1))-AVERAGE(OFFSET($H$3,0,0,'Données projet'!$E$13+1,1))</f>
        <v>0</v>
      </c>
      <c r="CZ162" s="59">
        <f t="shared" si="150"/>
        <v>0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</v>
      </c>
      <c r="DG162" s="21">
        <f>EXP(-LN(2)/25)*DG161+(1-EXP(-LN(2)/25))/(LN(2)/25)*Calculateur!DB162*Calculateur!DD162*VLOOKUP('Données projet'!$B$13,Paramètres!$A$1:$I$89,3,0)*0.475*44/12</f>
        <v>0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0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>
        <f>DO162*VLOOKUP('Données projet'!$B$14,Paramètres!$A$1:$I$89,3,0)*VLOOKUP('Données projet'!$B$14,Paramètres!$A$1:$I$89,5,0)</f>
        <v>0</v>
      </c>
      <c r="DQ162" s="13" t="e">
        <f t="shared" si="176"/>
        <v>#NUM!</v>
      </c>
      <c r="DR162" s="20" t="e">
        <f t="shared" si="177"/>
        <v>#NUM!</v>
      </c>
      <c r="DS162" s="59" t="e">
        <f t="shared" si="125"/>
        <v>#NUM!</v>
      </c>
      <c r="DT162" s="59">
        <f ca="1">AVERAGE(OFFSET($DS$3,0,0,'Données projet'!$E$14+1,1))-AVERAGE(OFFSET($H$3,0,0,'Données projet'!$E$14+1,1))</f>
        <v>0</v>
      </c>
      <c r="DU162" s="59">
        <f t="shared" si="152"/>
        <v>0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</v>
      </c>
      <c r="EB162" s="21">
        <f>EXP(-LN(2)/25)*EB161+(1-EXP(-LN(2)/25))/(LN(2)/25)*Calculateur!DW162*Calculateur!DY162*VLOOKUP('Données projet'!$B$14,Paramètres!$A$1:$I$89,3,0)*0.475*44/12</f>
        <v>0</v>
      </c>
      <c r="EC162" s="21">
        <f>EXP(-LN(2)/2)*EC161+(1-EXP(-LN(2)/2))/(LN(2)/2)*DW162*DZ162*VLOOKUP('Données projet'!$B$14,Paramètres!$A$1:$I$89,3,0)*0.475*44/12</f>
        <v>0</v>
      </c>
      <c r="ED162" s="22">
        <f t="shared" si="178"/>
        <v>0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>
        <f>EJ162*VLOOKUP('Données projet'!$B$15,Paramètres!$A$1:$I$89,3,0)*VLOOKUP('Données projet'!$B$15,Paramètres!$A$1:$I$89,5,0)</f>
        <v>0</v>
      </c>
      <c r="EL162" s="13" t="e">
        <f t="shared" si="179"/>
        <v>#NUM!</v>
      </c>
      <c r="EM162" s="20" t="e">
        <f t="shared" si="180"/>
        <v>#NUM!</v>
      </c>
      <c r="EN162" s="59" t="e">
        <f t="shared" si="128"/>
        <v>#NUM!</v>
      </c>
      <c r="EO162" s="59">
        <f ca="1">AVERAGE(OFFSET($EN$3,0,0,'Données projet'!$E$15+1,1))-AVERAGE(OFFSET($H$3,0,0,'Données projet'!$E$15+1,1))</f>
        <v>0</v>
      </c>
      <c r="EP162" s="59">
        <f t="shared" si="154"/>
        <v>0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>
        <f>EXP(-LN(2)/35)*EV161+(1-EXP(-LN(2)/35))/(LN(2)/35)*ER162*ES162*VLOOKUP('Données projet'!$B$15,Paramètres!$A$1:$I$89,3,0)*0.475*44/12</f>
        <v>0</v>
      </c>
      <c r="EW162" s="21">
        <f>EXP(-LN(2)/25)*EW161+(1-EXP(-LN(2)/25))/(LN(2)/25)*Calculateur!ER162*Calculateur!ET162*VLOOKUP('Données projet'!$B$15,Paramètres!$A$1:$I$89,3,0)*0.475*44/12</f>
        <v>0</v>
      </c>
      <c r="EX162" s="21">
        <f>EXP(-LN(2)/2)*EX161+(1-EXP(-LN(2)/2))/(LN(2)/2)*ER162*EU162*VLOOKUP('Données projet'!$B$15,Paramètres!$A$1:$I$89,3,0)*0.475*44/12</f>
        <v>0</v>
      </c>
      <c r="EY162" s="22">
        <f t="shared" si="181"/>
        <v>0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>
        <f>FE162*VLOOKUP('Données projet'!$B$16,Paramètres!$A$1:$I$89,3,0)*VLOOKUP('Données projet'!$B$16,Paramètres!$A$1:$I$89,5,0)</f>
        <v>0</v>
      </c>
      <c r="FG162" s="13" t="e">
        <f t="shared" si="182"/>
        <v>#NUM!</v>
      </c>
      <c r="FH162" s="20" t="e">
        <f t="shared" si="183"/>
        <v>#NUM!</v>
      </c>
      <c r="FI162" s="59" t="e">
        <f t="shared" si="131"/>
        <v>#NUM!</v>
      </c>
      <c r="FJ162" s="59">
        <f ca="1">AVERAGE(OFFSET($FI$3,0,0,'Données projet'!$E$16+1,1))-AVERAGE(OFFSET($H$3,0,0,'Données projet'!$E$16+1,1))</f>
        <v>0</v>
      </c>
      <c r="FK162" s="59">
        <f t="shared" si="156"/>
        <v>0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>
        <f>EXP(-LN(2)/35)*FQ161+(1-EXP(-LN(2)/35))/(LN(2)/35)*FM162*FN162*VLOOKUP('Données projet'!$B$16,Paramètres!$A$1:$I$89,3,0)*0.475*44/12</f>
        <v>0</v>
      </c>
      <c r="FR162" s="21">
        <f>EXP(-LN(2)/25)*FR161+(1-EXP(-LN(2)/25))/(LN(2)/25)*Calculateur!FM162*Calculateur!FO162*VLOOKUP('Données projet'!$B$16,Paramètres!$A$1:$I$89,3,0)*0.475*44/12</f>
        <v>0</v>
      </c>
      <c r="FS162" s="21">
        <f>EXP(-LN(2)/2)*FS161+(1-EXP(-LN(2)/2))/(LN(2)/2)*FM162*FP162*VLOOKUP('Données projet'!$B$16,Paramètres!$A$1:$I$89,3,0)*0.475*44/12</f>
        <v>0</v>
      </c>
      <c r="FT162" s="22">
        <f t="shared" si="184"/>
        <v>0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1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186.90544184210381</v>
      </c>
      <c r="T163" s="59">
        <f t="shared" si="142"/>
        <v>202.05988514450519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16.422289348301401</v>
      </c>
      <c r="AA163" s="21">
        <f>EXP(-LN(2)/25)*AA162+(1-EXP(-LN(2)/25))/(LN(2)/25)*Calculateur!V163*Calculateur!X163*VLOOKUP('Données projet'!$B$9,Paramètres!$A$1:$I$89,3,0)*0.475*44/12</f>
        <v>1.3656154779272456</v>
      </c>
      <c r="AB163" s="21">
        <f>EXP(-LN(2)/2)*AB162+(1-EXP(-LN(2)/2))/(LN(2)/2)*V163*Y163*VLOOKUP('Données projet'!$B$9,Paramètres!$A$1:$I$89,3,0)*0.475*44/12</f>
        <v>3.8212795390276479E-14</v>
      </c>
      <c r="AC163" s="22">
        <f t="shared" si="163"/>
        <v>17.787904826228687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>
        <f>AI163*VLOOKUP('Données projet'!$B$10,Paramètres!$A$1:$I$89,3,0)*VLOOKUP('Données projet'!$B$10,Paramètres!$A$1:$I$89,5,0)</f>
        <v>0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186.90544184210381</v>
      </c>
      <c r="AO163" s="59">
        <f t="shared" si="144"/>
        <v>202.05988514450519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16.422289348301401</v>
      </c>
      <c r="AV163" s="21">
        <f>EXP(-LN(2)/25)*AV162+(1-EXP(-LN(2)/25))/(LN(2)/25)*Calculateur!AQ163*Calculateur!AS163*VLOOKUP('Données projet'!$B$10,Paramètres!$A$1:$I$89,3,0)*0.475*44/12</f>
        <v>1.3656154779272456</v>
      </c>
      <c r="AW163" s="21">
        <f>EXP(-LN(2)/2)*AW162+(1-EXP(-LN(2)/2))/(LN(2)/2)*AQ163*AT163*VLOOKUP('Données projet'!$B$10,Paramètres!$A$1:$I$89,3,0)*0.475*44/12</f>
        <v>3.8212795390276479E-14</v>
      </c>
      <c r="AX163" s="21">
        <f t="shared" si="166"/>
        <v>17.787904826228687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-2.8421709430404007E-14</v>
      </c>
      <c r="BE163" s="13">
        <f>BD163*VLOOKUP('Données projet'!$B$11,Paramètres!$A$1:$I$89,3,0)*VLOOKUP('Données projet'!$B$11,Paramètres!$A$1:$I$89,5,0)</f>
        <v>-2.3055690689943732E-14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5.8584049049231908</v>
      </c>
      <c r="BJ163" s="59">
        <f t="shared" si="146"/>
        <v>42.266833200216638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8.9873074519856175E-18</v>
      </c>
      <c r="BS163" s="22">
        <f t="shared" si="169"/>
        <v>8.9873074519856175E-18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>
        <f>BY163*VLOOKUP('Données projet'!$B$12,Paramètres!$A$1:$I$89,3,0)*VLOOKUP('Données projet'!$B$12,Paramètres!$A$1:$I$89,5,0)</f>
        <v>0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0</v>
      </c>
      <c r="CE163" s="59">
        <f t="shared" si="148"/>
        <v>0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0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>
        <f>CT163*VLOOKUP('Données projet'!$B$13,Paramètres!$A$1:$I$89,3,0)*VLOOKUP('Données projet'!$B$13,Paramètres!$A$1:$I$89,5,0)</f>
        <v>0</v>
      </c>
      <c r="CV163" s="13" t="e">
        <f t="shared" si="173"/>
        <v>#NUM!</v>
      </c>
      <c r="CW163" s="20" t="e">
        <f t="shared" si="174"/>
        <v>#NUM!</v>
      </c>
      <c r="CX163" s="59" t="e">
        <f t="shared" si="122"/>
        <v>#NUM!</v>
      </c>
      <c r="CY163" s="59">
        <f ca="1">AVERAGE(OFFSET($CX$3,0,0,'Données projet'!$E$13+1,1))-AVERAGE(OFFSET($H$3,0,0,'Données projet'!$E$13+1,1))</f>
        <v>0</v>
      </c>
      <c r="CZ163" s="59">
        <f t="shared" si="150"/>
        <v>0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</v>
      </c>
      <c r="DG163" s="21">
        <f>EXP(-LN(2)/25)*DG162+(1-EXP(-LN(2)/25))/(LN(2)/25)*Calculateur!DB163*Calculateur!DD163*VLOOKUP('Données projet'!$B$13,Paramètres!$A$1:$I$89,3,0)*0.475*44/12</f>
        <v>0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0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>
        <f>DO163*VLOOKUP('Données projet'!$B$14,Paramètres!$A$1:$I$89,3,0)*VLOOKUP('Données projet'!$B$14,Paramètres!$A$1:$I$89,5,0)</f>
        <v>0</v>
      </c>
      <c r="DQ163" s="13" t="e">
        <f t="shared" si="176"/>
        <v>#NUM!</v>
      </c>
      <c r="DR163" s="20" t="e">
        <f t="shared" si="177"/>
        <v>#NUM!</v>
      </c>
      <c r="DS163" s="59" t="e">
        <f t="shared" si="125"/>
        <v>#NUM!</v>
      </c>
      <c r="DT163" s="59">
        <f ca="1">AVERAGE(OFFSET($DS$3,0,0,'Données projet'!$E$14+1,1))-AVERAGE(OFFSET($H$3,0,0,'Données projet'!$E$14+1,1))</f>
        <v>0</v>
      </c>
      <c r="DU163" s="59">
        <f t="shared" si="152"/>
        <v>0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</v>
      </c>
      <c r="EB163" s="21">
        <f>EXP(-LN(2)/25)*EB162+(1-EXP(-LN(2)/25))/(LN(2)/25)*Calculateur!DW163*Calculateur!DY163*VLOOKUP('Données projet'!$B$14,Paramètres!$A$1:$I$89,3,0)*0.475*44/12</f>
        <v>0</v>
      </c>
      <c r="EC163" s="21">
        <f>EXP(-LN(2)/2)*EC162+(1-EXP(-LN(2)/2))/(LN(2)/2)*DW163*DZ163*VLOOKUP('Données projet'!$B$14,Paramètres!$A$1:$I$89,3,0)*0.475*44/12</f>
        <v>0</v>
      </c>
      <c r="ED163" s="22">
        <f t="shared" si="178"/>
        <v>0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>
        <f>EJ163*VLOOKUP('Données projet'!$B$15,Paramètres!$A$1:$I$89,3,0)*VLOOKUP('Données projet'!$B$15,Paramètres!$A$1:$I$89,5,0)</f>
        <v>0</v>
      </c>
      <c r="EL163" s="13" t="e">
        <f t="shared" si="179"/>
        <v>#NUM!</v>
      </c>
      <c r="EM163" s="20" t="e">
        <f t="shared" si="180"/>
        <v>#NUM!</v>
      </c>
      <c r="EN163" s="59" t="e">
        <f t="shared" si="128"/>
        <v>#NUM!</v>
      </c>
      <c r="EO163" s="59">
        <f ca="1">AVERAGE(OFFSET($EN$3,0,0,'Données projet'!$E$15+1,1))-AVERAGE(OFFSET($H$3,0,0,'Données projet'!$E$15+1,1))</f>
        <v>0</v>
      </c>
      <c r="EP163" s="59">
        <f t="shared" si="154"/>
        <v>0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>
        <f>EXP(-LN(2)/35)*EV162+(1-EXP(-LN(2)/35))/(LN(2)/35)*ER163*ES163*VLOOKUP('Données projet'!$B$15,Paramètres!$A$1:$I$89,3,0)*0.475*44/12</f>
        <v>0</v>
      </c>
      <c r="EW163" s="21">
        <f>EXP(-LN(2)/25)*EW162+(1-EXP(-LN(2)/25))/(LN(2)/25)*Calculateur!ER163*Calculateur!ET163*VLOOKUP('Données projet'!$B$15,Paramètres!$A$1:$I$89,3,0)*0.475*44/12</f>
        <v>0</v>
      </c>
      <c r="EX163" s="21">
        <f>EXP(-LN(2)/2)*EX162+(1-EXP(-LN(2)/2))/(LN(2)/2)*ER163*EU163*VLOOKUP('Données projet'!$B$15,Paramètres!$A$1:$I$89,3,0)*0.475*44/12</f>
        <v>0</v>
      </c>
      <c r="EY163" s="22">
        <f t="shared" si="181"/>
        <v>0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>
        <f>FE163*VLOOKUP('Données projet'!$B$16,Paramètres!$A$1:$I$89,3,0)*VLOOKUP('Données projet'!$B$16,Paramètres!$A$1:$I$89,5,0)</f>
        <v>0</v>
      </c>
      <c r="FG163" s="13" t="e">
        <f t="shared" si="182"/>
        <v>#NUM!</v>
      </c>
      <c r="FH163" s="20" t="e">
        <f t="shared" si="183"/>
        <v>#NUM!</v>
      </c>
      <c r="FI163" s="59" t="e">
        <f t="shared" si="131"/>
        <v>#NUM!</v>
      </c>
      <c r="FJ163" s="59">
        <f ca="1">AVERAGE(OFFSET($FI$3,0,0,'Données projet'!$E$16+1,1))-AVERAGE(OFFSET($H$3,0,0,'Données projet'!$E$16+1,1))</f>
        <v>0</v>
      </c>
      <c r="FK163" s="59">
        <f t="shared" si="156"/>
        <v>0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>
        <f>EXP(-LN(2)/35)*FQ162+(1-EXP(-LN(2)/35))/(LN(2)/35)*FM163*FN163*VLOOKUP('Données projet'!$B$16,Paramètres!$A$1:$I$89,3,0)*0.475*44/12</f>
        <v>0</v>
      </c>
      <c r="FR163" s="21">
        <f>EXP(-LN(2)/25)*FR162+(1-EXP(-LN(2)/25))/(LN(2)/25)*Calculateur!FM163*Calculateur!FO163*VLOOKUP('Données projet'!$B$16,Paramètres!$A$1:$I$89,3,0)*0.475*44/12</f>
        <v>0</v>
      </c>
      <c r="FS163" s="21">
        <f>EXP(-LN(2)/2)*FS162+(1-EXP(-LN(2)/2))/(LN(2)/2)*FM163*FP163*VLOOKUP('Données projet'!$B$16,Paramètres!$A$1:$I$89,3,0)*0.475*44/12</f>
        <v>0</v>
      </c>
      <c r="FT163" s="22">
        <f t="shared" si="184"/>
        <v>0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1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186.90544184210381</v>
      </c>
      <c r="T164" s="59">
        <f t="shared" si="142"/>
        <v>202.05988514450519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16.100258270788654</v>
      </c>
      <c r="AA164" s="21">
        <f>EXP(-LN(2)/25)*AA163+(1-EXP(-LN(2)/25))/(LN(2)/25)*Calculateur!V164*Calculateur!X164*VLOOKUP('Données projet'!$B$9,Paramètres!$A$1:$I$89,3,0)*0.475*44/12</f>
        <v>1.3282726508687281</v>
      </c>
      <c r="AB164" s="21">
        <f>EXP(-LN(2)/2)*AB163+(1-EXP(-LN(2)/2))/(LN(2)/2)*V164*Y164*VLOOKUP('Données projet'!$B$9,Paramètres!$A$1:$I$89,3,0)*0.475*44/12</f>
        <v>2.7020526748558542E-14</v>
      </c>
      <c r="AC164" s="22">
        <f t="shared" si="163"/>
        <v>17.428530921657412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>
        <f>AI164*VLOOKUP('Données projet'!$B$10,Paramètres!$A$1:$I$89,3,0)*VLOOKUP('Données projet'!$B$10,Paramètres!$A$1:$I$89,5,0)</f>
        <v>0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186.90544184210381</v>
      </c>
      <c r="AO164" s="59">
        <f t="shared" si="144"/>
        <v>202.05988514450519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16.100258270788654</v>
      </c>
      <c r="AV164" s="21">
        <f>EXP(-LN(2)/25)*AV163+(1-EXP(-LN(2)/25))/(LN(2)/25)*Calculateur!AQ164*Calculateur!AS164*VLOOKUP('Données projet'!$B$10,Paramètres!$A$1:$I$89,3,0)*0.475*44/12</f>
        <v>1.3282726508687281</v>
      </c>
      <c r="AW164" s="21">
        <f>EXP(-LN(2)/2)*AW163+(1-EXP(-LN(2)/2))/(LN(2)/2)*AQ164*AT164*VLOOKUP('Données projet'!$B$10,Paramètres!$A$1:$I$89,3,0)*0.475*44/12</f>
        <v>2.7020526748558542E-14</v>
      </c>
      <c r="AX164" s="21">
        <f t="shared" si="166"/>
        <v>17.428530921657412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-2.8421709430404007E-14</v>
      </c>
      <c r="BE164" s="13">
        <f>BD164*VLOOKUP('Données projet'!$B$11,Paramètres!$A$1:$I$89,3,0)*VLOOKUP('Données projet'!$B$11,Paramètres!$A$1:$I$89,5,0)</f>
        <v>-2.3055690689943732E-14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5.8584049049231908</v>
      </c>
      <c r="BJ164" s="59">
        <f t="shared" si="146"/>
        <v>42.266833200216638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6.3549860439074221E-18</v>
      </c>
      <c r="BS164" s="22">
        <f t="shared" si="169"/>
        <v>6.3549860439074221E-18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>
        <f>BY164*VLOOKUP('Données projet'!$B$12,Paramètres!$A$1:$I$89,3,0)*VLOOKUP('Données projet'!$B$12,Paramètres!$A$1:$I$89,5,0)</f>
        <v>0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0</v>
      </c>
      <c r="CE164" s="59">
        <f t="shared" si="148"/>
        <v>0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0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>
        <f>CT164*VLOOKUP('Données projet'!$B$13,Paramètres!$A$1:$I$89,3,0)*VLOOKUP('Données projet'!$B$13,Paramètres!$A$1:$I$89,5,0)</f>
        <v>0</v>
      </c>
      <c r="CV164" s="13" t="e">
        <f t="shared" si="173"/>
        <v>#NUM!</v>
      </c>
      <c r="CW164" s="20" t="e">
        <f t="shared" si="174"/>
        <v>#NUM!</v>
      </c>
      <c r="CX164" s="59" t="e">
        <f t="shared" si="122"/>
        <v>#NUM!</v>
      </c>
      <c r="CY164" s="59">
        <f ca="1">AVERAGE(OFFSET($CX$3,0,0,'Données projet'!$E$13+1,1))-AVERAGE(OFFSET($H$3,0,0,'Données projet'!$E$13+1,1))</f>
        <v>0</v>
      </c>
      <c r="CZ164" s="59">
        <f t="shared" si="150"/>
        <v>0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</v>
      </c>
      <c r="DG164" s="21">
        <f>EXP(-LN(2)/25)*DG163+(1-EXP(-LN(2)/25))/(LN(2)/25)*Calculateur!DB164*Calculateur!DD164*VLOOKUP('Données projet'!$B$13,Paramètres!$A$1:$I$89,3,0)*0.475*44/12</f>
        <v>0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0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>
        <f>DO164*VLOOKUP('Données projet'!$B$14,Paramètres!$A$1:$I$89,3,0)*VLOOKUP('Données projet'!$B$14,Paramètres!$A$1:$I$89,5,0)</f>
        <v>0</v>
      </c>
      <c r="DQ164" s="13" t="e">
        <f t="shared" si="176"/>
        <v>#NUM!</v>
      </c>
      <c r="DR164" s="20" t="e">
        <f t="shared" si="177"/>
        <v>#NUM!</v>
      </c>
      <c r="DS164" s="59" t="e">
        <f t="shared" si="125"/>
        <v>#NUM!</v>
      </c>
      <c r="DT164" s="59">
        <f ca="1">AVERAGE(OFFSET($DS$3,0,0,'Données projet'!$E$14+1,1))-AVERAGE(OFFSET($H$3,0,0,'Données projet'!$E$14+1,1))</f>
        <v>0</v>
      </c>
      <c r="DU164" s="59">
        <f t="shared" si="152"/>
        <v>0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</v>
      </c>
      <c r="EB164" s="21">
        <f>EXP(-LN(2)/25)*EB163+(1-EXP(-LN(2)/25))/(LN(2)/25)*Calculateur!DW164*Calculateur!DY164*VLOOKUP('Données projet'!$B$14,Paramètres!$A$1:$I$89,3,0)*0.475*44/12</f>
        <v>0</v>
      </c>
      <c r="EC164" s="21">
        <f>EXP(-LN(2)/2)*EC163+(1-EXP(-LN(2)/2))/(LN(2)/2)*DW164*DZ164*VLOOKUP('Données projet'!$B$14,Paramètres!$A$1:$I$89,3,0)*0.475*44/12</f>
        <v>0</v>
      </c>
      <c r="ED164" s="22">
        <f t="shared" si="178"/>
        <v>0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>
        <f>EJ164*VLOOKUP('Données projet'!$B$15,Paramètres!$A$1:$I$89,3,0)*VLOOKUP('Données projet'!$B$15,Paramètres!$A$1:$I$89,5,0)</f>
        <v>0</v>
      </c>
      <c r="EL164" s="13" t="e">
        <f t="shared" si="179"/>
        <v>#NUM!</v>
      </c>
      <c r="EM164" s="20" t="e">
        <f t="shared" si="180"/>
        <v>#NUM!</v>
      </c>
      <c r="EN164" s="59" t="e">
        <f t="shared" si="128"/>
        <v>#NUM!</v>
      </c>
      <c r="EO164" s="59">
        <f ca="1">AVERAGE(OFFSET($EN$3,0,0,'Données projet'!$E$15+1,1))-AVERAGE(OFFSET($H$3,0,0,'Données projet'!$E$15+1,1))</f>
        <v>0</v>
      </c>
      <c r="EP164" s="59">
        <f t="shared" si="154"/>
        <v>0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>
        <f>EXP(-LN(2)/35)*EV163+(1-EXP(-LN(2)/35))/(LN(2)/35)*ER164*ES164*VLOOKUP('Données projet'!$B$15,Paramètres!$A$1:$I$89,3,0)*0.475*44/12</f>
        <v>0</v>
      </c>
      <c r="EW164" s="21">
        <f>EXP(-LN(2)/25)*EW163+(1-EXP(-LN(2)/25))/(LN(2)/25)*Calculateur!ER164*Calculateur!ET164*VLOOKUP('Données projet'!$B$15,Paramètres!$A$1:$I$89,3,0)*0.475*44/12</f>
        <v>0</v>
      </c>
      <c r="EX164" s="21">
        <f>EXP(-LN(2)/2)*EX163+(1-EXP(-LN(2)/2))/(LN(2)/2)*ER164*EU164*VLOOKUP('Données projet'!$B$15,Paramètres!$A$1:$I$89,3,0)*0.475*44/12</f>
        <v>0</v>
      </c>
      <c r="EY164" s="22">
        <f t="shared" si="181"/>
        <v>0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>
        <f>FE164*VLOOKUP('Données projet'!$B$16,Paramètres!$A$1:$I$89,3,0)*VLOOKUP('Données projet'!$B$16,Paramètres!$A$1:$I$89,5,0)</f>
        <v>0</v>
      </c>
      <c r="FG164" s="13" t="e">
        <f t="shared" si="182"/>
        <v>#NUM!</v>
      </c>
      <c r="FH164" s="20" t="e">
        <f t="shared" si="183"/>
        <v>#NUM!</v>
      </c>
      <c r="FI164" s="59" t="e">
        <f t="shared" si="131"/>
        <v>#NUM!</v>
      </c>
      <c r="FJ164" s="59">
        <f ca="1">AVERAGE(OFFSET($FI$3,0,0,'Données projet'!$E$16+1,1))-AVERAGE(OFFSET($H$3,0,0,'Données projet'!$E$16+1,1))</f>
        <v>0</v>
      </c>
      <c r="FK164" s="59">
        <f t="shared" si="156"/>
        <v>0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>
        <f>EXP(-LN(2)/35)*FQ163+(1-EXP(-LN(2)/35))/(LN(2)/35)*FM164*FN164*VLOOKUP('Données projet'!$B$16,Paramètres!$A$1:$I$89,3,0)*0.475*44/12</f>
        <v>0</v>
      </c>
      <c r="FR164" s="21">
        <f>EXP(-LN(2)/25)*FR163+(1-EXP(-LN(2)/25))/(LN(2)/25)*Calculateur!FM164*Calculateur!FO164*VLOOKUP('Données projet'!$B$16,Paramètres!$A$1:$I$89,3,0)*0.475*44/12</f>
        <v>0</v>
      </c>
      <c r="FS164" s="21">
        <f>EXP(-LN(2)/2)*FS163+(1-EXP(-LN(2)/2))/(LN(2)/2)*FM164*FP164*VLOOKUP('Données projet'!$B$16,Paramètres!$A$1:$I$89,3,0)*0.475*44/12</f>
        <v>0</v>
      </c>
      <c r="FT164" s="22">
        <f t="shared" si="184"/>
        <v>0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1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186.90544184210381</v>
      </c>
      <c r="T165" s="59">
        <f t="shared" si="142"/>
        <v>202.05988514450519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15.78454202628637</v>
      </c>
      <c r="AA165" s="21">
        <f>EXP(-LN(2)/25)*AA164+(1-EXP(-LN(2)/25))/(LN(2)/25)*Calculateur!V165*Calculateur!X165*VLOOKUP('Données projet'!$B$9,Paramètres!$A$1:$I$89,3,0)*0.475*44/12</f>
        <v>1.2919509653799</v>
      </c>
      <c r="AB165" s="21">
        <f>EXP(-LN(2)/2)*AB164+(1-EXP(-LN(2)/2))/(LN(2)/2)*V165*Y165*VLOOKUP('Données projet'!$B$9,Paramètres!$A$1:$I$89,3,0)*0.475*44/12</f>
        <v>1.9106397695138239E-14</v>
      </c>
      <c r="AC165" s="22">
        <f t="shared" si="163"/>
        <v>17.076492991666289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>
        <f>AI165*VLOOKUP('Données projet'!$B$10,Paramètres!$A$1:$I$89,3,0)*VLOOKUP('Données projet'!$B$10,Paramètres!$A$1:$I$89,5,0)</f>
        <v>0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186.90544184210381</v>
      </c>
      <c r="AO165" s="59">
        <f t="shared" si="144"/>
        <v>202.05988514450519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15.78454202628637</v>
      </c>
      <c r="AV165" s="21">
        <f>EXP(-LN(2)/25)*AV164+(1-EXP(-LN(2)/25))/(LN(2)/25)*Calculateur!AQ165*Calculateur!AS165*VLOOKUP('Données projet'!$B$10,Paramètres!$A$1:$I$89,3,0)*0.475*44/12</f>
        <v>1.2919509653799</v>
      </c>
      <c r="AW165" s="21">
        <f>EXP(-LN(2)/2)*AW164+(1-EXP(-LN(2)/2))/(LN(2)/2)*AQ165*AT165*VLOOKUP('Données projet'!$B$10,Paramètres!$A$1:$I$89,3,0)*0.475*44/12</f>
        <v>1.9106397695138239E-14</v>
      </c>
      <c r="AX165" s="21">
        <f t="shared" si="166"/>
        <v>17.076492991666289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-2.8421709430404007E-14</v>
      </c>
      <c r="BE165" s="13">
        <f>BD165*VLOOKUP('Données projet'!$B$11,Paramètres!$A$1:$I$89,3,0)*VLOOKUP('Données projet'!$B$11,Paramètres!$A$1:$I$89,5,0)</f>
        <v>-2.3055690689943732E-14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5.8584049049231908</v>
      </c>
      <c r="BJ165" s="59">
        <f t="shared" si="146"/>
        <v>42.266833200216638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4.4936537259928088E-18</v>
      </c>
      <c r="BS165" s="22">
        <f t="shared" si="169"/>
        <v>4.4936537259928088E-18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>
        <f>BY165*VLOOKUP('Données projet'!$B$12,Paramètres!$A$1:$I$89,3,0)*VLOOKUP('Données projet'!$B$12,Paramètres!$A$1:$I$89,5,0)</f>
        <v>0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0</v>
      </c>
      <c r="CE165" s="59">
        <f t="shared" si="148"/>
        <v>0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0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>
        <f>CT165*VLOOKUP('Données projet'!$B$13,Paramètres!$A$1:$I$89,3,0)*VLOOKUP('Données projet'!$B$13,Paramètres!$A$1:$I$89,5,0)</f>
        <v>0</v>
      </c>
      <c r="CV165" s="13" t="e">
        <f t="shared" si="173"/>
        <v>#NUM!</v>
      </c>
      <c r="CW165" s="20" t="e">
        <f t="shared" si="174"/>
        <v>#NUM!</v>
      </c>
      <c r="CX165" s="59" t="e">
        <f t="shared" si="122"/>
        <v>#NUM!</v>
      </c>
      <c r="CY165" s="59">
        <f ca="1">AVERAGE(OFFSET($CX$3,0,0,'Données projet'!$E$13+1,1))-AVERAGE(OFFSET($H$3,0,0,'Données projet'!$E$13+1,1))</f>
        <v>0</v>
      </c>
      <c r="CZ165" s="59">
        <f t="shared" si="150"/>
        <v>0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</v>
      </c>
      <c r="DG165" s="21">
        <f>EXP(-LN(2)/25)*DG164+(1-EXP(-LN(2)/25))/(LN(2)/25)*Calculateur!DB165*Calculateur!DD165*VLOOKUP('Données projet'!$B$13,Paramètres!$A$1:$I$89,3,0)*0.475*44/12</f>
        <v>0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0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>
        <f>DO165*VLOOKUP('Données projet'!$B$14,Paramètres!$A$1:$I$89,3,0)*VLOOKUP('Données projet'!$B$14,Paramètres!$A$1:$I$89,5,0)</f>
        <v>0</v>
      </c>
      <c r="DQ165" s="13" t="e">
        <f t="shared" si="176"/>
        <v>#NUM!</v>
      </c>
      <c r="DR165" s="20" t="e">
        <f t="shared" si="177"/>
        <v>#NUM!</v>
      </c>
      <c r="DS165" s="59" t="e">
        <f t="shared" si="125"/>
        <v>#NUM!</v>
      </c>
      <c r="DT165" s="59">
        <f ca="1">AVERAGE(OFFSET($DS$3,0,0,'Données projet'!$E$14+1,1))-AVERAGE(OFFSET($H$3,0,0,'Données projet'!$E$14+1,1))</f>
        <v>0</v>
      </c>
      <c r="DU165" s="59">
        <f t="shared" si="152"/>
        <v>0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</v>
      </c>
      <c r="EB165" s="21">
        <f>EXP(-LN(2)/25)*EB164+(1-EXP(-LN(2)/25))/(LN(2)/25)*Calculateur!DW165*Calculateur!DY165*VLOOKUP('Données projet'!$B$14,Paramètres!$A$1:$I$89,3,0)*0.475*44/12</f>
        <v>0</v>
      </c>
      <c r="EC165" s="21">
        <f>EXP(-LN(2)/2)*EC164+(1-EXP(-LN(2)/2))/(LN(2)/2)*DW165*DZ165*VLOOKUP('Données projet'!$B$14,Paramètres!$A$1:$I$89,3,0)*0.475*44/12</f>
        <v>0</v>
      </c>
      <c r="ED165" s="22">
        <f t="shared" si="178"/>
        <v>0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>
        <f>EJ165*VLOOKUP('Données projet'!$B$15,Paramètres!$A$1:$I$89,3,0)*VLOOKUP('Données projet'!$B$15,Paramètres!$A$1:$I$89,5,0)</f>
        <v>0</v>
      </c>
      <c r="EL165" s="13" t="e">
        <f t="shared" si="179"/>
        <v>#NUM!</v>
      </c>
      <c r="EM165" s="20" t="e">
        <f t="shared" si="180"/>
        <v>#NUM!</v>
      </c>
      <c r="EN165" s="59" t="e">
        <f t="shared" si="128"/>
        <v>#NUM!</v>
      </c>
      <c r="EO165" s="59">
        <f ca="1">AVERAGE(OFFSET($EN$3,0,0,'Données projet'!$E$15+1,1))-AVERAGE(OFFSET($H$3,0,0,'Données projet'!$E$15+1,1))</f>
        <v>0</v>
      </c>
      <c r="EP165" s="59">
        <f t="shared" si="154"/>
        <v>0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>
        <f>EXP(-LN(2)/35)*EV164+(1-EXP(-LN(2)/35))/(LN(2)/35)*ER165*ES165*VLOOKUP('Données projet'!$B$15,Paramètres!$A$1:$I$89,3,0)*0.475*44/12</f>
        <v>0</v>
      </c>
      <c r="EW165" s="21">
        <f>EXP(-LN(2)/25)*EW164+(1-EXP(-LN(2)/25))/(LN(2)/25)*Calculateur!ER165*Calculateur!ET165*VLOOKUP('Données projet'!$B$15,Paramètres!$A$1:$I$89,3,0)*0.475*44/12</f>
        <v>0</v>
      </c>
      <c r="EX165" s="21">
        <f>EXP(-LN(2)/2)*EX164+(1-EXP(-LN(2)/2))/(LN(2)/2)*ER165*EU165*VLOOKUP('Données projet'!$B$15,Paramètres!$A$1:$I$89,3,0)*0.475*44/12</f>
        <v>0</v>
      </c>
      <c r="EY165" s="22">
        <f t="shared" si="181"/>
        <v>0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>
        <f>FE165*VLOOKUP('Données projet'!$B$16,Paramètres!$A$1:$I$89,3,0)*VLOOKUP('Données projet'!$B$16,Paramètres!$A$1:$I$89,5,0)</f>
        <v>0</v>
      </c>
      <c r="FG165" s="13" t="e">
        <f t="shared" si="182"/>
        <v>#NUM!</v>
      </c>
      <c r="FH165" s="20" t="e">
        <f t="shared" si="183"/>
        <v>#NUM!</v>
      </c>
      <c r="FI165" s="59" t="e">
        <f t="shared" si="131"/>
        <v>#NUM!</v>
      </c>
      <c r="FJ165" s="59">
        <f ca="1">AVERAGE(OFFSET($FI$3,0,0,'Données projet'!$E$16+1,1))-AVERAGE(OFFSET($H$3,0,0,'Données projet'!$E$16+1,1))</f>
        <v>0</v>
      </c>
      <c r="FK165" s="59">
        <f t="shared" si="156"/>
        <v>0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>
        <f>EXP(-LN(2)/35)*FQ164+(1-EXP(-LN(2)/35))/(LN(2)/35)*FM165*FN165*VLOOKUP('Données projet'!$B$16,Paramètres!$A$1:$I$89,3,0)*0.475*44/12</f>
        <v>0</v>
      </c>
      <c r="FR165" s="21">
        <f>EXP(-LN(2)/25)*FR164+(1-EXP(-LN(2)/25))/(LN(2)/25)*Calculateur!FM165*Calculateur!FO165*VLOOKUP('Données projet'!$B$16,Paramètres!$A$1:$I$89,3,0)*0.475*44/12</f>
        <v>0</v>
      </c>
      <c r="FS165" s="21">
        <f>EXP(-LN(2)/2)*FS164+(1-EXP(-LN(2)/2))/(LN(2)/2)*FM165*FP165*VLOOKUP('Données projet'!$B$16,Paramètres!$A$1:$I$89,3,0)*0.475*44/12</f>
        <v>0</v>
      </c>
      <c r="FT165" s="22">
        <f t="shared" si="184"/>
        <v>0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1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186.90544184210381</v>
      </c>
      <c r="T166" s="59">
        <f t="shared" si="142"/>
        <v>202.05988514450519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15.475016784770883</v>
      </c>
      <c r="AA166" s="21">
        <f>EXP(-LN(2)/25)*AA165+(1-EXP(-LN(2)/25))/(LN(2)/25)*Calculateur!V166*Calculateur!X166*VLOOKUP('Données projet'!$B$9,Paramètres!$A$1:$I$89,3,0)*0.475*44/12</f>
        <v>1.2566224982908381</v>
      </c>
      <c r="AB166" s="21">
        <f>EXP(-LN(2)/2)*AB165+(1-EXP(-LN(2)/2))/(LN(2)/2)*V166*Y166*VLOOKUP('Données projet'!$B$9,Paramètres!$A$1:$I$89,3,0)*0.475*44/12</f>
        <v>1.3510263374279271E-14</v>
      </c>
      <c r="AC166" s="22">
        <f t="shared" si="163"/>
        <v>16.731639283061735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>
        <f>AI166*VLOOKUP('Données projet'!$B$10,Paramètres!$A$1:$I$89,3,0)*VLOOKUP('Données projet'!$B$10,Paramètres!$A$1:$I$89,5,0)</f>
        <v>0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186.90544184210381</v>
      </c>
      <c r="AO166" s="59">
        <f t="shared" si="144"/>
        <v>202.05988514450519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15.475016784770883</v>
      </c>
      <c r="AV166" s="21">
        <f>EXP(-LN(2)/25)*AV165+(1-EXP(-LN(2)/25))/(LN(2)/25)*Calculateur!AQ166*Calculateur!AS166*VLOOKUP('Données projet'!$B$10,Paramètres!$A$1:$I$89,3,0)*0.475*44/12</f>
        <v>1.2566224982908381</v>
      </c>
      <c r="AW166" s="21">
        <f>EXP(-LN(2)/2)*AW165+(1-EXP(-LN(2)/2))/(LN(2)/2)*AQ166*AT166*VLOOKUP('Données projet'!$B$10,Paramètres!$A$1:$I$89,3,0)*0.475*44/12</f>
        <v>1.3510263374279271E-14</v>
      </c>
      <c r="AX166" s="21">
        <f t="shared" si="166"/>
        <v>16.731639283061735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-2.8421709430404007E-14</v>
      </c>
      <c r="BE166" s="13">
        <f>BD166*VLOOKUP('Données projet'!$B$11,Paramètres!$A$1:$I$89,3,0)*VLOOKUP('Données projet'!$B$11,Paramètres!$A$1:$I$89,5,0)</f>
        <v>-2.3055690689943732E-14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5.8584049049231908</v>
      </c>
      <c r="BJ166" s="59">
        <f t="shared" si="146"/>
        <v>42.266833200216638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3.1774930219537111E-18</v>
      </c>
      <c r="BS166" s="22">
        <f t="shared" si="169"/>
        <v>3.1774930219537111E-18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>
        <f>BY166*VLOOKUP('Données projet'!$B$12,Paramètres!$A$1:$I$89,3,0)*VLOOKUP('Données projet'!$B$12,Paramètres!$A$1:$I$89,5,0)</f>
        <v>0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0</v>
      </c>
      <c r="CE166" s="59">
        <f t="shared" si="148"/>
        <v>0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0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>
        <f>CT166*VLOOKUP('Données projet'!$B$13,Paramètres!$A$1:$I$89,3,0)*VLOOKUP('Données projet'!$B$13,Paramètres!$A$1:$I$89,5,0)</f>
        <v>0</v>
      </c>
      <c r="CV166" s="13" t="e">
        <f t="shared" si="173"/>
        <v>#NUM!</v>
      </c>
      <c r="CW166" s="20" t="e">
        <f t="shared" si="174"/>
        <v>#NUM!</v>
      </c>
      <c r="CX166" s="59" t="e">
        <f t="shared" si="122"/>
        <v>#NUM!</v>
      </c>
      <c r="CY166" s="59">
        <f ca="1">AVERAGE(OFFSET($CX$3,0,0,'Données projet'!$E$13+1,1))-AVERAGE(OFFSET($H$3,0,0,'Données projet'!$E$13+1,1))</f>
        <v>0</v>
      </c>
      <c r="CZ166" s="59">
        <f t="shared" si="150"/>
        <v>0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</v>
      </c>
      <c r="DG166" s="21">
        <f>EXP(-LN(2)/25)*DG165+(1-EXP(-LN(2)/25))/(LN(2)/25)*Calculateur!DB166*Calculateur!DD166*VLOOKUP('Données projet'!$B$13,Paramètres!$A$1:$I$89,3,0)*0.475*44/12</f>
        <v>0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0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>
        <f>DO166*VLOOKUP('Données projet'!$B$14,Paramètres!$A$1:$I$89,3,0)*VLOOKUP('Données projet'!$B$14,Paramètres!$A$1:$I$89,5,0)</f>
        <v>0</v>
      </c>
      <c r="DQ166" s="13" t="e">
        <f t="shared" si="176"/>
        <v>#NUM!</v>
      </c>
      <c r="DR166" s="20" t="e">
        <f t="shared" si="177"/>
        <v>#NUM!</v>
      </c>
      <c r="DS166" s="59" t="e">
        <f t="shared" si="125"/>
        <v>#NUM!</v>
      </c>
      <c r="DT166" s="59">
        <f ca="1">AVERAGE(OFFSET($DS$3,0,0,'Données projet'!$E$14+1,1))-AVERAGE(OFFSET($H$3,0,0,'Données projet'!$E$14+1,1))</f>
        <v>0</v>
      </c>
      <c r="DU166" s="59">
        <f t="shared" si="152"/>
        <v>0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</v>
      </c>
      <c r="EB166" s="21">
        <f>EXP(-LN(2)/25)*EB165+(1-EXP(-LN(2)/25))/(LN(2)/25)*Calculateur!DW166*Calculateur!DY166*VLOOKUP('Données projet'!$B$14,Paramètres!$A$1:$I$89,3,0)*0.475*44/12</f>
        <v>0</v>
      </c>
      <c r="EC166" s="21">
        <f>EXP(-LN(2)/2)*EC165+(1-EXP(-LN(2)/2))/(LN(2)/2)*DW166*DZ166*VLOOKUP('Données projet'!$B$14,Paramètres!$A$1:$I$89,3,0)*0.475*44/12</f>
        <v>0</v>
      </c>
      <c r="ED166" s="22">
        <f t="shared" si="178"/>
        <v>0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>
        <f>EJ166*VLOOKUP('Données projet'!$B$15,Paramètres!$A$1:$I$89,3,0)*VLOOKUP('Données projet'!$B$15,Paramètres!$A$1:$I$89,5,0)</f>
        <v>0</v>
      </c>
      <c r="EL166" s="13" t="e">
        <f t="shared" si="179"/>
        <v>#NUM!</v>
      </c>
      <c r="EM166" s="20" t="e">
        <f t="shared" si="180"/>
        <v>#NUM!</v>
      </c>
      <c r="EN166" s="59" t="e">
        <f t="shared" si="128"/>
        <v>#NUM!</v>
      </c>
      <c r="EO166" s="59">
        <f ca="1">AVERAGE(OFFSET($EN$3,0,0,'Données projet'!$E$15+1,1))-AVERAGE(OFFSET($H$3,0,0,'Données projet'!$E$15+1,1))</f>
        <v>0</v>
      </c>
      <c r="EP166" s="59">
        <f t="shared" si="154"/>
        <v>0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>
        <f>EXP(-LN(2)/35)*EV165+(1-EXP(-LN(2)/35))/(LN(2)/35)*ER166*ES166*VLOOKUP('Données projet'!$B$15,Paramètres!$A$1:$I$89,3,0)*0.475*44/12</f>
        <v>0</v>
      </c>
      <c r="EW166" s="21">
        <f>EXP(-LN(2)/25)*EW165+(1-EXP(-LN(2)/25))/(LN(2)/25)*Calculateur!ER166*Calculateur!ET166*VLOOKUP('Données projet'!$B$15,Paramètres!$A$1:$I$89,3,0)*0.475*44/12</f>
        <v>0</v>
      </c>
      <c r="EX166" s="21">
        <f>EXP(-LN(2)/2)*EX165+(1-EXP(-LN(2)/2))/(LN(2)/2)*ER166*EU166*VLOOKUP('Données projet'!$B$15,Paramètres!$A$1:$I$89,3,0)*0.475*44/12</f>
        <v>0</v>
      </c>
      <c r="EY166" s="22">
        <f t="shared" si="181"/>
        <v>0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>
        <f>FE166*VLOOKUP('Données projet'!$B$16,Paramètres!$A$1:$I$89,3,0)*VLOOKUP('Données projet'!$B$16,Paramètres!$A$1:$I$89,5,0)</f>
        <v>0</v>
      </c>
      <c r="FG166" s="13" t="e">
        <f t="shared" si="182"/>
        <v>#NUM!</v>
      </c>
      <c r="FH166" s="20" t="e">
        <f t="shared" si="183"/>
        <v>#NUM!</v>
      </c>
      <c r="FI166" s="59" t="e">
        <f t="shared" si="131"/>
        <v>#NUM!</v>
      </c>
      <c r="FJ166" s="59">
        <f ca="1">AVERAGE(OFFSET($FI$3,0,0,'Données projet'!$E$16+1,1))-AVERAGE(OFFSET($H$3,0,0,'Données projet'!$E$16+1,1))</f>
        <v>0</v>
      </c>
      <c r="FK166" s="59">
        <f t="shared" si="156"/>
        <v>0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>
        <f>EXP(-LN(2)/35)*FQ165+(1-EXP(-LN(2)/35))/(LN(2)/35)*FM166*FN166*VLOOKUP('Données projet'!$B$16,Paramètres!$A$1:$I$89,3,0)*0.475*44/12</f>
        <v>0</v>
      </c>
      <c r="FR166" s="21">
        <f>EXP(-LN(2)/25)*FR165+(1-EXP(-LN(2)/25))/(LN(2)/25)*Calculateur!FM166*Calculateur!FO166*VLOOKUP('Données projet'!$B$16,Paramètres!$A$1:$I$89,3,0)*0.475*44/12</f>
        <v>0</v>
      </c>
      <c r="FS166" s="21">
        <f>EXP(-LN(2)/2)*FS165+(1-EXP(-LN(2)/2))/(LN(2)/2)*FM166*FP166*VLOOKUP('Données projet'!$B$16,Paramètres!$A$1:$I$89,3,0)*0.475*44/12</f>
        <v>0</v>
      </c>
      <c r="FT166" s="22">
        <f t="shared" si="184"/>
        <v>0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1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186.90544184210381</v>
      </c>
      <c r="T167" s="59">
        <f t="shared" si="142"/>
        <v>202.05988514450519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15.171561144449758</v>
      </c>
      <c r="AA167" s="21">
        <f>EXP(-LN(2)/25)*AA166+(1-EXP(-LN(2)/25))/(LN(2)/25)*Calculateur!V167*Calculateur!X167*VLOOKUP('Données projet'!$B$9,Paramètres!$A$1:$I$89,3,0)*0.475*44/12</f>
        <v>1.2222600899921698</v>
      </c>
      <c r="AB167" s="21">
        <f>EXP(-LN(2)/2)*AB166+(1-EXP(-LN(2)/2))/(LN(2)/2)*V167*Y167*VLOOKUP('Données projet'!$B$9,Paramètres!$A$1:$I$89,3,0)*0.475*44/12</f>
        <v>9.5531988475691197E-15</v>
      </c>
      <c r="AC167" s="22">
        <f t="shared" si="163"/>
        <v>16.393821234441937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>
        <f>AI167*VLOOKUP('Données projet'!$B$10,Paramètres!$A$1:$I$89,3,0)*VLOOKUP('Données projet'!$B$10,Paramètres!$A$1:$I$89,5,0)</f>
        <v>0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186.90544184210381</v>
      </c>
      <c r="AO167" s="59">
        <f t="shared" si="144"/>
        <v>202.05988514450519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15.171561144449758</v>
      </c>
      <c r="AV167" s="21">
        <f>EXP(-LN(2)/25)*AV166+(1-EXP(-LN(2)/25))/(LN(2)/25)*Calculateur!AQ167*Calculateur!AS167*VLOOKUP('Données projet'!$B$10,Paramètres!$A$1:$I$89,3,0)*0.475*44/12</f>
        <v>1.2222600899921698</v>
      </c>
      <c r="AW167" s="21">
        <f>EXP(-LN(2)/2)*AW166+(1-EXP(-LN(2)/2))/(LN(2)/2)*AQ167*AT167*VLOOKUP('Données projet'!$B$10,Paramètres!$A$1:$I$89,3,0)*0.475*44/12</f>
        <v>9.5531988475691197E-15</v>
      </c>
      <c r="AX167" s="21">
        <f t="shared" si="166"/>
        <v>16.393821234441937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-2.8421709430404007E-14</v>
      </c>
      <c r="BE167" s="13">
        <f>BD167*VLOOKUP('Données projet'!$B$11,Paramètres!$A$1:$I$89,3,0)*VLOOKUP('Données projet'!$B$11,Paramètres!$A$1:$I$89,5,0)</f>
        <v>-2.3055690689943732E-14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5.8584049049231908</v>
      </c>
      <c r="BJ167" s="59">
        <f t="shared" si="146"/>
        <v>42.266833200216638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2.2468268629964044E-18</v>
      </c>
      <c r="BS167" s="22">
        <f t="shared" si="169"/>
        <v>2.2468268629964044E-18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>
        <f>BY167*VLOOKUP('Données projet'!$B$12,Paramètres!$A$1:$I$89,3,0)*VLOOKUP('Données projet'!$B$12,Paramètres!$A$1:$I$89,5,0)</f>
        <v>0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0</v>
      </c>
      <c r="CE167" s="59">
        <f t="shared" si="148"/>
        <v>0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0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>
        <f>CT167*VLOOKUP('Données projet'!$B$13,Paramètres!$A$1:$I$89,3,0)*VLOOKUP('Données projet'!$B$13,Paramètres!$A$1:$I$89,5,0)</f>
        <v>0</v>
      </c>
      <c r="CV167" s="13" t="e">
        <f t="shared" si="173"/>
        <v>#NUM!</v>
      </c>
      <c r="CW167" s="20" t="e">
        <f t="shared" si="174"/>
        <v>#NUM!</v>
      </c>
      <c r="CX167" s="59" t="e">
        <f t="shared" si="122"/>
        <v>#NUM!</v>
      </c>
      <c r="CY167" s="59">
        <f ca="1">AVERAGE(OFFSET($CX$3,0,0,'Données projet'!$E$13+1,1))-AVERAGE(OFFSET($H$3,0,0,'Données projet'!$E$13+1,1))</f>
        <v>0</v>
      </c>
      <c r="CZ167" s="59">
        <f t="shared" si="150"/>
        <v>0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</v>
      </c>
      <c r="DG167" s="21">
        <f>EXP(-LN(2)/25)*DG166+(1-EXP(-LN(2)/25))/(LN(2)/25)*Calculateur!DB167*Calculateur!DD167*VLOOKUP('Données projet'!$B$13,Paramètres!$A$1:$I$89,3,0)*0.475*44/12</f>
        <v>0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0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>
        <f>DO167*VLOOKUP('Données projet'!$B$14,Paramètres!$A$1:$I$89,3,0)*VLOOKUP('Données projet'!$B$14,Paramètres!$A$1:$I$89,5,0)</f>
        <v>0</v>
      </c>
      <c r="DQ167" s="13" t="e">
        <f t="shared" si="176"/>
        <v>#NUM!</v>
      </c>
      <c r="DR167" s="20" t="e">
        <f t="shared" si="177"/>
        <v>#NUM!</v>
      </c>
      <c r="DS167" s="59" t="e">
        <f t="shared" si="125"/>
        <v>#NUM!</v>
      </c>
      <c r="DT167" s="59">
        <f ca="1">AVERAGE(OFFSET($DS$3,0,0,'Données projet'!$E$14+1,1))-AVERAGE(OFFSET($H$3,0,0,'Données projet'!$E$14+1,1))</f>
        <v>0</v>
      </c>
      <c r="DU167" s="59">
        <f t="shared" si="152"/>
        <v>0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</v>
      </c>
      <c r="EB167" s="21">
        <f>EXP(-LN(2)/25)*EB166+(1-EXP(-LN(2)/25))/(LN(2)/25)*Calculateur!DW167*Calculateur!DY167*VLOOKUP('Données projet'!$B$14,Paramètres!$A$1:$I$89,3,0)*0.475*44/12</f>
        <v>0</v>
      </c>
      <c r="EC167" s="21">
        <f>EXP(-LN(2)/2)*EC166+(1-EXP(-LN(2)/2))/(LN(2)/2)*DW167*DZ167*VLOOKUP('Données projet'!$B$14,Paramètres!$A$1:$I$89,3,0)*0.475*44/12</f>
        <v>0</v>
      </c>
      <c r="ED167" s="22">
        <f t="shared" si="178"/>
        <v>0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>
        <f>EJ167*VLOOKUP('Données projet'!$B$15,Paramètres!$A$1:$I$89,3,0)*VLOOKUP('Données projet'!$B$15,Paramètres!$A$1:$I$89,5,0)</f>
        <v>0</v>
      </c>
      <c r="EL167" s="13" t="e">
        <f t="shared" si="179"/>
        <v>#NUM!</v>
      </c>
      <c r="EM167" s="20" t="e">
        <f t="shared" si="180"/>
        <v>#NUM!</v>
      </c>
      <c r="EN167" s="59" t="e">
        <f t="shared" si="128"/>
        <v>#NUM!</v>
      </c>
      <c r="EO167" s="59">
        <f ca="1">AVERAGE(OFFSET($EN$3,0,0,'Données projet'!$E$15+1,1))-AVERAGE(OFFSET($H$3,0,0,'Données projet'!$E$15+1,1))</f>
        <v>0</v>
      </c>
      <c r="EP167" s="59">
        <f t="shared" si="154"/>
        <v>0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>
        <f>EXP(-LN(2)/35)*EV166+(1-EXP(-LN(2)/35))/(LN(2)/35)*ER167*ES167*VLOOKUP('Données projet'!$B$15,Paramètres!$A$1:$I$89,3,0)*0.475*44/12</f>
        <v>0</v>
      </c>
      <c r="EW167" s="21">
        <f>EXP(-LN(2)/25)*EW166+(1-EXP(-LN(2)/25))/(LN(2)/25)*Calculateur!ER167*Calculateur!ET167*VLOOKUP('Données projet'!$B$15,Paramètres!$A$1:$I$89,3,0)*0.475*44/12</f>
        <v>0</v>
      </c>
      <c r="EX167" s="21">
        <f>EXP(-LN(2)/2)*EX166+(1-EXP(-LN(2)/2))/(LN(2)/2)*ER167*EU167*VLOOKUP('Données projet'!$B$15,Paramètres!$A$1:$I$89,3,0)*0.475*44/12</f>
        <v>0</v>
      </c>
      <c r="EY167" s="22">
        <f t="shared" si="181"/>
        <v>0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>
        <f>FE167*VLOOKUP('Données projet'!$B$16,Paramètres!$A$1:$I$89,3,0)*VLOOKUP('Données projet'!$B$16,Paramètres!$A$1:$I$89,5,0)</f>
        <v>0</v>
      </c>
      <c r="FG167" s="13" t="e">
        <f t="shared" si="182"/>
        <v>#NUM!</v>
      </c>
      <c r="FH167" s="20" t="e">
        <f t="shared" si="183"/>
        <v>#NUM!</v>
      </c>
      <c r="FI167" s="59" t="e">
        <f t="shared" si="131"/>
        <v>#NUM!</v>
      </c>
      <c r="FJ167" s="59">
        <f ca="1">AVERAGE(OFFSET($FI$3,0,0,'Données projet'!$E$16+1,1))-AVERAGE(OFFSET($H$3,0,0,'Données projet'!$E$16+1,1))</f>
        <v>0</v>
      </c>
      <c r="FK167" s="59">
        <f t="shared" si="156"/>
        <v>0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>
        <f>EXP(-LN(2)/35)*FQ166+(1-EXP(-LN(2)/35))/(LN(2)/35)*FM167*FN167*VLOOKUP('Données projet'!$B$16,Paramètres!$A$1:$I$89,3,0)*0.475*44/12</f>
        <v>0</v>
      </c>
      <c r="FR167" s="21">
        <f>EXP(-LN(2)/25)*FR166+(1-EXP(-LN(2)/25))/(LN(2)/25)*Calculateur!FM167*Calculateur!FO167*VLOOKUP('Données projet'!$B$16,Paramètres!$A$1:$I$89,3,0)*0.475*44/12</f>
        <v>0</v>
      </c>
      <c r="FS167" s="21">
        <f>EXP(-LN(2)/2)*FS166+(1-EXP(-LN(2)/2))/(LN(2)/2)*FM167*FP167*VLOOKUP('Données projet'!$B$16,Paramètres!$A$1:$I$89,3,0)*0.475*44/12</f>
        <v>0</v>
      </c>
      <c r="FT167" s="22">
        <f t="shared" si="184"/>
        <v>0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1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186.90544184210381</v>
      </c>
      <c r="T168" s="59">
        <f t="shared" si="142"/>
        <v>202.05988514450519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14.874056084145666</v>
      </c>
      <c r="AA168" s="21">
        <f>EXP(-LN(2)/25)*AA167+(1-EXP(-LN(2)/25))/(LN(2)/25)*Calculateur!V168*Calculateur!X168*VLOOKUP('Données projet'!$B$9,Paramètres!$A$1:$I$89,3,0)*0.475*44/12</f>
        <v>1.1888373235554692</v>
      </c>
      <c r="AB168" s="21">
        <f>EXP(-LN(2)/2)*AB167+(1-EXP(-LN(2)/2))/(LN(2)/2)*V168*Y168*VLOOKUP('Données projet'!$B$9,Paramètres!$A$1:$I$89,3,0)*0.475*44/12</f>
        <v>6.7551316871396356E-15</v>
      </c>
      <c r="AC168" s="22">
        <f t="shared" si="163"/>
        <v>16.062893407701143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>
        <f>AI168*VLOOKUP('Données projet'!$B$10,Paramètres!$A$1:$I$89,3,0)*VLOOKUP('Données projet'!$B$10,Paramètres!$A$1:$I$89,5,0)</f>
        <v>0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186.90544184210381</v>
      </c>
      <c r="AO168" s="59">
        <f t="shared" si="144"/>
        <v>202.05988514450519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14.874056084145666</v>
      </c>
      <c r="AV168" s="21">
        <f>EXP(-LN(2)/25)*AV167+(1-EXP(-LN(2)/25))/(LN(2)/25)*Calculateur!AQ168*Calculateur!AS168*VLOOKUP('Données projet'!$B$10,Paramètres!$A$1:$I$89,3,0)*0.475*44/12</f>
        <v>1.1888373235554692</v>
      </c>
      <c r="AW168" s="21">
        <f>EXP(-LN(2)/2)*AW167+(1-EXP(-LN(2)/2))/(LN(2)/2)*AQ168*AT168*VLOOKUP('Données projet'!$B$10,Paramètres!$A$1:$I$89,3,0)*0.475*44/12</f>
        <v>6.7551316871396356E-15</v>
      </c>
      <c r="AX168" s="21">
        <f t="shared" si="166"/>
        <v>16.062893407701143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-2.8421709430404007E-14</v>
      </c>
      <c r="BE168" s="13">
        <f>BD168*VLOOKUP('Données projet'!$B$11,Paramètres!$A$1:$I$89,3,0)*VLOOKUP('Données projet'!$B$11,Paramètres!$A$1:$I$89,5,0)</f>
        <v>-2.3055690689943732E-14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5.8584049049231908</v>
      </c>
      <c r="BJ168" s="59">
        <f t="shared" si="146"/>
        <v>42.266833200216638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1.5887465109768555E-18</v>
      </c>
      <c r="BS168" s="22">
        <f t="shared" si="169"/>
        <v>1.5887465109768555E-18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>
        <f>BY168*VLOOKUP('Données projet'!$B$12,Paramètres!$A$1:$I$89,3,0)*VLOOKUP('Données projet'!$B$12,Paramètres!$A$1:$I$89,5,0)</f>
        <v>0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0</v>
      </c>
      <c r="CE168" s="59">
        <f t="shared" si="148"/>
        <v>0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0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>
        <f>CT168*VLOOKUP('Données projet'!$B$13,Paramètres!$A$1:$I$89,3,0)*VLOOKUP('Données projet'!$B$13,Paramètres!$A$1:$I$89,5,0)</f>
        <v>0</v>
      </c>
      <c r="CV168" s="13" t="e">
        <f t="shared" si="173"/>
        <v>#NUM!</v>
      </c>
      <c r="CW168" s="20" t="e">
        <f t="shared" si="174"/>
        <v>#NUM!</v>
      </c>
      <c r="CX168" s="59" t="e">
        <f t="shared" si="122"/>
        <v>#NUM!</v>
      </c>
      <c r="CY168" s="59">
        <f ca="1">AVERAGE(OFFSET($CX$3,0,0,'Données projet'!$E$13+1,1))-AVERAGE(OFFSET($H$3,0,0,'Données projet'!$E$13+1,1))</f>
        <v>0</v>
      </c>
      <c r="CZ168" s="59">
        <f t="shared" si="150"/>
        <v>0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</v>
      </c>
      <c r="DG168" s="21">
        <f>EXP(-LN(2)/25)*DG167+(1-EXP(-LN(2)/25))/(LN(2)/25)*Calculateur!DB168*Calculateur!DD168*VLOOKUP('Données projet'!$B$13,Paramètres!$A$1:$I$89,3,0)*0.475*44/12</f>
        <v>0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0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>
        <f>DO168*VLOOKUP('Données projet'!$B$14,Paramètres!$A$1:$I$89,3,0)*VLOOKUP('Données projet'!$B$14,Paramètres!$A$1:$I$89,5,0)</f>
        <v>0</v>
      </c>
      <c r="DQ168" s="13" t="e">
        <f t="shared" si="176"/>
        <v>#NUM!</v>
      </c>
      <c r="DR168" s="20" t="e">
        <f t="shared" si="177"/>
        <v>#NUM!</v>
      </c>
      <c r="DS168" s="59" t="e">
        <f t="shared" si="125"/>
        <v>#NUM!</v>
      </c>
      <c r="DT168" s="59">
        <f ca="1">AVERAGE(OFFSET($DS$3,0,0,'Données projet'!$E$14+1,1))-AVERAGE(OFFSET($H$3,0,0,'Données projet'!$E$14+1,1))</f>
        <v>0</v>
      </c>
      <c r="DU168" s="59">
        <f t="shared" si="152"/>
        <v>0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</v>
      </c>
      <c r="EB168" s="21">
        <f>EXP(-LN(2)/25)*EB167+(1-EXP(-LN(2)/25))/(LN(2)/25)*Calculateur!DW168*Calculateur!DY168*VLOOKUP('Données projet'!$B$14,Paramètres!$A$1:$I$89,3,0)*0.475*44/12</f>
        <v>0</v>
      </c>
      <c r="EC168" s="21">
        <f>EXP(-LN(2)/2)*EC167+(1-EXP(-LN(2)/2))/(LN(2)/2)*DW168*DZ168*VLOOKUP('Données projet'!$B$14,Paramètres!$A$1:$I$89,3,0)*0.475*44/12</f>
        <v>0</v>
      </c>
      <c r="ED168" s="22">
        <f t="shared" si="178"/>
        <v>0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>
        <f>EJ168*VLOOKUP('Données projet'!$B$15,Paramètres!$A$1:$I$89,3,0)*VLOOKUP('Données projet'!$B$15,Paramètres!$A$1:$I$89,5,0)</f>
        <v>0</v>
      </c>
      <c r="EL168" s="13" t="e">
        <f t="shared" si="179"/>
        <v>#NUM!</v>
      </c>
      <c r="EM168" s="20" t="e">
        <f t="shared" si="180"/>
        <v>#NUM!</v>
      </c>
      <c r="EN168" s="59" t="e">
        <f t="shared" si="128"/>
        <v>#NUM!</v>
      </c>
      <c r="EO168" s="59">
        <f ca="1">AVERAGE(OFFSET($EN$3,0,0,'Données projet'!$E$15+1,1))-AVERAGE(OFFSET($H$3,0,0,'Données projet'!$E$15+1,1))</f>
        <v>0</v>
      </c>
      <c r="EP168" s="59">
        <f t="shared" si="154"/>
        <v>0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>
        <f>EXP(-LN(2)/35)*EV167+(1-EXP(-LN(2)/35))/(LN(2)/35)*ER168*ES168*VLOOKUP('Données projet'!$B$15,Paramètres!$A$1:$I$89,3,0)*0.475*44/12</f>
        <v>0</v>
      </c>
      <c r="EW168" s="21">
        <f>EXP(-LN(2)/25)*EW167+(1-EXP(-LN(2)/25))/(LN(2)/25)*Calculateur!ER168*Calculateur!ET168*VLOOKUP('Données projet'!$B$15,Paramètres!$A$1:$I$89,3,0)*0.475*44/12</f>
        <v>0</v>
      </c>
      <c r="EX168" s="21">
        <f>EXP(-LN(2)/2)*EX167+(1-EXP(-LN(2)/2))/(LN(2)/2)*ER168*EU168*VLOOKUP('Données projet'!$B$15,Paramètres!$A$1:$I$89,3,0)*0.475*44/12</f>
        <v>0</v>
      </c>
      <c r="EY168" s="22">
        <f t="shared" si="181"/>
        <v>0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>
        <f>FE168*VLOOKUP('Données projet'!$B$16,Paramètres!$A$1:$I$89,3,0)*VLOOKUP('Données projet'!$B$16,Paramètres!$A$1:$I$89,5,0)</f>
        <v>0</v>
      </c>
      <c r="FG168" s="13" t="e">
        <f t="shared" si="182"/>
        <v>#NUM!</v>
      </c>
      <c r="FH168" s="20" t="e">
        <f t="shared" si="183"/>
        <v>#NUM!</v>
      </c>
      <c r="FI168" s="59" t="e">
        <f t="shared" si="131"/>
        <v>#NUM!</v>
      </c>
      <c r="FJ168" s="59">
        <f ca="1">AVERAGE(OFFSET($FI$3,0,0,'Données projet'!$E$16+1,1))-AVERAGE(OFFSET($H$3,0,0,'Données projet'!$E$16+1,1))</f>
        <v>0</v>
      </c>
      <c r="FK168" s="59">
        <f t="shared" si="156"/>
        <v>0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>
        <f>EXP(-LN(2)/35)*FQ167+(1-EXP(-LN(2)/35))/(LN(2)/35)*FM168*FN168*VLOOKUP('Données projet'!$B$16,Paramètres!$A$1:$I$89,3,0)*0.475*44/12</f>
        <v>0</v>
      </c>
      <c r="FR168" s="21">
        <f>EXP(-LN(2)/25)*FR167+(1-EXP(-LN(2)/25))/(LN(2)/25)*Calculateur!FM168*Calculateur!FO168*VLOOKUP('Données projet'!$B$16,Paramètres!$A$1:$I$89,3,0)*0.475*44/12</f>
        <v>0</v>
      </c>
      <c r="FS168" s="21">
        <f>EXP(-LN(2)/2)*FS167+(1-EXP(-LN(2)/2))/(LN(2)/2)*FM168*FP168*VLOOKUP('Données projet'!$B$16,Paramètres!$A$1:$I$89,3,0)*0.475*44/12</f>
        <v>0</v>
      </c>
      <c r="FT168" s="22">
        <f t="shared" si="184"/>
        <v>0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1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186.90544184210381</v>
      </c>
      <c r="T169" s="59">
        <f t="shared" si="142"/>
        <v>202.05988514450519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14.582384916613968</v>
      </c>
      <c r="AA169" s="21">
        <f>EXP(-LN(2)/25)*AA168+(1-EXP(-LN(2)/25))/(LN(2)/25)*Calculateur!V169*Calculateur!X169*VLOOKUP('Données projet'!$B$9,Paramètres!$A$1:$I$89,3,0)*0.475*44/12</f>
        <v>1.1563285044246072</v>
      </c>
      <c r="AB169" s="21">
        <f>EXP(-LN(2)/2)*AB168+(1-EXP(-LN(2)/2))/(LN(2)/2)*V169*Y169*VLOOKUP('Données projet'!$B$9,Paramètres!$A$1:$I$89,3,0)*0.475*44/12</f>
        <v>4.7765994237845599E-15</v>
      </c>
      <c r="AC169" s="22">
        <f t="shared" si="163"/>
        <v>15.738713421038581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>
        <f>AI169*VLOOKUP('Données projet'!$B$10,Paramètres!$A$1:$I$89,3,0)*VLOOKUP('Données projet'!$B$10,Paramètres!$A$1:$I$89,5,0)</f>
        <v>0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186.90544184210381</v>
      </c>
      <c r="AO169" s="59">
        <f t="shared" si="144"/>
        <v>202.05988514450519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14.582384916613968</v>
      </c>
      <c r="AV169" s="21">
        <f>EXP(-LN(2)/25)*AV168+(1-EXP(-LN(2)/25))/(LN(2)/25)*Calculateur!AQ169*Calculateur!AS169*VLOOKUP('Données projet'!$B$10,Paramètres!$A$1:$I$89,3,0)*0.475*44/12</f>
        <v>1.1563285044246072</v>
      </c>
      <c r="AW169" s="21">
        <f>EXP(-LN(2)/2)*AW168+(1-EXP(-LN(2)/2))/(LN(2)/2)*AQ169*AT169*VLOOKUP('Données projet'!$B$10,Paramètres!$A$1:$I$89,3,0)*0.475*44/12</f>
        <v>4.7765994237845599E-15</v>
      </c>
      <c r="AX169" s="21">
        <f t="shared" si="166"/>
        <v>15.738713421038581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-2.8421709430404007E-14</v>
      </c>
      <c r="BE169" s="13">
        <f>BD169*VLOOKUP('Données projet'!$B$11,Paramètres!$A$1:$I$89,3,0)*VLOOKUP('Données projet'!$B$11,Paramètres!$A$1:$I$89,5,0)</f>
        <v>-2.3055690689943732E-14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5.8584049049231908</v>
      </c>
      <c r="BJ169" s="59">
        <f t="shared" si="146"/>
        <v>42.266833200216638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1.1234134314982022E-18</v>
      </c>
      <c r="BS169" s="22">
        <f t="shared" si="169"/>
        <v>1.1234134314982022E-18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>
        <f>BY169*VLOOKUP('Données projet'!$B$12,Paramètres!$A$1:$I$89,3,0)*VLOOKUP('Données projet'!$B$12,Paramètres!$A$1:$I$89,5,0)</f>
        <v>0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0</v>
      </c>
      <c r="CE169" s="59">
        <f t="shared" si="148"/>
        <v>0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0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>
        <f>CT169*VLOOKUP('Données projet'!$B$13,Paramètres!$A$1:$I$89,3,0)*VLOOKUP('Données projet'!$B$13,Paramètres!$A$1:$I$89,5,0)</f>
        <v>0</v>
      </c>
      <c r="CV169" s="13" t="e">
        <f t="shared" si="173"/>
        <v>#NUM!</v>
      </c>
      <c r="CW169" s="20" t="e">
        <f t="shared" si="174"/>
        <v>#NUM!</v>
      </c>
      <c r="CX169" s="59" t="e">
        <f t="shared" si="122"/>
        <v>#NUM!</v>
      </c>
      <c r="CY169" s="59">
        <f ca="1">AVERAGE(OFFSET($CX$3,0,0,'Données projet'!$E$13+1,1))-AVERAGE(OFFSET($H$3,0,0,'Données projet'!$E$13+1,1))</f>
        <v>0</v>
      </c>
      <c r="CZ169" s="59">
        <f t="shared" si="150"/>
        <v>0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</v>
      </c>
      <c r="DG169" s="21">
        <f>EXP(-LN(2)/25)*DG168+(1-EXP(-LN(2)/25))/(LN(2)/25)*Calculateur!DB169*Calculateur!DD169*VLOOKUP('Données projet'!$B$13,Paramètres!$A$1:$I$89,3,0)*0.475*44/12</f>
        <v>0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0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>
        <f>DO169*VLOOKUP('Données projet'!$B$14,Paramètres!$A$1:$I$89,3,0)*VLOOKUP('Données projet'!$B$14,Paramètres!$A$1:$I$89,5,0)</f>
        <v>0</v>
      </c>
      <c r="DQ169" s="13" t="e">
        <f t="shared" si="176"/>
        <v>#NUM!</v>
      </c>
      <c r="DR169" s="20" t="e">
        <f t="shared" si="177"/>
        <v>#NUM!</v>
      </c>
      <c r="DS169" s="59" t="e">
        <f t="shared" si="125"/>
        <v>#NUM!</v>
      </c>
      <c r="DT169" s="59">
        <f ca="1">AVERAGE(OFFSET($DS$3,0,0,'Données projet'!$E$14+1,1))-AVERAGE(OFFSET($H$3,0,0,'Données projet'!$E$14+1,1))</f>
        <v>0</v>
      </c>
      <c r="DU169" s="59">
        <f t="shared" si="152"/>
        <v>0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</v>
      </c>
      <c r="EB169" s="21">
        <f>EXP(-LN(2)/25)*EB168+(1-EXP(-LN(2)/25))/(LN(2)/25)*Calculateur!DW169*Calculateur!DY169*VLOOKUP('Données projet'!$B$14,Paramètres!$A$1:$I$89,3,0)*0.475*44/12</f>
        <v>0</v>
      </c>
      <c r="EC169" s="21">
        <f>EXP(-LN(2)/2)*EC168+(1-EXP(-LN(2)/2))/(LN(2)/2)*DW169*DZ169*VLOOKUP('Données projet'!$B$14,Paramètres!$A$1:$I$89,3,0)*0.475*44/12</f>
        <v>0</v>
      </c>
      <c r="ED169" s="22">
        <f t="shared" si="178"/>
        <v>0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>
        <f>EJ169*VLOOKUP('Données projet'!$B$15,Paramètres!$A$1:$I$89,3,0)*VLOOKUP('Données projet'!$B$15,Paramètres!$A$1:$I$89,5,0)</f>
        <v>0</v>
      </c>
      <c r="EL169" s="13" t="e">
        <f t="shared" si="179"/>
        <v>#NUM!</v>
      </c>
      <c r="EM169" s="20" t="e">
        <f t="shared" si="180"/>
        <v>#NUM!</v>
      </c>
      <c r="EN169" s="59" t="e">
        <f t="shared" si="128"/>
        <v>#NUM!</v>
      </c>
      <c r="EO169" s="59">
        <f ca="1">AVERAGE(OFFSET($EN$3,0,0,'Données projet'!$E$15+1,1))-AVERAGE(OFFSET($H$3,0,0,'Données projet'!$E$15+1,1))</f>
        <v>0</v>
      </c>
      <c r="EP169" s="59">
        <f t="shared" si="154"/>
        <v>0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>
        <f>EXP(-LN(2)/35)*EV168+(1-EXP(-LN(2)/35))/(LN(2)/35)*ER169*ES169*VLOOKUP('Données projet'!$B$15,Paramètres!$A$1:$I$89,3,0)*0.475*44/12</f>
        <v>0</v>
      </c>
      <c r="EW169" s="21">
        <f>EXP(-LN(2)/25)*EW168+(1-EXP(-LN(2)/25))/(LN(2)/25)*Calculateur!ER169*Calculateur!ET169*VLOOKUP('Données projet'!$B$15,Paramètres!$A$1:$I$89,3,0)*0.475*44/12</f>
        <v>0</v>
      </c>
      <c r="EX169" s="21">
        <f>EXP(-LN(2)/2)*EX168+(1-EXP(-LN(2)/2))/(LN(2)/2)*ER169*EU169*VLOOKUP('Données projet'!$B$15,Paramètres!$A$1:$I$89,3,0)*0.475*44/12</f>
        <v>0</v>
      </c>
      <c r="EY169" s="22">
        <f t="shared" si="181"/>
        <v>0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>
        <f>FE169*VLOOKUP('Données projet'!$B$16,Paramètres!$A$1:$I$89,3,0)*VLOOKUP('Données projet'!$B$16,Paramètres!$A$1:$I$89,5,0)</f>
        <v>0</v>
      </c>
      <c r="FG169" s="13" t="e">
        <f t="shared" si="182"/>
        <v>#NUM!</v>
      </c>
      <c r="FH169" s="20" t="e">
        <f t="shared" si="183"/>
        <v>#NUM!</v>
      </c>
      <c r="FI169" s="59" t="e">
        <f t="shared" si="131"/>
        <v>#NUM!</v>
      </c>
      <c r="FJ169" s="59">
        <f ca="1">AVERAGE(OFFSET($FI$3,0,0,'Données projet'!$E$16+1,1))-AVERAGE(OFFSET($H$3,0,0,'Données projet'!$E$16+1,1))</f>
        <v>0</v>
      </c>
      <c r="FK169" s="59">
        <f t="shared" si="156"/>
        <v>0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>
        <f>EXP(-LN(2)/35)*FQ168+(1-EXP(-LN(2)/35))/(LN(2)/35)*FM169*FN169*VLOOKUP('Données projet'!$B$16,Paramètres!$A$1:$I$89,3,0)*0.475*44/12</f>
        <v>0</v>
      </c>
      <c r="FR169" s="21">
        <f>EXP(-LN(2)/25)*FR168+(1-EXP(-LN(2)/25))/(LN(2)/25)*Calculateur!FM169*Calculateur!FO169*VLOOKUP('Données projet'!$B$16,Paramètres!$A$1:$I$89,3,0)*0.475*44/12</f>
        <v>0</v>
      </c>
      <c r="FS169" s="21">
        <f>EXP(-LN(2)/2)*FS168+(1-EXP(-LN(2)/2))/(LN(2)/2)*FM169*FP169*VLOOKUP('Données projet'!$B$16,Paramètres!$A$1:$I$89,3,0)*0.475*44/12</f>
        <v>0</v>
      </c>
      <c r="FT169" s="22">
        <f t="shared" si="184"/>
        <v>0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1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186.90544184210381</v>
      </c>
      <c r="T170" s="59">
        <f t="shared" si="142"/>
        <v>202.05988514450519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14.29643324277572</v>
      </c>
      <c r="AA170" s="21">
        <f>EXP(-LN(2)/25)*AA169+(1-EXP(-LN(2)/25))/(LN(2)/25)*Calculateur!V170*Calculateur!X170*VLOOKUP('Données projet'!$B$9,Paramètres!$A$1:$I$89,3,0)*0.475*44/12</f>
        <v>1.1247086406624431</v>
      </c>
      <c r="AB170" s="21">
        <f>EXP(-LN(2)/2)*AB169+(1-EXP(-LN(2)/2))/(LN(2)/2)*V170*Y170*VLOOKUP('Données projet'!$B$9,Paramètres!$A$1:$I$89,3,0)*0.475*44/12</f>
        <v>3.3775658435698178E-15</v>
      </c>
      <c r="AC170" s="22">
        <f t="shared" si="163"/>
        <v>15.421141883438167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>
        <f>AI170*VLOOKUP('Données projet'!$B$10,Paramètres!$A$1:$I$89,3,0)*VLOOKUP('Données projet'!$B$10,Paramètres!$A$1:$I$89,5,0)</f>
        <v>0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186.90544184210381</v>
      </c>
      <c r="AO170" s="59">
        <f t="shared" si="144"/>
        <v>202.05988514450519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14.29643324277572</v>
      </c>
      <c r="AV170" s="21">
        <f>EXP(-LN(2)/25)*AV169+(1-EXP(-LN(2)/25))/(LN(2)/25)*Calculateur!AQ170*Calculateur!AS170*VLOOKUP('Données projet'!$B$10,Paramètres!$A$1:$I$89,3,0)*0.475*44/12</f>
        <v>1.1247086406624431</v>
      </c>
      <c r="AW170" s="21">
        <f>EXP(-LN(2)/2)*AW169+(1-EXP(-LN(2)/2))/(LN(2)/2)*AQ170*AT170*VLOOKUP('Données projet'!$B$10,Paramètres!$A$1:$I$89,3,0)*0.475*44/12</f>
        <v>3.3775658435698178E-15</v>
      </c>
      <c r="AX170" s="21">
        <f t="shared" si="166"/>
        <v>15.421141883438167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-2.8421709430404007E-14</v>
      </c>
      <c r="BE170" s="13">
        <f>BD170*VLOOKUP('Données projet'!$B$11,Paramètres!$A$1:$I$89,3,0)*VLOOKUP('Données projet'!$B$11,Paramètres!$A$1:$I$89,5,0)</f>
        <v>-2.3055690689943732E-14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5.8584049049231908</v>
      </c>
      <c r="BJ170" s="59">
        <f t="shared" si="146"/>
        <v>42.266833200216638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7.9437325548842776E-19</v>
      </c>
      <c r="BS170" s="22">
        <f t="shared" si="169"/>
        <v>7.9437325548842776E-19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>
        <f>BY170*VLOOKUP('Données projet'!$B$12,Paramètres!$A$1:$I$89,3,0)*VLOOKUP('Données projet'!$B$12,Paramètres!$A$1:$I$89,5,0)</f>
        <v>0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0</v>
      </c>
      <c r="CE170" s="59">
        <f t="shared" si="148"/>
        <v>0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0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>
        <f>CT170*VLOOKUP('Données projet'!$B$13,Paramètres!$A$1:$I$89,3,0)*VLOOKUP('Données projet'!$B$13,Paramètres!$A$1:$I$89,5,0)</f>
        <v>0</v>
      </c>
      <c r="CV170" s="13" t="e">
        <f t="shared" si="173"/>
        <v>#NUM!</v>
      </c>
      <c r="CW170" s="20" t="e">
        <f t="shared" si="174"/>
        <v>#NUM!</v>
      </c>
      <c r="CX170" s="59" t="e">
        <f t="shared" si="122"/>
        <v>#NUM!</v>
      </c>
      <c r="CY170" s="59">
        <f ca="1">AVERAGE(OFFSET($CX$3,0,0,'Données projet'!$E$13+1,1))-AVERAGE(OFFSET($H$3,0,0,'Données projet'!$E$13+1,1))</f>
        <v>0</v>
      </c>
      <c r="CZ170" s="59">
        <f t="shared" si="150"/>
        <v>0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</v>
      </c>
      <c r="DG170" s="21">
        <f>EXP(-LN(2)/25)*DG169+(1-EXP(-LN(2)/25))/(LN(2)/25)*Calculateur!DB170*Calculateur!DD170*VLOOKUP('Données projet'!$B$13,Paramètres!$A$1:$I$89,3,0)*0.475*44/12</f>
        <v>0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0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>
        <f>DO170*VLOOKUP('Données projet'!$B$14,Paramètres!$A$1:$I$89,3,0)*VLOOKUP('Données projet'!$B$14,Paramètres!$A$1:$I$89,5,0)</f>
        <v>0</v>
      </c>
      <c r="DQ170" s="13" t="e">
        <f t="shared" si="176"/>
        <v>#NUM!</v>
      </c>
      <c r="DR170" s="20" t="e">
        <f t="shared" si="177"/>
        <v>#NUM!</v>
      </c>
      <c r="DS170" s="59" t="e">
        <f t="shared" si="125"/>
        <v>#NUM!</v>
      </c>
      <c r="DT170" s="59">
        <f ca="1">AVERAGE(OFFSET($DS$3,0,0,'Données projet'!$E$14+1,1))-AVERAGE(OFFSET($H$3,0,0,'Données projet'!$E$14+1,1))</f>
        <v>0</v>
      </c>
      <c r="DU170" s="59">
        <f t="shared" si="152"/>
        <v>0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</v>
      </c>
      <c r="EB170" s="21">
        <f>EXP(-LN(2)/25)*EB169+(1-EXP(-LN(2)/25))/(LN(2)/25)*Calculateur!DW170*Calculateur!DY170*VLOOKUP('Données projet'!$B$14,Paramètres!$A$1:$I$89,3,0)*0.475*44/12</f>
        <v>0</v>
      </c>
      <c r="EC170" s="21">
        <f>EXP(-LN(2)/2)*EC169+(1-EXP(-LN(2)/2))/(LN(2)/2)*DW170*DZ170*VLOOKUP('Données projet'!$B$14,Paramètres!$A$1:$I$89,3,0)*0.475*44/12</f>
        <v>0</v>
      </c>
      <c r="ED170" s="22">
        <f t="shared" si="178"/>
        <v>0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>
        <f>EJ170*VLOOKUP('Données projet'!$B$15,Paramètres!$A$1:$I$89,3,0)*VLOOKUP('Données projet'!$B$15,Paramètres!$A$1:$I$89,5,0)</f>
        <v>0</v>
      </c>
      <c r="EL170" s="13" t="e">
        <f t="shared" si="179"/>
        <v>#NUM!</v>
      </c>
      <c r="EM170" s="20" t="e">
        <f t="shared" si="180"/>
        <v>#NUM!</v>
      </c>
      <c r="EN170" s="59" t="e">
        <f t="shared" si="128"/>
        <v>#NUM!</v>
      </c>
      <c r="EO170" s="59">
        <f ca="1">AVERAGE(OFFSET($EN$3,0,0,'Données projet'!$E$15+1,1))-AVERAGE(OFFSET($H$3,0,0,'Données projet'!$E$15+1,1))</f>
        <v>0</v>
      </c>
      <c r="EP170" s="59">
        <f t="shared" si="154"/>
        <v>0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>
        <f>EXP(-LN(2)/35)*EV169+(1-EXP(-LN(2)/35))/(LN(2)/35)*ER170*ES170*VLOOKUP('Données projet'!$B$15,Paramètres!$A$1:$I$89,3,0)*0.475*44/12</f>
        <v>0</v>
      </c>
      <c r="EW170" s="21">
        <f>EXP(-LN(2)/25)*EW169+(1-EXP(-LN(2)/25))/(LN(2)/25)*Calculateur!ER170*Calculateur!ET170*VLOOKUP('Données projet'!$B$15,Paramètres!$A$1:$I$89,3,0)*0.475*44/12</f>
        <v>0</v>
      </c>
      <c r="EX170" s="21">
        <f>EXP(-LN(2)/2)*EX169+(1-EXP(-LN(2)/2))/(LN(2)/2)*ER170*EU170*VLOOKUP('Données projet'!$B$15,Paramètres!$A$1:$I$89,3,0)*0.475*44/12</f>
        <v>0</v>
      </c>
      <c r="EY170" s="22">
        <f t="shared" si="181"/>
        <v>0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>
        <f>FE170*VLOOKUP('Données projet'!$B$16,Paramètres!$A$1:$I$89,3,0)*VLOOKUP('Données projet'!$B$16,Paramètres!$A$1:$I$89,5,0)</f>
        <v>0</v>
      </c>
      <c r="FG170" s="13" t="e">
        <f t="shared" si="182"/>
        <v>#NUM!</v>
      </c>
      <c r="FH170" s="20" t="e">
        <f t="shared" si="183"/>
        <v>#NUM!</v>
      </c>
      <c r="FI170" s="59" t="e">
        <f t="shared" si="131"/>
        <v>#NUM!</v>
      </c>
      <c r="FJ170" s="59">
        <f ca="1">AVERAGE(OFFSET($FI$3,0,0,'Données projet'!$E$16+1,1))-AVERAGE(OFFSET($H$3,0,0,'Données projet'!$E$16+1,1))</f>
        <v>0</v>
      </c>
      <c r="FK170" s="59">
        <f t="shared" si="156"/>
        <v>0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>
        <f>EXP(-LN(2)/35)*FQ169+(1-EXP(-LN(2)/35))/(LN(2)/35)*FM170*FN170*VLOOKUP('Données projet'!$B$16,Paramètres!$A$1:$I$89,3,0)*0.475*44/12</f>
        <v>0</v>
      </c>
      <c r="FR170" s="21">
        <f>EXP(-LN(2)/25)*FR169+(1-EXP(-LN(2)/25))/(LN(2)/25)*Calculateur!FM170*Calculateur!FO170*VLOOKUP('Données projet'!$B$16,Paramètres!$A$1:$I$89,3,0)*0.475*44/12</f>
        <v>0</v>
      </c>
      <c r="FS170" s="21">
        <f>EXP(-LN(2)/2)*FS169+(1-EXP(-LN(2)/2))/(LN(2)/2)*FM170*FP170*VLOOKUP('Données projet'!$B$16,Paramètres!$A$1:$I$89,3,0)*0.475*44/12</f>
        <v>0</v>
      </c>
      <c r="FT170" s="22">
        <f t="shared" si="184"/>
        <v>0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1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186.90544184210381</v>
      </c>
      <c r="T171" s="59">
        <f t="shared" si="142"/>
        <v>202.05988514450519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14.016088906848141</v>
      </c>
      <c r="AA171" s="21">
        <f>EXP(-LN(2)/25)*AA170+(1-EXP(-LN(2)/25))/(LN(2)/25)*Calculateur!V171*Calculateur!X171*VLOOKUP('Données projet'!$B$9,Paramètres!$A$1:$I$89,3,0)*0.475*44/12</f>
        <v>1.0939534237376718</v>
      </c>
      <c r="AB171" s="21">
        <f>EXP(-LN(2)/2)*AB170+(1-EXP(-LN(2)/2))/(LN(2)/2)*V171*Y171*VLOOKUP('Données projet'!$B$9,Paramètres!$A$1:$I$89,3,0)*0.475*44/12</f>
        <v>2.3882997118922799E-15</v>
      </c>
      <c r="AC171" s="22">
        <f t="shared" si="163"/>
        <v>15.110042330585815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>
        <f>AI171*VLOOKUP('Données projet'!$B$10,Paramètres!$A$1:$I$89,3,0)*VLOOKUP('Données projet'!$B$10,Paramètres!$A$1:$I$89,5,0)</f>
        <v>0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186.90544184210381</v>
      </c>
      <c r="AO171" s="59">
        <f t="shared" si="144"/>
        <v>202.05988514450519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14.016088906848141</v>
      </c>
      <c r="AV171" s="21">
        <f>EXP(-LN(2)/25)*AV170+(1-EXP(-LN(2)/25))/(LN(2)/25)*Calculateur!AQ171*Calculateur!AS171*VLOOKUP('Données projet'!$B$10,Paramètres!$A$1:$I$89,3,0)*0.475*44/12</f>
        <v>1.0939534237376718</v>
      </c>
      <c r="AW171" s="21">
        <f>EXP(-LN(2)/2)*AW170+(1-EXP(-LN(2)/2))/(LN(2)/2)*AQ171*AT171*VLOOKUP('Données projet'!$B$10,Paramètres!$A$1:$I$89,3,0)*0.475*44/12</f>
        <v>2.3882997118922799E-15</v>
      </c>
      <c r="AX171" s="21">
        <f t="shared" si="166"/>
        <v>15.110042330585815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-2.8421709430404007E-14</v>
      </c>
      <c r="BE171" s="13">
        <f>BD171*VLOOKUP('Données projet'!$B$11,Paramètres!$A$1:$I$89,3,0)*VLOOKUP('Données projet'!$B$11,Paramètres!$A$1:$I$89,5,0)</f>
        <v>-2.3055690689943732E-14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5.8584049049231908</v>
      </c>
      <c r="BJ171" s="59">
        <f t="shared" si="146"/>
        <v>42.266833200216638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5.6170671574910109E-19</v>
      </c>
      <c r="BS171" s="22">
        <f t="shared" si="169"/>
        <v>5.6170671574910109E-19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>
        <f>BY171*VLOOKUP('Données projet'!$B$12,Paramètres!$A$1:$I$89,3,0)*VLOOKUP('Données projet'!$B$12,Paramètres!$A$1:$I$89,5,0)</f>
        <v>0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0</v>
      </c>
      <c r="CE171" s="59">
        <f t="shared" si="148"/>
        <v>0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0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>
        <f>CT171*VLOOKUP('Données projet'!$B$13,Paramètres!$A$1:$I$89,3,0)*VLOOKUP('Données projet'!$B$13,Paramètres!$A$1:$I$89,5,0)</f>
        <v>0</v>
      </c>
      <c r="CV171" s="13" t="e">
        <f t="shared" si="173"/>
        <v>#NUM!</v>
      </c>
      <c r="CW171" s="20" t="e">
        <f t="shared" si="174"/>
        <v>#NUM!</v>
      </c>
      <c r="CX171" s="59" t="e">
        <f t="shared" si="122"/>
        <v>#NUM!</v>
      </c>
      <c r="CY171" s="59">
        <f ca="1">AVERAGE(OFFSET($CX$3,0,0,'Données projet'!$E$13+1,1))-AVERAGE(OFFSET($H$3,0,0,'Données projet'!$E$13+1,1))</f>
        <v>0</v>
      </c>
      <c r="CZ171" s="59">
        <f t="shared" si="150"/>
        <v>0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</v>
      </c>
      <c r="DG171" s="21">
        <f>EXP(-LN(2)/25)*DG170+(1-EXP(-LN(2)/25))/(LN(2)/25)*Calculateur!DB171*Calculateur!DD171*VLOOKUP('Données projet'!$B$13,Paramètres!$A$1:$I$89,3,0)*0.475*44/12</f>
        <v>0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0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>
        <f>DO171*VLOOKUP('Données projet'!$B$14,Paramètres!$A$1:$I$89,3,0)*VLOOKUP('Données projet'!$B$14,Paramètres!$A$1:$I$89,5,0)</f>
        <v>0</v>
      </c>
      <c r="DQ171" s="13" t="e">
        <f t="shared" si="176"/>
        <v>#NUM!</v>
      </c>
      <c r="DR171" s="20" t="e">
        <f t="shared" si="177"/>
        <v>#NUM!</v>
      </c>
      <c r="DS171" s="59" t="e">
        <f t="shared" si="125"/>
        <v>#NUM!</v>
      </c>
      <c r="DT171" s="59">
        <f ca="1">AVERAGE(OFFSET($DS$3,0,0,'Données projet'!$E$14+1,1))-AVERAGE(OFFSET($H$3,0,0,'Données projet'!$E$14+1,1))</f>
        <v>0</v>
      </c>
      <c r="DU171" s="59">
        <f t="shared" si="152"/>
        <v>0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</v>
      </c>
      <c r="EB171" s="21">
        <f>EXP(-LN(2)/25)*EB170+(1-EXP(-LN(2)/25))/(LN(2)/25)*Calculateur!DW171*Calculateur!DY171*VLOOKUP('Données projet'!$B$14,Paramètres!$A$1:$I$89,3,0)*0.475*44/12</f>
        <v>0</v>
      </c>
      <c r="EC171" s="21">
        <f>EXP(-LN(2)/2)*EC170+(1-EXP(-LN(2)/2))/(LN(2)/2)*DW171*DZ171*VLOOKUP('Données projet'!$B$14,Paramètres!$A$1:$I$89,3,0)*0.475*44/12</f>
        <v>0</v>
      </c>
      <c r="ED171" s="22">
        <f t="shared" si="178"/>
        <v>0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>
        <f>EJ171*VLOOKUP('Données projet'!$B$15,Paramètres!$A$1:$I$89,3,0)*VLOOKUP('Données projet'!$B$15,Paramètres!$A$1:$I$89,5,0)</f>
        <v>0</v>
      </c>
      <c r="EL171" s="13" t="e">
        <f t="shared" si="179"/>
        <v>#NUM!</v>
      </c>
      <c r="EM171" s="20" t="e">
        <f t="shared" si="180"/>
        <v>#NUM!</v>
      </c>
      <c r="EN171" s="59" t="e">
        <f t="shared" si="128"/>
        <v>#NUM!</v>
      </c>
      <c r="EO171" s="59">
        <f ca="1">AVERAGE(OFFSET($EN$3,0,0,'Données projet'!$E$15+1,1))-AVERAGE(OFFSET($H$3,0,0,'Données projet'!$E$15+1,1))</f>
        <v>0</v>
      </c>
      <c r="EP171" s="59">
        <f t="shared" si="154"/>
        <v>0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>
        <f>EXP(-LN(2)/35)*EV170+(1-EXP(-LN(2)/35))/(LN(2)/35)*ER171*ES171*VLOOKUP('Données projet'!$B$15,Paramètres!$A$1:$I$89,3,0)*0.475*44/12</f>
        <v>0</v>
      </c>
      <c r="EW171" s="21">
        <f>EXP(-LN(2)/25)*EW170+(1-EXP(-LN(2)/25))/(LN(2)/25)*Calculateur!ER171*Calculateur!ET171*VLOOKUP('Données projet'!$B$15,Paramètres!$A$1:$I$89,3,0)*0.475*44/12</f>
        <v>0</v>
      </c>
      <c r="EX171" s="21">
        <f>EXP(-LN(2)/2)*EX170+(1-EXP(-LN(2)/2))/(LN(2)/2)*ER171*EU171*VLOOKUP('Données projet'!$B$15,Paramètres!$A$1:$I$89,3,0)*0.475*44/12</f>
        <v>0</v>
      </c>
      <c r="EY171" s="22">
        <f t="shared" si="181"/>
        <v>0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>
        <f>FE171*VLOOKUP('Données projet'!$B$16,Paramètres!$A$1:$I$89,3,0)*VLOOKUP('Données projet'!$B$16,Paramètres!$A$1:$I$89,5,0)</f>
        <v>0</v>
      </c>
      <c r="FG171" s="13" t="e">
        <f t="shared" si="182"/>
        <v>#NUM!</v>
      </c>
      <c r="FH171" s="20" t="e">
        <f t="shared" si="183"/>
        <v>#NUM!</v>
      </c>
      <c r="FI171" s="59" t="e">
        <f t="shared" si="131"/>
        <v>#NUM!</v>
      </c>
      <c r="FJ171" s="59">
        <f ca="1">AVERAGE(OFFSET($FI$3,0,0,'Données projet'!$E$16+1,1))-AVERAGE(OFFSET($H$3,0,0,'Données projet'!$E$16+1,1))</f>
        <v>0</v>
      </c>
      <c r="FK171" s="59">
        <f t="shared" si="156"/>
        <v>0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>
        <f>EXP(-LN(2)/35)*FQ170+(1-EXP(-LN(2)/35))/(LN(2)/35)*FM171*FN171*VLOOKUP('Données projet'!$B$16,Paramètres!$A$1:$I$89,3,0)*0.475*44/12</f>
        <v>0</v>
      </c>
      <c r="FR171" s="21">
        <f>EXP(-LN(2)/25)*FR170+(1-EXP(-LN(2)/25))/(LN(2)/25)*Calculateur!FM171*Calculateur!FO171*VLOOKUP('Données projet'!$B$16,Paramètres!$A$1:$I$89,3,0)*0.475*44/12</f>
        <v>0</v>
      </c>
      <c r="FS171" s="21">
        <f>EXP(-LN(2)/2)*FS170+(1-EXP(-LN(2)/2))/(LN(2)/2)*FM171*FP171*VLOOKUP('Données projet'!$B$16,Paramètres!$A$1:$I$89,3,0)*0.475*44/12</f>
        <v>0</v>
      </c>
      <c r="FT171" s="22">
        <f t="shared" si="184"/>
        <v>0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1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186.90544184210381</v>
      </c>
      <c r="T172" s="59">
        <f t="shared" si="142"/>
        <v>202.05988514450519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13.741241952354942</v>
      </c>
      <c r="AA172" s="21">
        <f>EXP(-LN(2)/25)*AA171+(1-EXP(-LN(2)/25))/(LN(2)/25)*Calculateur!V172*Calculateur!X172*VLOOKUP('Données projet'!$B$9,Paramètres!$A$1:$I$89,3,0)*0.475*44/12</f>
        <v>1.0640392098370548</v>
      </c>
      <c r="AB172" s="21">
        <f>EXP(-LN(2)/2)*AB171+(1-EXP(-LN(2)/2))/(LN(2)/2)*V172*Y172*VLOOKUP('Données projet'!$B$9,Paramètres!$A$1:$I$89,3,0)*0.475*44/12</f>
        <v>1.6887829217849089E-15</v>
      </c>
      <c r="AC172" s="22">
        <f t="shared" si="163"/>
        <v>14.805281162191999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>
        <f>AI172*VLOOKUP('Données projet'!$B$10,Paramètres!$A$1:$I$89,3,0)*VLOOKUP('Données projet'!$B$10,Paramètres!$A$1:$I$89,5,0)</f>
        <v>0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186.90544184210381</v>
      </c>
      <c r="AO172" s="59">
        <f t="shared" si="144"/>
        <v>202.05988514450519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13.741241952354942</v>
      </c>
      <c r="AV172" s="21">
        <f>EXP(-LN(2)/25)*AV171+(1-EXP(-LN(2)/25))/(LN(2)/25)*Calculateur!AQ172*Calculateur!AS172*VLOOKUP('Données projet'!$B$10,Paramètres!$A$1:$I$89,3,0)*0.475*44/12</f>
        <v>1.0640392098370548</v>
      </c>
      <c r="AW172" s="21">
        <f>EXP(-LN(2)/2)*AW171+(1-EXP(-LN(2)/2))/(LN(2)/2)*AQ172*AT172*VLOOKUP('Données projet'!$B$10,Paramètres!$A$1:$I$89,3,0)*0.475*44/12</f>
        <v>1.6887829217849089E-15</v>
      </c>
      <c r="AX172" s="21">
        <f t="shared" si="166"/>
        <v>14.805281162191999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-2.8421709430404007E-14</v>
      </c>
      <c r="BE172" s="13">
        <f>BD172*VLOOKUP('Données projet'!$B$11,Paramètres!$A$1:$I$89,3,0)*VLOOKUP('Données projet'!$B$11,Paramètres!$A$1:$I$89,5,0)</f>
        <v>-2.3055690689943732E-14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5.8584049049231908</v>
      </c>
      <c r="BJ172" s="59">
        <f t="shared" si="146"/>
        <v>42.266833200216638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3.9718662774421388E-19</v>
      </c>
      <c r="BS172" s="22">
        <f t="shared" si="169"/>
        <v>3.9718662774421388E-19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>
        <f>BY172*VLOOKUP('Données projet'!$B$12,Paramètres!$A$1:$I$89,3,0)*VLOOKUP('Données projet'!$B$12,Paramètres!$A$1:$I$89,5,0)</f>
        <v>0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0</v>
      </c>
      <c r="CE172" s="59">
        <f t="shared" si="148"/>
        <v>0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0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>
        <f>CT172*VLOOKUP('Données projet'!$B$13,Paramètres!$A$1:$I$89,3,0)*VLOOKUP('Données projet'!$B$13,Paramètres!$A$1:$I$89,5,0)</f>
        <v>0</v>
      </c>
      <c r="CV172" s="13" t="e">
        <f t="shared" si="173"/>
        <v>#NUM!</v>
      </c>
      <c r="CW172" s="20" t="e">
        <f t="shared" si="174"/>
        <v>#NUM!</v>
      </c>
      <c r="CX172" s="59" t="e">
        <f t="shared" si="122"/>
        <v>#NUM!</v>
      </c>
      <c r="CY172" s="59">
        <f ca="1">AVERAGE(OFFSET($CX$3,0,0,'Données projet'!$E$13+1,1))-AVERAGE(OFFSET($H$3,0,0,'Données projet'!$E$13+1,1))</f>
        <v>0</v>
      </c>
      <c r="CZ172" s="59">
        <f t="shared" si="150"/>
        <v>0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</v>
      </c>
      <c r="DG172" s="21">
        <f>EXP(-LN(2)/25)*DG171+(1-EXP(-LN(2)/25))/(LN(2)/25)*Calculateur!DB172*Calculateur!DD172*VLOOKUP('Données projet'!$B$13,Paramètres!$A$1:$I$89,3,0)*0.475*44/12</f>
        <v>0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0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>
        <f>DO172*VLOOKUP('Données projet'!$B$14,Paramètres!$A$1:$I$89,3,0)*VLOOKUP('Données projet'!$B$14,Paramètres!$A$1:$I$89,5,0)</f>
        <v>0</v>
      </c>
      <c r="DQ172" s="13" t="e">
        <f t="shared" si="176"/>
        <v>#NUM!</v>
      </c>
      <c r="DR172" s="20" t="e">
        <f t="shared" si="177"/>
        <v>#NUM!</v>
      </c>
      <c r="DS172" s="59" t="e">
        <f t="shared" si="125"/>
        <v>#NUM!</v>
      </c>
      <c r="DT172" s="59">
        <f ca="1">AVERAGE(OFFSET($DS$3,0,0,'Données projet'!$E$14+1,1))-AVERAGE(OFFSET($H$3,0,0,'Données projet'!$E$14+1,1))</f>
        <v>0</v>
      </c>
      <c r="DU172" s="59">
        <f t="shared" si="152"/>
        <v>0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</v>
      </c>
      <c r="EB172" s="21">
        <f>EXP(-LN(2)/25)*EB171+(1-EXP(-LN(2)/25))/(LN(2)/25)*Calculateur!DW172*Calculateur!DY172*VLOOKUP('Données projet'!$B$14,Paramètres!$A$1:$I$89,3,0)*0.475*44/12</f>
        <v>0</v>
      </c>
      <c r="EC172" s="21">
        <f>EXP(-LN(2)/2)*EC171+(1-EXP(-LN(2)/2))/(LN(2)/2)*DW172*DZ172*VLOOKUP('Données projet'!$B$14,Paramètres!$A$1:$I$89,3,0)*0.475*44/12</f>
        <v>0</v>
      </c>
      <c r="ED172" s="22">
        <f t="shared" si="178"/>
        <v>0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>
        <f>EJ172*VLOOKUP('Données projet'!$B$15,Paramètres!$A$1:$I$89,3,0)*VLOOKUP('Données projet'!$B$15,Paramètres!$A$1:$I$89,5,0)</f>
        <v>0</v>
      </c>
      <c r="EL172" s="13" t="e">
        <f t="shared" si="179"/>
        <v>#NUM!</v>
      </c>
      <c r="EM172" s="20" t="e">
        <f t="shared" si="180"/>
        <v>#NUM!</v>
      </c>
      <c r="EN172" s="59" t="e">
        <f t="shared" si="128"/>
        <v>#NUM!</v>
      </c>
      <c r="EO172" s="59">
        <f ca="1">AVERAGE(OFFSET($EN$3,0,0,'Données projet'!$E$15+1,1))-AVERAGE(OFFSET($H$3,0,0,'Données projet'!$E$15+1,1))</f>
        <v>0</v>
      </c>
      <c r="EP172" s="59">
        <f t="shared" si="154"/>
        <v>0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>
        <f>EXP(-LN(2)/35)*EV171+(1-EXP(-LN(2)/35))/(LN(2)/35)*ER172*ES172*VLOOKUP('Données projet'!$B$15,Paramètres!$A$1:$I$89,3,0)*0.475*44/12</f>
        <v>0</v>
      </c>
      <c r="EW172" s="21">
        <f>EXP(-LN(2)/25)*EW171+(1-EXP(-LN(2)/25))/(LN(2)/25)*Calculateur!ER172*Calculateur!ET172*VLOOKUP('Données projet'!$B$15,Paramètres!$A$1:$I$89,3,0)*0.475*44/12</f>
        <v>0</v>
      </c>
      <c r="EX172" s="21">
        <f>EXP(-LN(2)/2)*EX171+(1-EXP(-LN(2)/2))/(LN(2)/2)*ER172*EU172*VLOOKUP('Données projet'!$B$15,Paramètres!$A$1:$I$89,3,0)*0.475*44/12</f>
        <v>0</v>
      </c>
      <c r="EY172" s="22">
        <f t="shared" si="181"/>
        <v>0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>
        <f>FE172*VLOOKUP('Données projet'!$B$16,Paramètres!$A$1:$I$89,3,0)*VLOOKUP('Données projet'!$B$16,Paramètres!$A$1:$I$89,5,0)</f>
        <v>0</v>
      </c>
      <c r="FG172" s="13" t="e">
        <f t="shared" si="182"/>
        <v>#NUM!</v>
      </c>
      <c r="FH172" s="20" t="e">
        <f t="shared" si="183"/>
        <v>#NUM!</v>
      </c>
      <c r="FI172" s="59" t="e">
        <f t="shared" si="131"/>
        <v>#NUM!</v>
      </c>
      <c r="FJ172" s="59">
        <f ca="1">AVERAGE(OFFSET($FI$3,0,0,'Données projet'!$E$16+1,1))-AVERAGE(OFFSET($H$3,0,0,'Données projet'!$E$16+1,1))</f>
        <v>0</v>
      </c>
      <c r="FK172" s="59">
        <f t="shared" si="156"/>
        <v>0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>
        <f>EXP(-LN(2)/35)*FQ171+(1-EXP(-LN(2)/35))/(LN(2)/35)*FM172*FN172*VLOOKUP('Données projet'!$B$16,Paramètres!$A$1:$I$89,3,0)*0.475*44/12</f>
        <v>0</v>
      </c>
      <c r="FR172" s="21">
        <f>EXP(-LN(2)/25)*FR171+(1-EXP(-LN(2)/25))/(LN(2)/25)*Calculateur!FM172*Calculateur!FO172*VLOOKUP('Données projet'!$B$16,Paramètres!$A$1:$I$89,3,0)*0.475*44/12</f>
        <v>0</v>
      </c>
      <c r="FS172" s="21">
        <f>EXP(-LN(2)/2)*FS171+(1-EXP(-LN(2)/2))/(LN(2)/2)*FM172*FP172*VLOOKUP('Données projet'!$B$16,Paramètres!$A$1:$I$89,3,0)*0.475*44/12</f>
        <v>0</v>
      </c>
      <c r="FT172" s="22">
        <f t="shared" si="184"/>
        <v>0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1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186.90544184210381</v>
      </c>
      <c r="T173" s="59">
        <f t="shared" si="142"/>
        <v>202.05988514450519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13.471784578999266</v>
      </c>
      <c r="AA173" s="21">
        <f>EXP(-LN(2)/25)*AA172+(1-EXP(-LN(2)/25))/(LN(2)/25)*Calculateur!V173*Calculateur!X173*VLOOKUP('Données projet'!$B$9,Paramètres!$A$1:$I$89,3,0)*0.475*44/12</f>
        <v>1.0349430016886705</v>
      </c>
      <c r="AB173" s="21">
        <f>EXP(-LN(2)/2)*AB172+(1-EXP(-LN(2)/2))/(LN(2)/2)*V173*Y173*VLOOKUP('Données projet'!$B$9,Paramètres!$A$1:$I$89,3,0)*0.475*44/12</f>
        <v>1.19414985594614E-15</v>
      </c>
      <c r="AC173" s="22">
        <f t="shared" si="163"/>
        <v>14.506727580687938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>
        <f>AI173*VLOOKUP('Données projet'!$B$10,Paramètres!$A$1:$I$89,3,0)*VLOOKUP('Données projet'!$B$10,Paramètres!$A$1:$I$89,5,0)</f>
        <v>0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186.90544184210381</v>
      </c>
      <c r="AO173" s="59">
        <f t="shared" si="144"/>
        <v>202.05988514450519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13.471784578999266</v>
      </c>
      <c r="AV173" s="21">
        <f>EXP(-LN(2)/25)*AV172+(1-EXP(-LN(2)/25))/(LN(2)/25)*Calculateur!AQ173*Calculateur!AS173*VLOOKUP('Données projet'!$B$10,Paramètres!$A$1:$I$89,3,0)*0.475*44/12</f>
        <v>1.0349430016886705</v>
      </c>
      <c r="AW173" s="21">
        <f>EXP(-LN(2)/2)*AW172+(1-EXP(-LN(2)/2))/(LN(2)/2)*AQ173*AT173*VLOOKUP('Données projet'!$B$10,Paramètres!$A$1:$I$89,3,0)*0.475*44/12</f>
        <v>1.19414985594614E-15</v>
      </c>
      <c r="AX173" s="21">
        <f t="shared" si="166"/>
        <v>14.506727580687938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-2.8421709430404007E-14</v>
      </c>
      <c r="BE173" s="13">
        <f>BD173*VLOOKUP('Données projet'!$B$11,Paramètres!$A$1:$I$89,3,0)*VLOOKUP('Données projet'!$B$11,Paramètres!$A$1:$I$89,5,0)</f>
        <v>-2.3055690689943732E-14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5.8584049049231908</v>
      </c>
      <c r="BJ173" s="59">
        <f t="shared" si="146"/>
        <v>42.266833200216638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2.8085335787455055E-19</v>
      </c>
      <c r="BS173" s="22">
        <f t="shared" si="169"/>
        <v>2.8085335787455055E-19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>
        <f>BY173*VLOOKUP('Données projet'!$B$12,Paramètres!$A$1:$I$89,3,0)*VLOOKUP('Données projet'!$B$12,Paramètres!$A$1:$I$89,5,0)</f>
        <v>0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0</v>
      </c>
      <c r="CE173" s="59">
        <f t="shared" si="148"/>
        <v>0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0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>
        <f>CT173*VLOOKUP('Données projet'!$B$13,Paramètres!$A$1:$I$89,3,0)*VLOOKUP('Données projet'!$B$13,Paramètres!$A$1:$I$89,5,0)</f>
        <v>0</v>
      </c>
      <c r="CV173" s="13" t="e">
        <f t="shared" si="173"/>
        <v>#NUM!</v>
      </c>
      <c r="CW173" s="20" t="e">
        <f t="shared" si="174"/>
        <v>#NUM!</v>
      </c>
      <c r="CX173" s="59" t="e">
        <f t="shared" si="122"/>
        <v>#NUM!</v>
      </c>
      <c r="CY173" s="59">
        <f ca="1">AVERAGE(OFFSET($CX$3,0,0,'Données projet'!$E$13+1,1))-AVERAGE(OFFSET($H$3,0,0,'Données projet'!$E$13+1,1))</f>
        <v>0</v>
      </c>
      <c r="CZ173" s="59">
        <f t="shared" si="150"/>
        <v>0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</v>
      </c>
      <c r="DG173" s="21">
        <f>EXP(-LN(2)/25)*DG172+(1-EXP(-LN(2)/25))/(LN(2)/25)*Calculateur!DB173*Calculateur!DD173*VLOOKUP('Données projet'!$B$13,Paramètres!$A$1:$I$89,3,0)*0.475*44/12</f>
        <v>0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0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>
        <f>DO173*VLOOKUP('Données projet'!$B$14,Paramètres!$A$1:$I$89,3,0)*VLOOKUP('Données projet'!$B$14,Paramètres!$A$1:$I$89,5,0)</f>
        <v>0</v>
      </c>
      <c r="DQ173" s="13" t="e">
        <f t="shared" si="176"/>
        <v>#NUM!</v>
      </c>
      <c r="DR173" s="20" t="e">
        <f t="shared" si="177"/>
        <v>#NUM!</v>
      </c>
      <c r="DS173" s="59" t="e">
        <f t="shared" si="125"/>
        <v>#NUM!</v>
      </c>
      <c r="DT173" s="59">
        <f ca="1">AVERAGE(OFFSET($DS$3,0,0,'Données projet'!$E$14+1,1))-AVERAGE(OFFSET($H$3,0,0,'Données projet'!$E$14+1,1))</f>
        <v>0</v>
      </c>
      <c r="DU173" s="59">
        <f t="shared" si="152"/>
        <v>0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</v>
      </c>
      <c r="EB173" s="21">
        <f>EXP(-LN(2)/25)*EB172+(1-EXP(-LN(2)/25))/(LN(2)/25)*Calculateur!DW173*Calculateur!DY173*VLOOKUP('Données projet'!$B$14,Paramètres!$A$1:$I$89,3,0)*0.475*44/12</f>
        <v>0</v>
      </c>
      <c r="EC173" s="21">
        <f>EXP(-LN(2)/2)*EC172+(1-EXP(-LN(2)/2))/(LN(2)/2)*DW173*DZ173*VLOOKUP('Données projet'!$B$14,Paramètres!$A$1:$I$89,3,0)*0.475*44/12</f>
        <v>0</v>
      </c>
      <c r="ED173" s="22">
        <f t="shared" si="178"/>
        <v>0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>
        <f>EJ173*VLOOKUP('Données projet'!$B$15,Paramètres!$A$1:$I$89,3,0)*VLOOKUP('Données projet'!$B$15,Paramètres!$A$1:$I$89,5,0)</f>
        <v>0</v>
      </c>
      <c r="EL173" s="13" t="e">
        <f t="shared" si="179"/>
        <v>#NUM!</v>
      </c>
      <c r="EM173" s="20" t="e">
        <f t="shared" si="180"/>
        <v>#NUM!</v>
      </c>
      <c r="EN173" s="59" t="e">
        <f t="shared" si="128"/>
        <v>#NUM!</v>
      </c>
      <c r="EO173" s="59">
        <f ca="1">AVERAGE(OFFSET($EN$3,0,0,'Données projet'!$E$15+1,1))-AVERAGE(OFFSET($H$3,0,0,'Données projet'!$E$15+1,1))</f>
        <v>0</v>
      </c>
      <c r="EP173" s="59">
        <f t="shared" si="154"/>
        <v>0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>
        <f>EXP(-LN(2)/35)*EV172+(1-EXP(-LN(2)/35))/(LN(2)/35)*ER173*ES173*VLOOKUP('Données projet'!$B$15,Paramètres!$A$1:$I$89,3,0)*0.475*44/12</f>
        <v>0</v>
      </c>
      <c r="EW173" s="21">
        <f>EXP(-LN(2)/25)*EW172+(1-EXP(-LN(2)/25))/(LN(2)/25)*Calculateur!ER173*Calculateur!ET173*VLOOKUP('Données projet'!$B$15,Paramètres!$A$1:$I$89,3,0)*0.475*44/12</f>
        <v>0</v>
      </c>
      <c r="EX173" s="21">
        <f>EXP(-LN(2)/2)*EX172+(1-EXP(-LN(2)/2))/(LN(2)/2)*ER173*EU173*VLOOKUP('Données projet'!$B$15,Paramètres!$A$1:$I$89,3,0)*0.475*44/12</f>
        <v>0</v>
      </c>
      <c r="EY173" s="22">
        <f t="shared" si="181"/>
        <v>0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>
        <f>FE173*VLOOKUP('Données projet'!$B$16,Paramètres!$A$1:$I$89,3,0)*VLOOKUP('Données projet'!$B$16,Paramètres!$A$1:$I$89,5,0)</f>
        <v>0</v>
      </c>
      <c r="FG173" s="13" t="e">
        <f t="shared" si="182"/>
        <v>#NUM!</v>
      </c>
      <c r="FH173" s="20" t="e">
        <f t="shared" si="183"/>
        <v>#NUM!</v>
      </c>
      <c r="FI173" s="59" t="e">
        <f t="shared" si="131"/>
        <v>#NUM!</v>
      </c>
      <c r="FJ173" s="59">
        <f ca="1">AVERAGE(OFFSET($FI$3,0,0,'Données projet'!$E$16+1,1))-AVERAGE(OFFSET($H$3,0,0,'Données projet'!$E$16+1,1))</f>
        <v>0</v>
      </c>
      <c r="FK173" s="59">
        <f t="shared" si="156"/>
        <v>0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>
        <f>EXP(-LN(2)/35)*FQ172+(1-EXP(-LN(2)/35))/(LN(2)/35)*FM173*FN173*VLOOKUP('Données projet'!$B$16,Paramètres!$A$1:$I$89,3,0)*0.475*44/12</f>
        <v>0</v>
      </c>
      <c r="FR173" s="21">
        <f>EXP(-LN(2)/25)*FR172+(1-EXP(-LN(2)/25))/(LN(2)/25)*Calculateur!FM173*Calculateur!FO173*VLOOKUP('Données projet'!$B$16,Paramètres!$A$1:$I$89,3,0)*0.475*44/12</f>
        <v>0</v>
      </c>
      <c r="FS173" s="21">
        <f>EXP(-LN(2)/2)*FS172+(1-EXP(-LN(2)/2))/(LN(2)/2)*FM173*FP173*VLOOKUP('Données projet'!$B$16,Paramètres!$A$1:$I$89,3,0)*0.475*44/12</f>
        <v>0</v>
      </c>
      <c r="FT173" s="22">
        <f t="shared" si="184"/>
        <v>0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1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186.90544184210381</v>
      </c>
      <c r="T174" s="59">
        <f t="shared" si="142"/>
        <v>202.05988514450519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13.207611100382325</v>
      </c>
      <c r="AA174" s="21">
        <f>EXP(-LN(2)/25)*AA173+(1-EXP(-LN(2)/25))/(LN(2)/25)*Calculateur!V174*Calculateur!X174*VLOOKUP('Données projet'!$B$9,Paramètres!$A$1:$I$89,3,0)*0.475*44/12</f>
        <v>1.0066424308822066</v>
      </c>
      <c r="AB174" s="21">
        <f>EXP(-LN(2)/2)*AB173+(1-EXP(-LN(2)/2))/(LN(2)/2)*V174*Y174*VLOOKUP('Données projet'!$B$9,Paramètres!$A$1:$I$89,3,0)*0.475*44/12</f>
        <v>8.4439146089245445E-16</v>
      </c>
      <c r="AC174" s="22">
        <f t="shared" si="163"/>
        <v>14.214253531264532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>
        <f>AI174*VLOOKUP('Données projet'!$B$10,Paramètres!$A$1:$I$89,3,0)*VLOOKUP('Données projet'!$B$10,Paramètres!$A$1:$I$89,5,0)</f>
        <v>0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186.90544184210381</v>
      </c>
      <c r="AO174" s="59">
        <f t="shared" si="144"/>
        <v>202.05988514450519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13.207611100382325</v>
      </c>
      <c r="AV174" s="21">
        <f>EXP(-LN(2)/25)*AV173+(1-EXP(-LN(2)/25))/(LN(2)/25)*Calculateur!AQ174*Calculateur!AS174*VLOOKUP('Données projet'!$B$10,Paramètres!$A$1:$I$89,3,0)*0.475*44/12</f>
        <v>1.0066424308822066</v>
      </c>
      <c r="AW174" s="21">
        <f>EXP(-LN(2)/2)*AW173+(1-EXP(-LN(2)/2))/(LN(2)/2)*AQ174*AT174*VLOOKUP('Données projet'!$B$10,Paramètres!$A$1:$I$89,3,0)*0.475*44/12</f>
        <v>8.4439146089245445E-16</v>
      </c>
      <c r="AX174" s="21">
        <f t="shared" si="166"/>
        <v>14.214253531264532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-2.8421709430404007E-14</v>
      </c>
      <c r="BE174" s="13">
        <f>BD174*VLOOKUP('Données projet'!$B$11,Paramètres!$A$1:$I$89,3,0)*VLOOKUP('Données projet'!$B$11,Paramètres!$A$1:$I$89,5,0)</f>
        <v>-2.3055690689943732E-14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5.8584049049231908</v>
      </c>
      <c r="BJ174" s="59">
        <f t="shared" si="146"/>
        <v>42.266833200216638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1.9859331387210694E-19</v>
      </c>
      <c r="BS174" s="22">
        <f t="shared" si="169"/>
        <v>1.9859331387210694E-19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>
        <f>BY174*VLOOKUP('Données projet'!$B$12,Paramètres!$A$1:$I$89,3,0)*VLOOKUP('Données projet'!$B$12,Paramètres!$A$1:$I$89,5,0)</f>
        <v>0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0</v>
      </c>
      <c r="CE174" s="59">
        <f t="shared" si="148"/>
        <v>0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0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>
        <f>CT174*VLOOKUP('Données projet'!$B$13,Paramètres!$A$1:$I$89,3,0)*VLOOKUP('Données projet'!$B$13,Paramètres!$A$1:$I$89,5,0)</f>
        <v>0</v>
      </c>
      <c r="CV174" s="13" t="e">
        <f t="shared" si="173"/>
        <v>#NUM!</v>
      </c>
      <c r="CW174" s="20" t="e">
        <f t="shared" si="174"/>
        <v>#NUM!</v>
      </c>
      <c r="CX174" s="59" t="e">
        <f t="shared" si="122"/>
        <v>#NUM!</v>
      </c>
      <c r="CY174" s="59">
        <f ca="1">AVERAGE(OFFSET($CX$3,0,0,'Données projet'!$E$13+1,1))-AVERAGE(OFFSET($H$3,0,0,'Données projet'!$E$13+1,1))</f>
        <v>0</v>
      </c>
      <c r="CZ174" s="59">
        <f t="shared" si="150"/>
        <v>0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</v>
      </c>
      <c r="DG174" s="21">
        <f>EXP(-LN(2)/25)*DG173+(1-EXP(-LN(2)/25))/(LN(2)/25)*Calculateur!DB174*Calculateur!DD174*VLOOKUP('Données projet'!$B$13,Paramètres!$A$1:$I$89,3,0)*0.475*44/12</f>
        <v>0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0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>
        <f>DO174*VLOOKUP('Données projet'!$B$14,Paramètres!$A$1:$I$89,3,0)*VLOOKUP('Données projet'!$B$14,Paramètres!$A$1:$I$89,5,0)</f>
        <v>0</v>
      </c>
      <c r="DQ174" s="13" t="e">
        <f t="shared" si="176"/>
        <v>#NUM!</v>
      </c>
      <c r="DR174" s="20" t="e">
        <f t="shared" si="177"/>
        <v>#NUM!</v>
      </c>
      <c r="DS174" s="59" t="e">
        <f t="shared" si="125"/>
        <v>#NUM!</v>
      </c>
      <c r="DT174" s="59">
        <f ca="1">AVERAGE(OFFSET($DS$3,0,0,'Données projet'!$E$14+1,1))-AVERAGE(OFFSET($H$3,0,0,'Données projet'!$E$14+1,1))</f>
        <v>0</v>
      </c>
      <c r="DU174" s="59">
        <f t="shared" si="152"/>
        <v>0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</v>
      </c>
      <c r="EB174" s="21">
        <f>EXP(-LN(2)/25)*EB173+(1-EXP(-LN(2)/25))/(LN(2)/25)*Calculateur!DW174*Calculateur!DY174*VLOOKUP('Données projet'!$B$14,Paramètres!$A$1:$I$89,3,0)*0.475*44/12</f>
        <v>0</v>
      </c>
      <c r="EC174" s="21">
        <f>EXP(-LN(2)/2)*EC173+(1-EXP(-LN(2)/2))/(LN(2)/2)*DW174*DZ174*VLOOKUP('Données projet'!$B$14,Paramètres!$A$1:$I$89,3,0)*0.475*44/12</f>
        <v>0</v>
      </c>
      <c r="ED174" s="22">
        <f t="shared" si="178"/>
        <v>0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>
        <f>EJ174*VLOOKUP('Données projet'!$B$15,Paramètres!$A$1:$I$89,3,0)*VLOOKUP('Données projet'!$B$15,Paramètres!$A$1:$I$89,5,0)</f>
        <v>0</v>
      </c>
      <c r="EL174" s="13" t="e">
        <f t="shared" si="179"/>
        <v>#NUM!</v>
      </c>
      <c r="EM174" s="20" t="e">
        <f t="shared" si="180"/>
        <v>#NUM!</v>
      </c>
      <c r="EN174" s="59" t="e">
        <f t="shared" si="128"/>
        <v>#NUM!</v>
      </c>
      <c r="EO174" s="59">
        <f ca="1">AVERAGE(OFFSET($EN$3,0,0,'Données projet'!$E$15+1,1))-AVERAGE(OFFSET($H$3,0,0,'Données projet'!$E$15+1,1))</f>
        <v>0</v>
      </c>
      <c r="EP174" s="59">
        <f t="shared" si="154"/>
        <v>0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>
        <f>EXP(-LN(2)/35)*EV173+(1-EXP(-LN(2)/35))/(LN(2)/35)*ER174*ES174*VLOOKUP('Données projet'!$B$15,Paramètres!$A$1:$I$89,3,0)*0.475*44/12</f>
        <v>0</v>
      </c>
      <c r="EW174" s="21">
        <f>EXP(-LN(2)/25)*EW173+(1-EXP(-LN(2)/25))/(LN(2)/25)*Calculateur!ER174*Calculateur!ET174*VLOOKUP('Données projet'!$B$15,Paramètres!$A$1:$I$89,3,0)*0.475*44/12</f>
        <v>0</v>
      </c>
      <c r="EX174" s="21">
        <f>EXP(-LN(2)/2)*EX173+(1-EXP(-LN(2)/2))/(LN(2)/2)*ER174*EU174*VLOOKUP('Données projet'!$B$15,Paramètres!$A$1:$I$89,3,0)*0.475*44/12</f>
        <v>0</v>
      </c>
      <c r="EY174" s="22">
        <f t="shared" si="181"/>
        <v>0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>
        <f>FE174*VLOOKUP('Données projet'!$B$16,Paramètres!$A$1:$I$89,3,0)*VLOOKUP('Données projet'!$B$16,Paramètres!$A$1:$I$89,5,0)</f>
        <v>0</v>
      </c>
      <c r="FG174" s="13" t="e">
        <f t="shared" si="182"/>
        <v>#NUM!</v>
      </c>
      <c r="FH174" s="20" t="e">
        <f t="shared" si="183"/>
        <v>#NUM!</v>
      </c>
      <c r="FI174" s="59" t="e">
        <f t="shared" si="131"/>
        <v>#NUM!</v>
      </c>
      <c r="FJ174" s="59">
        <f ca="1">AVERAGE(OFFSET($FI$3,0,0,'Données projet'!$E$16+1,1))-AVERAGE(OFFSET($H$3,0,0,'Données projet'!$E$16+1,1))</f>
        <v>0</v>
      </c>
      <c r="FK174" s="59">
        <f t="shared" si="156"/>
        <v>0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>
        <f>EXP(-LN(2)/35)*FQ173+(1-EXP(-LN(2)/35))/(LN(2)/35)*FM174*FN174*VLOOKUP('Données projet'!$B$16,Paramètres!$A$1:$I$89,3,0)*0.475*44/12</f>
        <v>0</v>
      </c>
      <c r="FR174" s="21">
        <f>EXP(-LN(2)/25)*FR173+(1-EXP(-LN(2)/25))/(LN(2)/25)*Calculateur!FM174*Calculateur!FO174*VLOOKUP('Données projet'!$B$16,Paramètres!$A$1:$I$89,3,0)*0.475*44/12</f>
        <v>0</v>
      </c>
      <c r="FS174" s="21">
        <f>EXP(-LN(2)/2)*FS173+(1-EXP(-LN(2)/2))/(LN(2)/2)*FM174*FP174*VLOOKUP('Données projet'!$B$16,Paramètres!$A$1:$I$89,3,0)*0.475*44/12</f>
        <v>0</v>
      </c>
      <c r="FT174" s="22">
        <f t="shared" si="184"/>
        <v>0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1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186.90544184210381</v>
      </c>
      <c r="T175" s="59">
        <f t="shared" si="142"/>
        <v>202.05988514450519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12.948617902551149</v>
      </c>
      <c r="AA175" s="21">
        <f>EXP(-LN(2)/25)*AA174+(1-EXP(-LN(2)/25))/(LN(2)/25)*Calculateur!V175*Calculateur!X175*VLOOKUP('Données projet'!$B$9,Paramètres!$A$1:$I$89,3,0)*0.475*44/12</f>
        <v>0.9791157406727079</v>
      </c>
      <c r="AB175" s="21">
        <f>EXP(-LN(2)/2)*AB174+(1-EXP(-LN(2)/2))/(LN(2)/2)*V175*Y175*VLOOKUP('Données projet'!$B$9,Paramètres!$A$1:$I$89,3,0)*0.475*44/12</f>
        <v>5.9707492797306998E-16</v>
      </c>
      <c r="AC175" s="22">
        <f t="shared" si="163"/>
        <v>13.927733643223856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>
        <f>AI175*VLOOKUP('Données projet'!$B$10,Paramètres!$A$1:$I$89,3,0)*VLOOKUP('Données projet'!$B$10,Paramètres!$A$1:$I$89,5,0)</f>
        <v>0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186.90544184210381</v>
      </c>
      <c r="AO175" s="59">
        <f t="shared" si="144"/>
        <v>202.05988514450519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12.948617902551149</v>
      </c>
      <c r="AV175" s="21">
        <f>EXP(-LN(2)/25)*AV174+(1-EXP(-LN(2)/25))/(LN(2)/25)*Calculateur!AQ175*Calculateur!AS175*VLOOKUP('Données projet'!$B$10,Paramètres!$A$1:$I$89,3,0)*0.475*44/12</f>
        <v>0.9791157406727079</v>
      </c>
      <c r="AW175" s="21">
        <f>EXP(-LN(2)/2)*AW174+(1-EXP(-LN(2)/2))/(LN(2)/2)*AQ175*AT175*VLOOKUP('Données projet'!$B$10,Paramètres!$A$1:$I$89,3,0)*0.475*44/12</f>
        <v>5.9707492797306998E-16</v>
      </c>
      <c r="AX175" s="21">
        <f t="shared" si="166"/>
        <v>13.927733643223856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-2.8421709430404007E-14</v>
      </c>
      <c r="BE175" s="13">
        <f>BD175*VLOOKUP('Données projet'!$B$11,Paramètres!$A$1:$I$89,3,0)*VLOOKUP('Données projet'!$B$11,Paramètres!$A$1:$I$89,5,0)</f>
        <v>-2.3055690689943732E-14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5.8584049049231908</v>
      </c>
      <c r="BJ175" s="59">
        <f t="shared" si="146"/>
        <v>42.266833200216638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1.4042667893727527E-19</v>
      </c>
      <c r="BS175" s="22">
        <f t="shared" si="169"/>
        <v>1.4042667893727527E-19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>
        <f>BY175*VLOOKUP('Données projet'!$B$12,Paramètres!$A$1:$I$89,3,0)*VLOOKUP('Données projet'!$B$12,Paramètres!$A$1:$I$89,5,0)</f>
        <v>0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0</v>
      </c>
      <c r="CE175" s="59">
        <f t="shared" si="148"/>
        <v>0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0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>
        <f>CT175*VLOOKUP('Données projet'!$B$13,Paramètres!$A$1:$I$89,3,0)*VLOOKUP('Données projet'!$B$13,Paramètres!$A$1:$I$89,5,0)</f>
        <v>0</v>
      </c>
      <c r="CV175" s="13" t="e">
        <f t="shared" si="173"/>
        <v>#NUM!</v>
      </c>
      <c r="CW175" s="20" t="e">
        <f t="shared" si="174"/>
        <v>#NUM!</v>
      </c>
      <c r="CX175" s="59" t="e">
        <f t="shared" si="122"/>
        <v>#NUM!</v>
      </c>
      <c r="CY175" s="59">
        <f ca="1">AVERAGE(OFFSET($CX$3,0,0,'Données projet'!$E$13+1,1))-AVERAGE(OFFSET($H$3,0,0,'Données projet'!$E$13+1,1))</f>
        <v>0</v>
      </c>
      <c r="CZ175" s="59">
        <f t="shared" si="150"/>
        <v>0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</v>
      </c>
      <c r="DG175" s="21">
        <f>EXP(-LN(2)/25)*DG174+(1-EXP(-LN(2)/25))/(LN(2)/25)*Calculateur!DB175*Calculateur!DD175*VLOOKUP('Données projet'!$B$13,Paramètres!$A$1:$I$89,3,0)*0.475*44/12</f>
        <v>0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0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>
        <f>DO175*VLOOKUP('Données projet'!$B$14,Paramètres!$A$1:$I$89,3,0)*VLOOKUP('Données projet'!$B$14,Paramètres!$A$1:$I$89,5,0)</f>
        <v>0</v>
      </c>
      <c r="DQ175" s="13" t="e">
        <f t="shared" si="176"/>
        <v>#NUM!</v>
      </c>
      <c r="DR175" s="20" t="e">
        <f t="shared" si="177"/>
        <v>#NUM!</v>
      </c>
      <c r="DS175" s="59" t="e">
        <f t="shared" si="125"/>
        <v>#NUM!</v>
      </c>
      <c r="DT175" s="59">
        <f ca="1">AVERAGE(OFFSET($DS$3,0,0,'Données projet'!$E$14+1,1))-AVERAGE(OFFSET($H$3,0,0,'Données projet'!$E$14+1,1))</f>
        <v>0</v>
      </c>
      <c r="DU175" s="59">
        <f t="shared" si="152"/>
        <v>0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</v>
      </c>
      <c r="EB175" s="21">
        <f>EXP(-LN(2)/25)*EB174+(1-EXP(-LN(2)/25))/(LN(2)/25)*Calculateur!DW175*Calculateur!DY175*VLOOKUP('Données projet'!$B$14,Paramètres!$A$1:$I$89,3,0)*0.475*44/12</f>
        <v>0</v>
      </c>
      <c r="EC175" s="21">
        <f>EXP(-LN(2)/2)*EC174+(1-EXP(-LN(2)/2))/(LN(2)/2)*DW175*DZ175*VLOOKUP('Données projet'!$B$14,Paramètres!$A$1:$I$89,3,0)*0.475*44/12</f>
        <v>0</v>
      </c>
      <c r="ED175" s="22">
        <f t="shared" si="178"/>
        <v>0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>
        <f>EJ175*VLOOKUP('Données projet'!$B$15,Paramètres!$A$1:$I$89,3,0)*VLOOKUP('Données projet'!$B$15,Paramètres!$A$1:$I$89,5,0)</f>
        <v>0</v>
      </c>
      <c r="EL175" s="13" t="e">
        <f t="shared" si="179"/>
        <v>#NUM!</v>
      </c>
      <c r="EM175" s="20" t="e">
        <f t="shared" si="180"/>
        <v>#NUM!</v>
      </c>
      <c r="EN175" s="59" t="e">
        <f t="shared" si="128"/>
        <v>#NUM!</v>
      </c>
      <c r="EO175" s="59">
        <f ca="1">AVERAGE(OFFSET($EN$3,0,0,'Données projet'!$E$15+1,1))-AVERAGE(OFFSET($H$3,0,0,'Données projet'!$E$15+1,1))</f>
        <v>0</v>
      </c>
      <c r="EP175" s="59">
        <f t="shared" si="154"/>
        <v>0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>
        <f>EXP(-LN(2)/35)*EV174+(1-EXP(-LN(2)/35))/(LN(2)/35)*ER175*ES175*VLOOKUP('Données projet'!$B$15,Paramètres!$A$1:$I$89,3,0)*0.475*44/12</f>
        <v>0</v>
      </c>
      <c r="EW175" s="21">
        <f>EXP(-LN(2)/25)*EW174+(1-EXP(-LN(2)/25))/(LN(2)/25)*Calculateur!ER175*Calculateur!ET175*VLOOKUP('Données projet'!$B$15,Paramètres!$A$1:$I$89,3,0)*0.475*44/12</f>
        <v>0</v>
      </c>
      <c r="EX175" s="21">
        <f>EXP(-LN(2)/2)*EX174+(1-EXP(-LN(2)/2))/(LN(2)/2)*ER175*EU175*VLOOKUP('Données projet'!$B$15,Paramètres!$A$1:$I$89,3,0)*0.475*44/12</f>
        <v>0</v>
      </c>
      <c r="EY175" s="22">
        <f t="shared" si="181"/>
        <v>0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>
        <f>FE175*VLOOKUP('Données projet'!$B$16,Paramètres!$A$1:$I$89,3,0)*VLOOKUP('Données projet'!$B$16,Paramètres!$A$1:$I$89,5,0)</f>
        <v>0</v>
      </c>
      <c r="FG175" s="13" t="e">
        <f t="shared" si="182"/>
        <v>#NUM!</v>
      </c>
      <c r="FH175" s="20" t="e">
        <f t="shared" si="183"/>
        <v>#NUM!</v>
      </c>
      <c r="FI175" s="59" t="e">
        <f t="shared" si="131"/>
        <v>#NUM!</v>
      </c>
      <c r="FJ175" s="59">
        <f ca="1">AVERAGE(OFFSET($FI$3,0,0,'Données projet'!$E$16+1,1))-AVERAGE(OFFSET($H$3,0,0,'Données projet'!$E$16+1,1))</f>
        <v>0</v>
      </c>
      <c r="FK175" s="59">
        <f t="shared" si="156"/>
        <v>0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>
        <f>EXP(-LN(2)/35)*FQ174+(1-EXP(-LN(2)/35))/(LN(2)/35)*FM175*FN175*VLOOKUP('Données projet'!$B$16,Paramètres!$A$1:$I$89,3,0)*0.475*44/12</f>
        <v>0</v>
      </c>
      <c r="FR175" s="21">
        <f>EXP(-LN(2)/25)*FR174+(1-EXP(-LN(2)/25))/(LN(2)/25)*Calculateur!FM175*Calculateur!FO175*VLOOKUP('Données projet'!$B$16,Paramètres!$A$1:$I$89,3,0)*0.475*44/12</f>
        <v>0</v>
      </c>
      <c r="FS175" s="21">
        <f>EXP(-LN(2)/2)*FS174+(1-EXP(-LN(2)/2))/(LN(2)/2)*FM175*FP175*VLOOKUP('Données projet'!$B$16,Paramètres!$A$1:$I$89,3,0)*0.475*44/12</f>
        <v>0</v>
      </c>
      <c r="FT175" s="22">
        <f t="shared" si="184"/>
        <v>0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1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186.90544184210381</v>
      </c>
      <c r="T176" s="59">
        <f t="shared" si="142"/>
        <v>202.05988514450519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12.69470340335919</v>
      </c>
      <c r="AA176" s="21">
        <f>EXP(-LN(2)/25)*AA175+(1-EXP(-LN(2)/25))/(LN(2)/25)*Calculateur!V176*Calculateur!X176*VLOOKUP('Données projet'!$B$9,Paramètres!$A$1:$I$89,3,0)*0.475*44/12</f>
        <v>0.95234176925455372</v>
      </c>
      <c r="AB176" s="21">
        <f>EXP(-LN(2)/2)*AB175+(1-EXP(-LN(2)/2))/(LN(2)/2)*V176*Y176*VLOOKUP('Données projet'!$B$9,Paramètres!$A$1:$I$89,3,0)*0.475*44/12</f>
        <v>4.2219573044622722E-16</v>
      </c>
      <c r="AC176" s="22">
        <f t="shared" si="163"/>
        <v>13.647045172613744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>
        <f>AI176*VLOOKUP('Données projet'!$B$10,Paramètres!$A$1:$I$89,3,0)*VLOOKUP('Données projet'!$B$10,Paramètres!$A$1:$I$89,5,0)</f>
        <v>0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186.90544184210381</v>
      </c>
      <c r="AO176" s="59">
        <f t="shared" si="144"/>
        <v>202.05988514450519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12.69470340335919</v>
      </c>
      <c r="AV176" s="21">
        <f>EXP(-LN(2)/25)*AV175+(1-EXP(-LN(2)/25))/(LN(2)/25)*Calculateur!AQ176*Calculateur!AS176*VLOOKUP('Données projet'!$B$10,Paramètres!$A$1:$I$89,3,0)*0.475*44/12</f>
        <v>0.95234176925455372</v>
      </c>
      <c r="AW176" s="21">
        <f>EXP(-LN(2)/2)*AW175+(1-EXP(-LN(2)/2))/(LN(2)/2)*AQ176*AT176*VLOOKUP('Données projet'!$B$10,Paramètres!$A$1:$I$89,3,0)*0.475*44/12</f>
        <v>4.2219573044622722E-16</v>
      </c>
      <c r="AX176" s="21">
        <f t="shared" si="166"/>
        <v>13.647045172613744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-2.8421709430404007E-14</v>
      </c>
      <c r="BE176" s="13">
        <f>BD176*VLOOKUP('Données projet'!$B$11,Paramètres!$A$1:$I$89,3,0)*VLOOKUP('Données projet'!$B$11,Paramètres!$A$1:$I$89,5,0)</f>
        <v>-2.3055690689943732E-14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5.8584049049231908</v>
      </c>
      <c r="BJ176" s="59">
        <f t="shared" si="146"/>
        <v>42.266833200216638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9.9296656936053471E-20</v>
      </c>
      <c r="BS176" s="22">
        <f t="shared" si="169"/>
        <v>9.9296656936053471E-20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>
        <f>BY176*VLOOKUP('Données projet'!$B$12,Paramètres!$A$1:$I$89,3,0)*VLOOKUP('Données projet'!$B$12,Paramètres!$A$1:$I$89,5,0)</f>
        <v>0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0</v>
      </c>
      <c r="CE176" s="59">
        <f t="shared" si="148"/>
        <v>0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0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>
        <f>CT176*VLOOKUP('Données projet'!$B$13,Paramètres!$A$1:$I$89,3,0)*VLOOKUP('Données projet'!$B$13,Paramètres!$A$1:$I$89,5,0)</f>
        <v>0</v>
      </c>
      <c r="CV176" s="13" t="e">
        <f t="shared" si="173"/>
        <v>#NUM!</v>
      </c>
      <c r="CW176" s="20" t="e">
        <f t="shared" si="174"/>
        <v>#NUM!</v>
      </c>
      <c r="CX176" s="59" t="e">
        <f t="shared" si="122"/>
        <v>#NUM!</v>
      </c>
      <c r="CY176" s="59">
        <f ca="1">AVERAGE(OFFSET($CX$3,0,0,'Données projet'!$E$13+1,1))-AVERAGE(OFFSET($H$3,0,0,'Données projet'!$E$13+1,1))</f>
        <v>0</v>
      </c>
      <c r="CZ176" s="59">
        <f t="shared" si="150"/>
        <v>0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</v>
      </c>
      <c r="DG176" s="21">
        <f>EXP(-LN(2)/25)*DG175+(1-EXP(-LN(2)/25))/(LN(2)/25)*Calculateur!DB176*Calculateur!DD176*VLOOKUP('Données projet'!$B$13,Paramètres!$A$1:$I$89,3,0)*0.475*44/12</f>
        <v>0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0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>
        <f>DO176*VLOOKUP('Données projet'!$B$14,Paramètres!$A$1:$I$89,3,0)*VLOOKUP('Données projet'!$B$14,Paramètres!$A$1:$I$89,5,0)</f>
        <v>0</v>
      </c>
      <c r="DQ176" s="13" t="e">
        <f t="shared" si="176"/>
        <v>#NUM!</v>
      </c>
      <c r="DR176" s="20" t="e">
        <f t="shared" si="177"/>
        <v>#NUM!</v>
      </c>
      <c r="DS176" s="59" t="e">
        <f t="shared" si="125"/>
        <v>#NUM!</v>
      </c>
      <c r="DT176" s="59">
        <f ca="1">AVERAGE(OFFSET($DS$3,0,0,'Données projet'!$E$14+1,1))-AVERAGE(OFFSET($H$3,0,0,'Données projet'!$E$14+1,1))</f>
        <v>0</v>
      </c>
      <c r="DU176" s="59">
        <f t="shared" si="152"/>
        <v>0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</v>
      </c>
      <c r="EB176" s="21">
        <f>EXP(-LN(2)/25)*EB175+(1-EXP(-LN(2)/25))/(LN(2)/25)*Calculateur!DW176*Calculateur!DY176*VLOOKUP('Données projet'!$B$14,Paramètres!$A$1:$I$89,3,0)*0.475*44/12</f>
        <v>0</v>
      </c>
      <c r="EC176" s="21">
        <f>EXP(-LN(2)/2)*EC175+(1-EXP(-LN(2)/2))/(LN(2)/2)*DW176*DZ176*VLOOKUP('Données projet'!$B$14,Paramètres!$A$1:$I$89,3,0)*0.475*44/12</f>
        <v>0</v>
      </c>
      <c r="ED176" s="22">
        <f t="shared" si="178"/>
        <v>0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>
        <f>EJ176*VLOOKUP('Données projet'!$B$15,Paramètres!$A$1:$I$89,3,0)*VLOOKUP('Données projet'!$B$15,Paramètres!$A$1:$I$89,5,0)</f>
        <v>0</v>
      </c>
      <c r="EL176" s="13" t="e">
        <f t="shared" si="179"/>
        <v>#NUM!</v>
      </c>
      <c r="EM176" s="20" t="e">
        <f t="shared" si="180"/>
        <v>#NUM!</v>
      </c>
      <c r="EN176" s="59" t="e">
        <f t="shared" si="128"/>
        <v>#NUM!</v>
      </c>
      <c r="EO176" s="59">
        <f ca="1">AVERAGE(OFFSET($EN$3,0,0,'Données projet'!$E$15+1,1))-AVERAGE(OFFSET($H$3,0,0,'Données projet'!$E$15+1,1))</f>
        <v>0</v>
      </c>
      <c r="EP176" s="59">
        <f t="shared" si="154"/>
        <v>0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>
        <f>EXP(-LN(2)/35)*EV175+(1-EXP(-LN(2)/35))/(LN(2)/35)*ER176*ES176*VLOOKUP('Données projet'!$B$15,Paramètres!$A$1:$I$89,3,0)*0.475*44/12</f>
        <v>0</v>
      </c>
      <c r="EW176" s="21">
        <f>EXP(-LN(2)/25)*EW175+(1-EXP(-LN(2)/25))/(LN(2)/25)*Calculateur!ER176*Calculateur!ET176*VLOOKUP('Données projet'!$B$15,Paramètres!$A$1:$I$89,3,0)*0.475*44/12</f>
        <v>0</v>
      </c>
      <c r="EX176" s="21">
        <f>EXP(-LN(2)/2)*EX175+(1-EXP(-LN(2)/2))/(LN(2)/2)*ER176*EU176*VLOOKUP('Données projet'!$B$15,Paramètres!$A$1:$I$89,3,0)*0.475*44/12</f>
        <v>0</v>
      </c>
      <c r="EY176" s="22">
        <f t="shared" si="181"/>
        <v>0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>
        <f>FE176*VLOOKUP('Données projet'!$B$16,Paramètres!$A$1:$I$89,3,0)*VLOOKUP('Données projet'!$B$16,Paramètres!$A$1:$I$89,5,0)</f>
        <v>0</v>
      </c>
      <c r="FG176" s="13" t="e">
        <f t="shared" si="182"/>
        <v>#NUM!</v>
      </c>
      <c r="FH176" s="20" t="e">
        <f t="shared" si="183"/>
        <v>#NUM!</v>
      </c>
      <c r="FI176" s="59" t="e">
        <f t="shared" si="131"/>
        <v>#NUM!</v>
      </c>
      <c r="FJ176" s="59">
        <f ca="1">AVERAGE(OFFSET($FI$3,0,0,'Données projet'!$E$16+1,1))-AVERAGE(OFFSET($H$3,0,0,'Données projet'!$E$16+1,1))</f>
        <v>0</v>
      </c>
      <c r="FK176" s="59">
        <f t="shared" si="156"/>
        <v>0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>
        <f>EXP(-LN(2)/35)*FQ175+(1-EXP(-LN(2)/35))/(LN(2)/35)*FM176*FN176*VLOOKUP('Données projet'!$B$16,Paramètres!$A$1:$I$89,3,0)*0.475*44/12</f>
        <v>0</v>
      </c>
      <c r="FR176" s="21">
        <f>EXP(-LN(2)/25)*FR175+(1-EXP(-LN(2)/25))/(LN(2)/25)*Calculateur!FM176*Calculateur!FO176*VLOOKUP('Données projet'!$B$16,Paramètres!$A$1:$I$89,3,0)*0.475*44/12</f>
        <v>0</v>
      </c>
      <c r="FS176" s="21">
        <f>EXP(-LN(2)/2)*FS175+(1-EXP(-LN(2)/2))/(LN(2)/2)*FM176*FP176*VLOOKUP('Données projet'!$B$16,Paramètres!$A$1:$I$89,3,0)*0.475*44/12</f>
        <v>0</v>
      </c>
      <c r="FT176" s="22">
        <f t="shared" si="184"/>
        <v>0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1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186.90544184210381</v>
      </c>
      <c r="T177" s="59">
        <f t="shared" si="142"/>
        <v>202.05988514450519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12.445768012623834</v>
      </c>
      <c r="AA177" s="21">
        <f>EXP(-LN(2)/25)*AA176+(1-EXP(-LN(2)/25))/(LN(2)/25)*Calculateur!V177*Calculateur!X177*VLOOKUP('Données projet'!$B$9,Paramètres!$A$1:$I$89,3,0)*0.475*44/12</f>
        <v>0.92629993349281092</v>
      </c>
      <c r="AB177" s="21">
        <f>EXP(-LN(2)/2)*AB176+(1-EXP(-LN(2)/2))/(LN(2)/2)*V177*Y177*VLOOKUP('Données projet'!$B$9,Paramètres!$A$1:$I$89,3,0)*0.475*44/12</f>
        <v>2.9853746398653499E-16</v>
      </c>
      <c r="AC177" s="22">
        <f t="shared" si="163"/>
        <v>13.372067946116644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>
        <f>AI177*VLOOKUP('Données projet'!$B$10,Paramètres!$A$1:$I$89,3,0)*VLOOKUP('Données projet'!$B$10,Paramètres!$A$1:$I$89,5,0)</f>
        <v>0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186.90544184210381</v>
      </c>
      <c r="AO177" s="59">
        <f t="shared" si="144"/>
        <v>202.05988514450519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12.445768012623834</v>
      </c>
      <c r="AV177" s="21">
        <f>EXP(-LN(2)/25)*AV176+(1-EXP(-LN(2)/25))/(LN(2)/25)*Calculateur!AQ177*Calculateur!AS177*VLOOKUP('Données projet'!$B$10,Paramètres!$A$1:$I$89,3,0)*0.475*44/12</f>
        <v>0.92629993349281092</v>
      </c>
      <c r="AW177" s="21">
        <f>EXP(-LN(2)/2)*AW176+(1-EXP(-LN(2)/2))/(LN(2)/2)*AQ177*AT177*VLOOKUP('Données projet'!$B$10,Paramètres!$A$1:$I$89,3,0)*0.475*44/12</f>
        <v>2.9853746398653499E-16</v>
      </c>
      <c r="AX177" s="21">
        <f t="shared" si="166"/>
        <v>13.372067946116644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-2.8421709430404007E-14</v>
      </c>
      <c r="BE177" s="13">
        <f>BD177*VLOOKUP('Données projet'!$B$11,Paramètres!$A$1:$I$89,3,0)*VLOOKUP('Données projet'!$B$11,Paramètres!$A$1:$I$89,5,0)</f>
        <v>-2.3055690689943732E-14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5.8584049049231908</v>
      </c>
      <c r="BJ177" s="59">
        <f t="shared" si="146"/>
        <v>42.266833200216638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7.0213339468637637E-20</v>
      </c>
      <c r="BS177" s="22">
        <f t="shared" si="169"/>
        <v>7.0213339468637637E-20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>
        <f>BY177*VLOOKUP('Données projet'!$B$12,Paramètres!$A$1:$I$89,3,0)*VLOOKUP('Données projet'!$B$12,Paramètres!$A$1:$I$89,5,0)</f>
        <v>0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0</v>
      </c>
      <c r="CE177" s="59">
        <f t="shared" si="148"/>
        <v>0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0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>
        <f>CT177*VLOOKUP('Données projet'!$B$13,Paramètres!$A$1:$I$89,3,0)*VLOOKUP('Données projet'!$B$13,Paramètres!$A$1:$I$89,5,0)</f>
        <v>0</v>
      </c>
      <c r="CV177" s="13" t="e">
        <f t="shared" si="173"/>
        <v>#NUM!</v>
      </c>
      <c r="CW177" s="20" t="e">
        <f t="shared" si="174"/>
        <v>#NUM!</v>
      </c>
      <c r="CX177" s="59" t="e">
        <f t="shared" si="122"/>
        <v>#NUM!</v>
      </c>
      <c r="CY177" s="59">
        <f ca="1">AVERAGE(OFFSET($CX$3,0,0,'Données projet'!$E$13+1,1))-AVERAGE(OFFSET($H$3,0,0,'Données projet'!$E$13+1,1))</f>
        <v>0</v>
      </c>
      <c r="CZ177" s="59">
        <f t="shared" si="150"/>
        <v>0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</v>
      </c>
      <c r="DG177" s="21">
        <f>EXP(-LN(2)/25)*DG176+(1-EXP(-LN(2)/25))/(LN(2)/25)*Calculateur!DB177*Calculateur!DD177*VLOOKUP('Données projet'!$B$13,Paramètres!$A$1:$I$89,3,0)*0.475*44/12</f>
        <v>0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0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>
        <f>DO177*VLOOKUP('Données projet'!$B$14,Paramètres!$A$1:$I$89,3,0)*VLOOKUP('Données projet'!$B$14,Paramètres!$A$1:$I$89,5,0)</f>
        <v>0</v>
      </c>
      <c r="DQ177" s="13" t="e">
        <f t="shared" si="176"/>
        <v>#NUM!</v>
      </c>
      <c r="DR177" s="20" t="e">
        <f t="shared" si="177"/>
        <v>#NUM!</v>
      </c>
      <c r="DS177" s="59" t="e">
        <f t="shared" si="125"/>
        <v>#NUM!</v>
      </c>
      <c r="DT177" s="59">
        <f ca="1">AVERAGE(OFFSET($DS$3,0,0,'Données projet'!$E$14+1,1))-AVERAGE(OFFSET($H$3,0,0,'Données projet'!$E$14+1,1))</f>
        <v>0</v>
      </c>
      <c r="DU177" s="59">
        <f t="shared" si="152"/>
        <v>0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</v>
      </c>
      <c r="EB177" s="21">
        <f>EXP(-LN(2)/25)*EB176+(1-EXP(-LN(2)/25))/(LN(2)/25)*Calculateur!DW177*Calculateur!DY177*VLOOKUP('Données projet'!$B$14,Paramètres!$A$1:$I$89,3,0)*0.475*44/12</f>
        <v>0</v>
      </c>
      <c r="EC177" s="21">
        <f>EXP(-LN(2)/2)*EC176+(1-EXP(-LN(2)/2))/(LN(2)/2)*DW177*DZ177*VLOOKUP('Données projet'!$B$14,Paramètres!$A$1:$I$89,3,0)*0.475*44/12</f>
        <v>0</v>
      </c>
      <c r="ED177" s="22">
        <f t="shared" si="178"/>
        <v>0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>
        <f>EJ177*VLOOKUP('Données projet'!$B$15,Paramètres!$A$1:$I$89,3,0)*VLOOKUP('Données projet'!$B$15,Paramètres!$A$1:$I$89,5,0)</f>
        <v>0</v>
      </c>
      <c r="EL177" s="13" t="e">
        <f t="shared" si="179"/>
        <v>#NUM!</v>
      </c>
      <c r="EM177" s="20" t="e">
        <f t="shared" si="180"/>
        <v>#NUM!</v>
      </c>
      <c r="EN177" s="59" t="e">
        <f t="shared" si="128"/>
        <v>#NUM!</v>
      </c>
      <c r="EO177" s="59">
        <f ca="1">AVERAGE(OFFSET($EN$3,0,0,'Données projet'!$E$15+1,1))-AVERAGE(OFFSET($H$3,0,0,'Données projet'!$E$15+1,1))</f>
        <v>0</v>
      </c>
      <c r="EP177" s="59">
        <f t="shared" si="154"/>
        <v>0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>
        <f>EXP(-LN(2)/35)*EV176+(1-EXP(-LN(2)/35))/(LN(2)/35)*ER177*ES177*VLOOKUP('Données projet'!$B$15,Paramètres!$A$1:$I$89,3,0)*0.475*44/12</f>
        <v>0</v>
      </c>
      <c r="EW177" s="21">
        <f>EXP(-LN(2)/25)*EW176+(1-EXP(-LN(2)/25))/(LN(2)/25)*Calculateur!ER177*Calculateur!ET177*VLOOKUP('Données projet'!$B$15,Paramètres!$A$1:$I$89,3,0)*0.475*44/12</f>
        <v>0</v>
      </c>
      <c r="EX177" s="21">
        <f>EXP(-LN(2)/2)*EX176+(1-EXP(-LN(2)/2))/(LN(2)/2)*ER177*EU177*VLOOKUP('Données projet'!$B$15,Paramètres!$A$1:$I$89,3,0)*0.475*44/12</f>
        <v>0</v>
      </c>
      <c r="EY177" s="22">
        <f t="shared" si="181"/>
        <v>0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>
        <f>FE177*VLOOKUP('Données projet'!$B$16,Paramètres!$A$1:$I$89,3,0)*VLOOKUP('Données projet'!$B$16,Paramètres!$A$1:$I$89,5,0)</f>
        <v>0</v>
      </c>
      <c r="FG177" s="13" t="e">
        <f t="shared" si="182"/>
        <v>#NUM!</v>
      </c>
      <c r="FH177" s="20" t="e">
        <f t="shared" si="183"/>
        <v>#NUM!</v>
      </c>
      <c r="FI177" s="59" t="e">
        <f t="shared" si="131"/>
        <v>#NUM!</v>
      </c>
      <c r="FJ177" s="59">
        <f ca="1">AVERAGE(OFFSET($FI$3,0,0,'Données projet'!$E$16+1,1))-AVERAGE(OFFSET($H$3,0,0,'Données projet'!$E$16+1,1))</f>
        <v>0</v>
      </c>
      <c r="FK177" s="59">
        <f t="shared" si="156"/>
        <v>0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>
        <f>EXP(-LN(2)/35)*FQ176+(1-EXP(-LN(2)/35))/(LN(2)/35)*FM177*FN177*VLOOKUP('Données projet'!$B$16,Paramètres!$A$1:$I$89,3,0)*0.475*44/12</f>
        <v>0</v>
      </c>
      <c r="FR177" s="21">
        <f>EXP(-LN(2)/25)*FR176+(1-EXP(-LN(2)/25))/(LN(2)/25)*Calculateur!FM177*Calculateur!FO177*VLOOKUP('Données projet'!$B$16,Paramètres!$A$1:$I$89,3,0)*0.475*44/12</f>
        <v>0</v>
      </c>
      <c r="FS177" s="21">
        <f>EXP(-LN(2)/2)*FS176+(1-EXP(-LN(2)/2))/(LN(2)/2)*FM177*FP177*VLOOKUP('Données projet'!$B$16,Paramètres!$A$1:$I$89,3,0)*0.475*44/12</f>
        <v>0</v>
      </c>
      <c r="FT177" s="22">
        <f t="shared" si="184"/>
        <v>0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1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186.90544184210381</v>
      </c>
      <c r="T178" s="59">
        <f t="shared" si="142"/>
        <v>202.05988514450519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12.201714093065203</v>
      </c>
      <c r="AA178" s="21">
        <f>EXP(-LN(2)/25)*AA177+(1-EXP(-LN(2)/25))/(LN(2)/25)*Calculateur!V178*Calculateur!X178*VLOOKUP('Données projet'!$B$9,Paramètres!$A$1:$I$89,3,0)*0.475*44/12</f>
        <v>0.90097021309945358</v>
      </c>
      <c r="AB178" s="21">
        <f>EXP(-LN(2)/2)*AB177+(1-EXP(-LN(2)/2))/(LN(2)/2)*V178*Y178*VLOOKUP('Données projet'!$B$9,Paramètres!$A$1:$I$89,3,0)*0.475*44/12</f>
        <v>2.1109786522311361E-16</v>
      </c>
      <c r="AC178" s="22">
        <f t="shared" si="163"/>
        <v>13.102684306164656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>
        <f>AI178*VLOOKUP('Données projet'!$B$10,Paramètres!$A$1:$I$89,3,0)*VLOOKUP('Données projet'!$B$10,Paramètres!$A$1:$I$89,5,0)</f>
        <v>0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186.90544184210381</v>
      </c>
      <c r="AO178" s="59">
        <f t="shared" si="144"/>
        <v>202.05988514450519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12.201714093065203</v>
      </c>
      <c r="AV178" s="21">
        <f>EXP(-LN(2)/25)*AV177+(1-EXP(-LN(2)/25))/(LN(2)/25)*Calculateur!AQ178*Calculateur!AS178*VLOOKUP('Données projet'!$B$10,Paramètres!$A$1:$I$89,3,0)*0.475*44/12</f>
        <v>0.90097021309945358</v>
      </c>
      <c r="AW178" s="21">
        <f>EXP(-LN(2)/2)*AW177+(1-EXP(-LN(2)/2))/(LN(2)/2)*AQ178*AT178*VLOOKUP('Données projet'!$B$10,Paramètres!$A$1:$I$89,3,0)*0.475*44/12</f>
        <v>2.1109786522311361E-16</v>
      </c>
      <c r="AX178" s="21">
        <f t="shared" si="166"/>
        <v>13.102684306164656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-2.8421709430404007E-14</v>
      </c>
      <c r="BE178" s="13">
        <f>BD178*VLOOKUP('Données projet'!$B$11,Paramètres!$A$1:$I$89,3,0)*VLOOKUP('Données projet'!$B$11,Paramètres!$A$1:$I$89,5,0)</f>
        <v>-2.3055690689943732E-14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5.8584049049231908</v>
      </c>
      <c r="BJ178" s="59">
        <f t="shared" si="146"/>
        <v>42.266833200216638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4.9648328468026735E-20</v>
      </c>
      <c r="BS178" s="22">
        <f t="shared" si="169"/>
        <v>4.9648328468026735E-20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>
        <f>BY178*VLOOKUP('Données projet'!$B$12,Paramètres!$A$1:$I$89,3,0)*VLOOKUP('Données projet'!$B$12,Paramètres!$A$1:$I$89,5,0)</f>
        <v>0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0</v>
      </c>
      <c r="CE178" s="59">
        <f t="shared" si="148"/>
        <v>0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0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>
        <f>CT178*VLOOKUP('Données projet'!$B$13,Paramètres!$A$1:$I$89,3,0)*VLOOKUP('Données projet'!$B$13,Paramètres!$A$1:$I$89,5,0)</f>
        <v>0</v>
      </c>
      <c r="CV178" s="13" t="e">
        <f t="shared" si="173"/>
        <v>#NUM!</v>
      </c>
      <c r="CW178" s="20" t="e">
        <f t="shared" si="174"/>
        <v>#NUM!</v>
      </c>
      <c r="CX178" s="59" t="e">
        <f t="shared" si="122"/>
        <v>#NUM!</v>
      </c>
      <c r="CY178" s="59">
        <f ca="1">AVERAGE(OFFSET($CX$3,0,0,'Données projet'!$E$13+1,1))-AVERAGE(OFFSET($H$3,0,0,'Données projet'!$E$13+1,1))</f>
        <v>0</v>
      </c>
      <c r="CZ178" s="59">
        <f t="shared" si="150"/>
        <v>0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</v>
      </c>
      <c r="DG178" s="21">
        <f>EXP(-LN(2)/25)*DG177+(1-EXP(-LN(2)/25))/(LN(2)/25)*Calculateur!DB178*Calculateur!DD178*VLOOKUP('Données projet'!$B$13,Paramètres!$A$1:$I$89,3,0)*0.475*44/12</f>
        <v>0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0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>
        <f>DO178*VLOOKUP('Données projet'!$B$14,Paramètres!$A$1:$I$89,3,0)*VLOOKUP('Données projet'!$B$14,Paramètres!$A$1:$I$89,5,0)</f>
        <v>0</v>
      </c>
      <c r="DQ178" s="13" t="e">
        <f t="shared" si="176"/>
        <v>#NUM!</v>
      </c>
      <c r="DR178" s="20" t="e">
        <f t="shared" si="177"/>
        <v>#NUM!</v>
      </c>
      <c r="DS178" s="59" t="e">
        <f t="shared" si="125"/>
        <v>#NUM!</v>
      </c>
      <c r="DT178" s="59">
        <f ca="1">AVERAGE(OFFSET($DS$3,0,0,'Données projet'!$E$14+1,1))-AVERAGE(OFFSET($H$3,0,0,'Données projet'!$E$14+1,1))</f>
        <v>0</v>
      </c>
      <c r="DU178" s="59">
        <f t="shared" si="152"/>
        <v>0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</v>
      </c>
      <c r="EB178" s="21">
        <f>EXP(-LN(2)/25)*EB177+(1-EXP(-LN(2)/25))/(LN(2)/25)*Calculateur!DW178*Calculateur!DY178*VLOOKUP('Données projet'!$B$14,Paramètres!$A$1:$I$89,3,0)*0.475*44/12</f>
        <v>0</v>
      </c>
      <c r="EC178" s="21">
        <f>EXP(-LN(2)/2)*EC177+(1-EXP(-LN(2)/2))/(LN(2)/2)*DW178*DZ178*VLOOKUP('Données projet'!$B$14,Paramètres!$A$1:$I$89,3,0)*0.475*44/12</f>
        <v>0</v>
      </c>
      <c r="ED178" s="22">
        <f t="shared" si="178"/>
        <v>0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>
        <f>EJ178*VLOOKUP('Données projet'!$B$15,Paramètres!$A$1:$I$89,3,0)*VLOOKUP('Données projet'!$B$15,Paramètres!$A$1:$I$89,5,0)</f>
        <v>0</v>
      </c>
      <c r="EL178" s="13" t="e">
        <f t="shared" si="179"/>
        <v>#NUM!</v>
      </c>
      <c r="EM178" s="20" t="e">
        <f t="shared" si="180"/>
        <v>#NUM!</v>
      </c>
      <c r="EN178" s="59" t="e">
        <f t="shared" si="128"/>
        <v>#NUM!</v>
      </c>
      <c r="EO178" s="59">
        <f ca="1">AVERAGE(OFFSET($EN$3,0,0,'Données projet'!$E$15+1,1))-AVERAGE(OFFSET($H$3,0,0,'Données projet'!$E$15+1,1))</f>
        <v>0</v>
      </c>
      <c r="EP178" s="59">
        <f t="shared" si="154"/>
        <v>0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>
        <f>EXP(-LN(2)/35)*EV177+(1-EXP(-LN(2)/35))/(LN(2)/35)*ER178*ES178*VLOOKUP('Données projet'!$B$15,Paramètres!$A$1:$I$89,3,0)*0.475*44/12</f>
        <v>0</v>
      </c>
      <c r="EW178" s="21">
        <f>EXP(-LN(2)/25)*EW177+(1-EXP(-LN(2)/25))/(LN(2)/25)*Calculateur!ER178*Calculateur!ET178*VLOOKUP('Données projet'!$B$15,Paramètres!$A$1:$I$89,3,0)*0.475*44/12</f>
        <v>0</v>
      </c>
      <c r="EX178" s="21">
        <f>EXP(-LN(2)/2)*EX177+(1-EXP(-LN(2)/2))/(LN(2)/2)*ER178*EU178*VLOOKUP('Données projet'!$B$15,Paramètres!$A$1:$I$89,3,0)*0.475*44/12</f>
        <v>0</v>
      </c>
      <c r="EY178" s="22">
        <f t="shared" si="181"/>
        <v>0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>
        <f>FE178*VLOOKUP('Données projet'!$B$16,Paramètres!$A$1:$I$89,3,0)*VLOOKUP('Données projet'!$B$16,Paramètres!$A$1:$I$89,5,0)</f>
        <v>0</v>
      </c>
      <c r="FG178" s="13" t="e">
        <f t="shared" si="182"/>
        <v>#NUM!</v>
      </c>
      <c r="FH178" s="20" t="e">
        <f t="shared" si="183"/>
        <v>#NUM!</v>
      </c>
      <c r="FI178" s="59" t="e">
        <f t="shared" si="131"/>
        <v>#NUM!</v>
      </c>
      <c r="FJ178" s="59">
        <f ca="1">AVERAGE(OFFSET($FI$3,0,0,'Données projet'!$E$16+1,1))-AVERAGE(OFFSET($H$3,0,0,'Données projet'!$E$16+1,1))</f>
        <v>0</v>
      </c>
      <c r="FK178" s="59">
        <f t="shared" si="156"/>
        <v>0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>
        <f>EXP(-LN(2)/35)*FQ177+(1-EXP(-LN(2)/35))/(LN(2)/35)*FM178*FN178*VLOOKUP('Données projet'!$B$16,Paramètres!$A$1:$I$89,3,0)*0.475*44/12</f>
        <v>0</v>
      </c>
      <c r="FR178" s="21">
        <f>EXP(-LN(2)/25)*FR177+(1-EXP(-LN(2)/25))/(LN(2)/25)*Calculateur!FM178*Calculateur!FO178*VLOOKUP('Données projet'!$B$16,Paramètres!$A$1:$I$89,3,0)*0.475*44/12</f>
        <v>0</v>
      </c>
      <c r="FS178" s="21">
        <f>EXP(-LN(2)/2)*FS177+(1-EXP(-LN(2)/2))/(LN(2)/2)*FM178*FP178*VLOOKUP('Données projet'!$B$16,Paramètres!$A$1:$I$89,3,0)*0.475*44/12</f>
        <v>0</v>
      </c>
      <c r="FT178" s="22">
        <f t="shared" si="184"/>
        <v>0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1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186.90544184210381</v>
      </c>
      <c r="T179" s="59">
        <f t="shared" si="142"/>
        <v>202.05988514450519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11.962445922010923</v>
      </c>
      <c r="AA179" s="21">
        <f>EXP(-LN(2)/25)*AA178+(1-EXP(-LN(2)/25))/(LN(2)/25)*Calculateur!V179*Calculateur!X179*VLOOKUP('Données projet'!$B$9,Paramètres!$A$1:$I$89,3,0)*0.475*44/12</f>
        <v>0.87633313524228473</v>
      </c>
      <c r="AB179" s="21">
        <f>EXP(-LN(2)/2)*AB178+(1-EXP(-LN(2)/2))/(LN(2)/2)*V179*Y179*VLOOKUP('Données projet'!$B$9,Paramètres!$A$1:$I$89,3,0)*0.475*44/12</f>
        <v>1.492687319932675E-16</v>
      </c>
      <c r="AC179" s="22">
        <f t="shared" si="163"/>
        <v>12.838779057253209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>
        <f>AI179*VLOOKUP('Données projet'!$B$10,Paramètres!$A$1:$I$89,3,0)*VLOOKUP('Données projet'!$B$10,Paramètres!$A$1:$I$89,5,0)</f>
        <v>0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186.90544184210381</v>
      </c>
      <c r="AO179" s="59">
        <f t="shared" si="144"/>
        <v>202.05988514450519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11.962445922010923</v>
      </c>
      <c r="AV179" s="21">
        <f>EXP(-LN(2)/25)*AV178+(1-EXP(-LN(2)/25))/(LN(2)/25)*Calculateur!AQ179*Calculateur!AS179*VLOOKUP('Données projet'!$B$10,Paramètres!$A$1:$I$89,3,0)*0.475*44/12</f>
        <v>0.87633313524228473</v>
      </c>
      <c r="AW179" s="21">
        <f>EXP(-LN(2)/2)*AW178+(1-EXP(-LN(2)/2))/(LN(2)/2)*AQ179*AT179*VLOOKUP('Données projet'!$B$10,Paramètres!$A$1:$I$89,3,0)*0.475*44/12</f>
        <v>1.492687319932675E-16</v>
      </c>
      <c r="AX179" s="21">
        <f t="shared" si="166"/>
        <v>12.838779057253209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-2.8421709430404007E-14</v>
      </c>
      <c r="BE179" s="13">
        <f>BD179*VLOOKUP('Données projet'!$B$11,Paramètres!$A$1:$I$89,3,0)*VLOOKUP('Données projet'!$B$11,Paramètres!$A$1:$I$89,5,0)</f>
        <v>-2.3055690689943732E-14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5.8584049049231908</v>
      </c>
      <c r="BJ179" s="59">
        <f t="shared" si="146"/>
        <v>42.266833200216638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3.5106669734318818E-20</v>
      </c>
      <c r="BS179" s="22">
        <f t="shared" si="169"/>
        <v>3.5106669734318818E-20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>
        <f>BY179*VLOOKUP('Données projet'!$B$12,Paramètres!$A$1:$I$89,3,0)*VLOOKUP('Données projet'!$B$12,Paramètres!$A$1:$I$89,5,0)</f>
        <v>0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0</v>
      </c>
      <c r="CE179" s="59">
        <f t="shared" si="148"/>
        <v>0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0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>
        <f>CT179*VLOOKUP('Données projet'!$B$13,Paramètres!$A$1:$I$89,3,0)*VLOOKUP('Données projet'!$B$13,Paramètres!$A$1:$I$89,5,0)</f>
        <v>0</v>
      </c>
      <c r="CV179" s="13" t="e">
        <f t="shared" si="173"/>
        <v>#NUM!</v>
      </c>
      <c r="CW179" s="20" t="e">
        <f t="shared" si="174"/>
        <v>#NUM!</v>
      </c>
      <c r="CX179" s="59" t="e">
        <f t="shared" si="122"/>
        <v>#NUM!</v>
      </c>
      <c r="CY179" s="59">
        <f ca="1">AVERAGE(OFFSET($CX$3,0,0,'Données projet'!$E$13+1,1))-AVERAGE(OFFSET($H$3,0,0,'Données projet'!$E$13+1,1))</f>
        <v>0</v>
      </c>
      <c r="CZ179" s="59">
        <f t="shared" si="150"/>
        <v>0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</v>
      </c>
      <c r="DG179" s="21">
        <f>EXP(-LN(2)/25)*DG178+(1-EXP(-LN(2)/25))/(LN(2)/25)*Calculateur!DB179*Calculateur!DD179*VLOOKUP('Données projet'!$B$13,Paramètres!$A$1:$I$89,3,0)*0.475*44/12</f>
        <v>0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0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>
        <f>DO179*VLOOKUP('Données projet'!$B$14,Paramètres!$A$1:$I$89,3,0)*VLOOKUP('Données projet'!$B$14,Paramètres!$A$1:$I$89,5,0)</f>
        <v>0</v>
      </c>
      <c r="DQ179" s="13" t="e">
        <f t="shared" si="176"/>
        <v>#NUM!</v>
      </c>
      <c r="DR179" s="20" t="e">
        <f t="shared" si="177"/>
        <v>#NUM!</v>
      </c>
      <c r="DS179" s="59" t="e">
        <f t="shared" si="125"/>
        <v>#NUM!</v>
      </c>
      <c r="DT179" s="59">
        <f ca="1">AVERAGE(OFFSET($DS$3,0,0,'Données projet'!$E$14+1,1))-AVERAGE(OFFSET($H$3,0,0,'Données projet'!$E$14+1,1))</f>
        <v>0</v>
      </c>
      <c r="DU179" s="59">
        <f t="shared" si="152"/>
        <v>0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</v>
      </c>
      <c r="EB179" s="21">
        <f>EXP(-LN(2)/25)*EB178+(1-EXP(-LN(2)/25))/(LN(2)/25)*Calculateur!DW179*Calculateur!DY179*VLOOKUP('Données projet'!$B$14,Paramètres!$A$1:$I$89,3,0)*0.475*44/12</f>
        <v>0</v>
      </c>
      <c r="EC179" s="21">
        <f>EXP(-LN(2)/2)*EC178+(1-EXP(-LN(2)/2))/(LN(2)/2)*DW179*DZ179*VLOOKUP('Données projet'!$B$14,Paramètres!$A$1:$I$89,3,0)*0.475*44/12</f>
        <v>0</v>
      </c>
      <c r="ED179" s="22">
        <f t="shared" si="178"/>
        <v>0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>
        <f>EJ179*VLOOKUP('Données projet'!$B$15,Paramètres!$A$1:$I$89,3,0)*VLOOKUP('Données projet'!$B$15,Paramètres!$A$1:$I$89,5,0)</f>
        <v>0</v>
      </c>
      <c r="EL179" s="13" t="e">
        <f t="shared" si="179"/>
        <v>#NUM!</v>
      </c>
      <c r="EM179" s="20" t="e">
        <f t="shared" si="180"/>
        <v>#NUM!</v>
      </c>
      <c r="EN179" s="59" t="e">
        <f t="shared" si="128"/>
        <v>#NUM!</v>
      </c>
      <c r="EO179" s="59">
        <f ca="1">AVERAGE(OFFSET($EN$3,0,0,'Données projet'!$E$15+1,1))-AVERAGE(OFFSET($H$3,0,0,'Données projet'!$E$15+1,1))</f>
        <v>0</v>
      </c>
      <c r="EP179" s="59">
        <f t="shared" si="154"/>
        <v>0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>
        <f>EXP(-LN(2)/35)*EV178+(1-EXP(-LN(2)/35))/(LN(2)/35)*ER179*ES179*VLOOKUP('Données projet'!$B$15,Paramètres!$A$1:$I$89,3,0)*0.475*44/12</f>
        <v>0</v>
      </c>
      <c r="EW179" s="21">
        <f>EXP(-LN(2)/25)*EW178+(1-EXP(-LN(2)/25))/(LN(2)/25)*Calculateur!ER179*Calculateur!ET179*VLOOKUP('Données projet'!$B$15,Paramètres!$A$1:$I$89,3,0)*0.475*44/12</f>
        <v>0</v>
      </c>
      <c r="EX179" s="21">
        <f>EXP(-LN(2)/2)*EX178+(1-EXP(-LN(2)/2))/(LN(2)/2)*ER179*EU179*VLOOKUP('Données projet'!$B$15,Paramètres!$A$1:$I$89,3,0)*0.475*44/12</f>
        <v>0</v>
      </c>
      <c r="EY179" s="22">
        <f t="shared" si="181"/>
        <v>0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>
        <f>FE179*VLOOKUP('Données projet'!$B$16,Paramètres!$A$1:$I$89,3,0)*VLOOKUP('Données projet'!$B$16,Paramètres!$A$1:$I$89,5,0)</f>
        <v>0</v>
      </c>
      <c r="FG179" s="13" t="e">
        <f t="shared" si="182"/>
        <v>#NUM!</v>
      </c>
      <c r="FH179" s="20" t="e">
        <f t="shared" si="183"/>
        <v>#NUM!</v>
      </c>
      <c r="FI179" s="59" t="e">
        <f t="shared" si="131"/>
        <v>#NUM!</v>
      </c>
      <c r="FJ179" s="59">
        <f ca="1">AVERAGE(OFFSET($FI$3,0,0,'Données projet'!$E$16+1,1))-AVERAGE(OFFSET($H$3,0,0,'Données projet'!$E$16+1,1))</f>
        <v>0</v>
      </c>
      <c r="FK179" s="59">
        <f t="shared" si="156"/>
        <v>0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>
        <f>EXP(-LN(2)/35)*FQ178+(1-EXP(-LN(2)/35))/(LN(2)/35)*FM179*FN179*VLOOKUP('Données projet'!$B$16,Paramètres!$A$1:$I$89,3,0)*0.475*44/12</f>
        <v>0</v>
      </c>
      <c r="FR179" s="21">
        <f>EXP(-LN(2)/25)*FR178+(1-EXP(-LN(2)/25))/(LN(2)/25)*Calculateur!FM179*Calculateur!FO179*VLOOKUP('Données projet'!$B$16,Paramètres!$A$1:$I$89,3,0)*0.475*44/12</f>
        <v>0</v>
      </c>
      <c r="FS179" s="21">
        <f>EXP(-LN(2)/2)*FS178+(1-EXP(-LN(2)/2))/(LN(2)/2)*FM179*FP179*VLOOKUP('Données projet'!$B$16,Paramètres!$A$1:$I$89,3,0)*0.475*44/12</f>
        <v>0</v>
      </c>
      <c r="FT179" s="22">
        <f t="shared" si="184"/>
        <v>0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1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186.90544184210381</v>
      </c>
      <c r="T180" s="59">
        <f t="shared" si="142"/>
        <v>202.05988514450519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11.727869653851844</v>
      </c>
      <c r="AA180" s="21">
        <f>EXP(-LN(2)/25)*AA179+(1-EXP(-LN(2)/25))/(LN(2)/25)*Calculateur!V180*Calculateur!X180*VLOOKUP('Données projet'!$B$9,Paramètres!$A$1:$I$89,3,0)*0.475*44/12</f>
        <v>0.85236975957472771</v>
      </c>
      <c r="AB180" s="21">
        <f>EXP(-LN(2)/2)*AB179+(1-EXP(-LN(2)/2))/(LN(2)/2)*V180*Y180*VLOOKUP('Données projet'!$B$9,Paramètres!$A$1:$I$89,3,0)*0.475*44/12</f>
        <v>1.0554893261155681E-16</v>
      </c>
      <c r="AC180" s="22">
        <f t="shared" si="163"/>
        <v>12.580239413426572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>
        <f>AI180*VLOOKUP('Données projet'!$B$10,Paramètres!$A$1:$I$89,3,0)*VLOOKUP('Données projet'!$B$10,Paramètres!$A$1:$I$89,5,0)</f>
        <v>0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186.90544184210381</v>
      </c>
      <c r="AO180" s="59">
        <f t="shared" si="144"/>
        <v>202.05988514450519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11.727869653851844</v>
      </c>
      <c r="AV180" s="21">
        <f>EXP(-LN(2)/25)*AV179+(1-EXP(-LN(2)/25))/(LN(2)/25)*Calculateur!AQ180*Calculateur!AS180*VLOOKUP('Données projet'!$B$10,Paramètres!$A$1:$I$89,3,0)*0.475*44/12</f>
        <v>0.85236975957472771</v>
      </c>
      <c r="AW180" s="21">
        <f>EXP(-LN(2)/2)*AW179+(1-EXP(-LN(2)/2))/(LN(2)/2)*AQ180*AT180*VLOOKUP('Données projet'!$B$10,Paramètres!$A$1:$I$89,3,0)*0.475*44/12</f>
        <v>1.0554893261155681E-16</v>
      </c>
      <c r="AX180" s="21">
        <f t="shared" si="166"/>
        <v>12.580239413426572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-2.8421709430404007E-14</v>
      </c>
      <c r="BE180" s="13">
        <f>BD180*VLOOKUP('Données projet'!$B$11,Paramètres!$A$1:$I$89,3,0)*VLOOKUP('Données projet'!$B$11,Paramètres!$A$1:$I$89,5,0)</f>
        <v>-2.3055690689943732E-14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5.8584049049231908</v>
      </c>
      <c r="BJ180" s="59">
        <f t="shared" si="146"/>
        <v>42.266833200216638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2.4824164234013368E-20</v>
      </c>
      <c r="BS180" s="22">
        <f t="shared" si="169"/>
        <v>2.4824164234013368E-20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>
        <f>BY180*VLOOKUP('Données projet'!$B$12,Paramètres!$A$1:$I$89,3,0)*VLOOKUP('Données projet'!$B$12,Paramètres!$A$1:$I$89,5,0)</f>
        <v>0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0</v>
      </c>
      <c r="CE180" s="59">
        <f t="shared" si="148"/>
        <v>0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0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>
        <f>CT180*VLOOKUP('Données projet'!$B$13,Paramètres!$A$1:$I$89,3,0)*VLOOKUP('Données projet'!$B$13,Paramètres!$A$1:$I$89,5,0)</f>
        <v>0</v>
      </c>
      <c r="CV180" s="13" t="e">
        <f t="shared" si="173"/>
        <v>#NUM!</v>
      </c>
      <c r="CW180" s="20" t="e">
        <f t="shared" si="174"/>
        <v>#NUM!</v>
      </c>
      <c r="CX180" s="59" t="e">
        <f t="shared" si="122"/>
        <v>#NUM!</v>
      </c>
      <c r="CY180" s="59">
        <f ca="1">AVERAGE(OFFSET($CX$3,0,0,'Données projet'!$E$13+1,1))-AVERAGE(OFFSET($H$3,0,0,'Données projet'!$E$13+1,1))</f>
        <v>0</v>
      </c>
      <c r="CZ180" s="59">
        <f t="shared" si="150"/>
        <v>0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</v>
      </c>
      <c r="DG180" s="21">
        <f>EXP(-LN(2)/25)*DG179+(1-EXP(-LN(2)/25))/(LN(2)/25)*Calculateur!DB180*Calculateur!DD180*VLOOKUP('Données projet'!$B$13,Paramètres!$A$1:$I$89,3,0)*0.475*44/12</f>
        <v>0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0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>
        <f>DO180*VLOOKUP('Données projet'!$B$14,Paramètres!$A$1:$I$89,3,0)*VLOOKUP('Données projet'!$B$14,Paramètres!$A$1:$I$89,5,0)</f>
        <v>0</v>
      </c>
      <c r="DQ180" s="13" t="e">
        <f t="shared" si="176"/>
        <v>#NUM!</v>
      </c>
      <c r="DR180" s="20" t="e">
        <f t="shared" si="177"/>
        <v>#NUM!</v>
      </c>
      <c r="DS180" s="59" t="e">
        <f t="shared" si="125"/>
        <v>#NUM!</v>
      </c>
      <c r="DT180" s="59">
        <f ca="1">AVERAGE(OFFSET($DS$3,0,0,'Données projet'!$E$14+1,1))-AVERAGE(OFFSET($H$3,0,0,'Données projet'!$E$14+1,1))</f>
        <v>0</v>
      </c>
      <c r="DU180" s="59">
        <f t="shared" si="152"/>
        <v>0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</v>
      </c>
      <c r="EB180" s="21">
        <f>EXP(-LN(2)/25)*EB179+(1-EXP(-LN(2)/25))/(LN(2)/25)*Calculateur!DW180*Calculateur!DY180*VLOOKUP('Données projet'!$B$14,Paramètres!$A$1:$I$89,3,0)*0.475*44/12</f>
        <v>0</v>
      </c>
      <c r="EC180" s="21">
        <f>EXP(-LN(2)/2)*EC179+(1-EXP(-LN(2)/2))/(LN(2)/2)*DW180*DZ180*VLOOKUP('Données projet'!$B$14,Paramètres!$A$1:$I$89,3,0)*0.475*44/12</f>
        <v>0</v>
      </c>
      <c r="ED180" s="22">
        <f t="shared" si="178"/>
        <v>0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>
        <f>EJ180*VLOOKUP('Données projet'!$B$15,Paramètres!$A$1:$I$89,3,0)*VLOOKUP('Données projet'!$B$15,Paramètres!$A$1:$I$89,5,0)</f>
        <v>0</v>
      </c>
      <c r="EL180" s="13" t="e">
        <f t="shared" si="179"/>
        <v>#NUM!</v>
      </c>
      <c r="EM180" s="20" t="e">
        <f t="shared" si="180"/>
        <v>#NUM!</v>
      </c>
      <c r="EN180" s="59" t="e">
        <f t="shared" si="128"/>
        <v>#NUM!</v>
      </c>
      <c r="EO180" s="59">
        <f ca="1">AVERAGE(OFFSET($EN$3,0,0,'Données projet'!$E$15+1,1))-AVERAGE(OFFSET($H$3,0,0,'Données projet'!$E$15+1,1))</f>
        <v>0</v>
      </c>
      <c r="EP180" s="59">
        <f t="shared" si="154"/>
        <v>0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>
        <f>EXP(-LN(2)/35)*EV179+(1-EXP(-LN(2)/35))/(LN(2)/35)*ER180*ES180*VLOOKUP('Données projet'!$B$15,Paramètres!$A$1:$I$89,3,0)*0.475*44/12</f>
        <v>0</v>
      </c>
      <c r="EW180" s="21">
        <f>EXP(-LN(2)/25)*EW179+(1-EXP(-LN(2)/25))/(LN(2)/25)*Calculateur!ER180*Calculateur!ET180*VLOOKUP('Données projet'!$B$15,Paramètres!$A$1:$I$89,3,0)*0.475*44/12</f>
        <v>0</v>
      </c>
      <c r="EX180" s="21">
        <f>EXP(-LN(2)/2)*EX179+(1-EXP(-LN(2)/2))/(LN(2)/2)*ER180*EU180*VLOOKUP('Données projet'!$B$15,Paramètres!$A$1:$I$89,3,0)*0.475*44/12</f>
        <v>0</v>
      </c>
      <c r="EY180" s="22">
        <f t="shared" si="181"/>
        <v>0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>
        <f>FE180*VLOOKUP('Données projet'!$B$16,Paramètres!$A$1:$I$89,3,0)*VLOOKUP('Données projet'!$B$16,Paramètres!$A$1:$I$89,5,0)</f>
        <v>0</v>
      </c>
      <c r="FG180" s="13" t="e">
        <f t="shared" si="182"/>
        <v>#NUM!</v>
      </c>
      <c r="FH180" s="20" t="e">
        <f t="shared" si="183"/>
        <v>#NUM!</v>
      </c>
      <c r="FI180" s="59" t="e">
        <f t="shared" si="131"/>
        <v>#NUM!</v>
      </c>
      <c r="FJ180" s="59">
        <f ca="1">AVERAGE(OFFSET($FI$3,0,0,'Données projet'!$E$16+1,1))-AVERAGE(OFFSET($H$3,0,0,'Données projet'!$E$16+1,1))</f>
        <v>0</v>
      </c>
      <c r="FK180" s="59">
        <f t="shared" si="156"/>
        <v>0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>
        <f>EXP(-LN(2)/35)*FQ179+(1-EXP(-LN(2)/35))/(LN(2)/35)*FM180*FN180*VLOOKUP('Données projet'!$B$16,Paramètres!$A$1:$I$89,3,0)*0.475*44/12</f>
        <v>0</v>
      </c>
      <c r="FR180" s="21">
        <f>EXP(-LN(2)/25)*FR179+(1-EXP(-LN(2)/25))/(LN(2)/25)*Calculateur!FM180*Calculateur!FO180*VLOOKUP('Données projet'!$B$16,Paramètres!$A$1:$I$89,3,0)*0.475*44/12</f>
        <v>0</v>
      </c>
      <c r="FS180" s="21">
        <f>EXP(-LN(2)/2)*FS179+(1-EXP(-LN(2)/2))/(LN(2)/2)*FM180*FP180*VLOOKUP('Données projet'!$B$16,Paramètres!$A$1:$I$89,3,0)*0.475*44/12</f>
        <v>0</v>
      </c>
      <c r="FT180" s="22">
        <f t="shared" si="184"/>
        <v>0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1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186.90544184210381</v>
      </c>
      <c r="T181" s="59">
        <f t="shared" si="142"/>
        <v>202.05988514450519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11.497893283233969</v>
      </c>
      <c r="AA181" s="21">
        <f>EXP(-LN(2)/25)*AA180+(1-EXP(-LN(2)/25))/(LN(2)/25)*Calculateur!V181*Calculateur!X181*VLOOKUP('Données projet'!$B$9,Paramètres!$A$1:$I$89,3,0)*0.475*44/12</f>
        <v>0.82906166367497924</v>
      </c>
      <c r="AB181" s="21">
        <f>EXP(-LN(2)/2)*AB180+(1-EXP(-LN(2)/2))/(LN(2)/2)*V181*Y181*VLOOKUP('Données projet'!$B$9,Paramètres!$A$1:$I$89,3,0)*0.475*44/12</f>
        <v>7.4634365996633748E-17</v>
      </c>
      <c r="AC181" s="22">
        <f t="shared" si="163"/>
        <v>12.326954946908948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>
        <f>AI181*VLOOKUP('Données projet'!$B$10,Paramètres!$A$1:$I$89,3,0)*VLOOKUP('Données projet'!$B$10,Paramètres!$A$1:$I$89,5,0)</f>
        <v>0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186.90544184210381</v>
      </c>
      <c r="AO181" s="59">
        <f t="shared" si="144"/>
        <v>202.05988514450519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11.497893283233969</v>
      </c>
      <c r="AV181" s="21">
        <f>EXP(-LN(2)/25)*AV180+(1-EXP(-LN(2)/25))/(LN(2)/25)*Calculateur!AQ181*Calculateur!AS181*VLOOKUP('Données projet'!$B$10,Paramètres!$A$1:$I$89,3,0)*0.475*44/12</f>
        <v>0.82906166367497924</v>
      </c>
      <c r="AW181" s="21">
        <f>EXP(-LN(2)/2)*AW180+(1-EXP(-LN(2)/2))/(LN(2)/2)*AQ181*AT181*VLOOKUP('Données projet'!$B$10,Paramètres!$A$1:$I$89,3,0)*0.475*44/12</f>
        <v>7.4634365996633748E-17</v>
      </c>
      <c r="AX181" s="21">
        <f t="shared" si="166"/>
        <v>12.326954946908948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-2.8421709430404007E-14</v>
      </c>
      <c r="BE181" s="13">
        <f>BD181*VLOOKUP('Données projet'!$B$11,Paramètres!$A$1:$I$89,3,0)*VLOOKUP('Données projet'!$B$11,Paramètres!$A$1:$I$89,5,0)</f>
        <v>-2.3055690689943732E-14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5.8584049049231908</v>
      </c>
      <c r="BJ181" s="59">
        <f t="shared" si="146"/>
        <v>42.266833200216638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1.7553334867159409E-20</v>
      </c>
      <c r="BS181" s="22">
        <f t="shared" si="169"/>
        <v>1.7553334867159409E-20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>
        <f>BY181*VLOOKUP('Données projet'!$B$12,Paramètres!$A$1:$I$89,3,0)*VLOOKUP('Données projet'!$B$12,Paramètres!$A$1:$I$89,5,0)</f>
        <v>0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0</v>
      </c>
      <c r="CE181" s="59">
        <f t="shared" si="148"/>
        <v>0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0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>
        <f>CT181*VLOOKUP('Données projet'!$B$13,Paramètres!$A$1:$I$89,3,0)*VLOOKUP('Données projet'!$B$13,Paramètres!$A$1:$I$89,5,0)</f>
        <v>0</v>
      </c>
      <c r="CV181" s="13" t="e">
        <f t="shared" si="173"/>
        <v>#NUM!</v>
      </c>
      <c r="CW181" s="20" t="e">
        <f t="shared" si="174"/>
        <v>#NUM!</v>
      </c>
      <c r="CX181" s="59" t="e">
        <f t="shared" si="122"/>
        <v>#NUM!</v>
      </c>
      <c r="CY181" s="59">
        <f ca="1">AVERAGE(OFFSET($CX$3,0,0,'Données projet'!$E$13+1,1))-AVERAGE(OFFSET($H$3,0,0,'Données projet'!$E$13+1,1))</f>
        <v>0</v>
      </c>
      <c r="CZ181" s="59">
        <f t="shared" si="150"/>
        <v>0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</v>
      </c>
      <c r="DG181" s="21">
        <f>EXP(-LN(2)/25)*DG180+(1-EXP(-LN(2)/25))/(LN(2)/25)*Calculateur!DB181*Calculateur!DD181*VLOOKUP('Données projet'!$B$13,Paramètres!$A$1:$I$89,3,0)*0.475*44/12</f>
        <v>0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0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>
        <f>DO181*VLOOKUP('Données projet'!$B$14,Paramètres!$A$1:$I$89,3,0)*VLOOKUP('Données projet'!$B$14,Paramètres!$A$1:$I$89,5,0)</f>
        <v>0</v>
      </c>
      <c r="DQ181" s="13" t="e">
        <f t="shared" si="176"/>
        <v>#NUM!</v>
      </c>
      <c r="DR181" s="20" t="e">
        <f t="shared" si="177"/>
        <v>#NUM!</v>
      </c>
      <c r="DS181" s="59" t="e">
        <f t="shared" si="125"/>
        <v>#NUM!</v>
      </c>
      <c r="DT181" s="59">
        <f ca="1">AVERAGE(OFFSET($DS$3,0,0,'Données projet'!$E$14+1,1))-AVERAGE(OFFSET($H$3,0,0,'Données projet'!$E$14+1,1))</f>
        <v>0</v>
      </c>
      <c r="DU181" s="59">
        <f t="shared" si="152"/>
        <v>0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</v>
      </c>
      <c r="EB181" s="21">
        <f>EXP(-LN(2)/25)*EB180+(1-EXP(-LN(2)/25))/(LN(2)/25)*Calculateur!DW181*Calculateur!DY181*VLOOKUP('Données projet'!$B$14,Paramètres!$A$1:$I$89,3,0)*0.475*44/12</f>
        <v>0</v>
      </c>
      <c r="EC181" s="21">
        <f>EXP(-LN(2)/2)*EC180+(1-EXP(-LN(2)/2))/(LN(2)/2)*DW181*DZ181*VLOOKUP('Données projet'!$B$14,Paramètres!$A$1:$I$89,3,0)*0.475*44/12</f>
        <v>0</v>
      </c>
      <c r="ED181" s="22">
        <f t="shared" si="178"/>
        <v>0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>
        <f>EJ181*VLOOKUP('Données projet'!$B$15,Paramètres!$A$1:$I$89,3,0)*VLOOKUP('Données projet'!$B$15,Paramètres!$A$1:$I$89,5,0)</f>
        <v>0</v>
      </c>
      <c r="EL181" s="13" t="e">
        <f t="shared" si="179"/>
        <v>#NUM!</v>
      </c>
      <c r="EM181" s="20" t="e">
        <f t="shared" si="180"/>
        <v>#NUM!</v>
      </c>
      <c r="EN181" s="59" t="e">
        <f t="shared" si="128"/>
        <v>#NUM!</v>
      </c>
      <c r="EO181" s="59">
        <f ca="1">AVERAGE(OFFSET($EN$3,0,0,'Données projet'!$E$15+1,1))-AVERAGE(OFFSET($H$3,0,0,'Données projet'!$E$15+1,1))</f>
        <v>0</v>
      </c>
      <c r="EP181" s="59">
        <f t="shared" si="154"/>
        <v>0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>
        <f>EXP(-LN(2)/35)*EV180+(1-EXP(-LN(2)/35))/(LN(2)/35)*ER181*ES181*VLOOKUP('Données projet'!$B$15,Paramètres!$A$1:$I$89,3,0)*0.475*44/12</f>
        <v>0</v>
      </c>
      <c r="EW181" s="21">
        <f>EXP(-LN(2)/25)*EW180+(1-EXP(-LN(2)/25))/(LN(2)/25)*Calculateur!ER181*Calculateur!ET181*VLOOKUP('Données projet'!$B$15,Paramètres!$A$1:$I$89,3,0)*0.475*44/12</f>
        <v>0</v>
      </c>
      <c r="EX181" s="21">
        <f>EXP(-LN(2)/2)*EX180+(1-EXP(-LN(2)/2))/(LN(2)/2)*ER181*EU181*VLOOKUP('Données projet'!$B$15,Paramètres!$A$1:$I$89,3,0)*0.475*44/12</f>
        <v>0</v>
      </c>
      <c r="EY181" s="22">
        <f t="shared" si="181"/>
        <v>0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>
        <f>FE181*VLOOKUP('Données projet'!$B$16,Paramètres!$A$1:$I$89,3,0)*VLOOKUP('Données projet'!$B$16,Paramètres!$A$1:$I$89,5,0)</f>
        <v>0</v>
      </c>
      <c r="FG181" s="13" t="e">
        <f t="shared" si="182"/>
        <v>#NUM!</v>
      </c>
      <c r="FH181" s="20" t="e">
        <f t="shared" si="183"/>
        <v>#NUM!</v>
      </c>
      <c r="FI181" s="59" t="e">
        <f t="shared" si="131"/>
        <v>#NUM!</v>
      </c>
      <c r="FJ181" s="59">
        <f ca="1">AVERAGE(OFFSET($FI$3,0,0,'Données projet'!$E$16+1,1))-AVERAGE(OFFSET($H$3,0,0,'Données projet'!$E$16+1,1))</f>
        <v>0</v>
      </c>
      <c r="FK181" s="59">
        <f t="shared" si="156"/>
        <v>0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>
        <f>EXP(-LN(2)/35)*FQ180+(1-EXP(-LN(2)/35))/(LN(2)/35)*FM181*FN181*VLOOKUP('Données projet'!$B$16,Paramètres!$A$1:$I$89,3,0)*0.475*44/12</f>
        <v>0</v>
      </c>
      <c r="FR181" s="21">
        <f>EXP(-LN(2)/25)*FR180+(1-EXP(-LN(2)/25))/(LN(2)/25)*Calculateur!FM181*Calculateur!FO181*VLOOKUP('Données projet'!$B$16,Paramètres!$A$1:$I$89,3,0)*0.475*44/12</f>
        <v>0</v>
      </c>
      <c r="FS181" s="21">
        <f>EXP(-LN(2)/2)*FS180+(1-EXP(-LN(2)/2))/(LN(2)/2)*FM181*FP181*VLOOKUP('Données projet'!$B$16,Paramètres!$A$1:$I$89,3,0)*0.475*44/12</f>
        <v>0</v>
      </c>
      <c r="FT181" s="22">
        <f t="shared" si="184"/>
        <v>0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1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186.90544184210381</v>
      </c>
      <c r="T182" s="59">
        <f t="shared" si="142"/>
        <v>202.05988514450519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11.272426608972175</v>
      </c>
      <c r="AA182" s="21">
        <f>EXP(-LN(2)/25)*AA181+(1-EXP(-LN(2)/25))/(LN(2)/25)*Calculateur!V182*Calculateur!X182*VLOOKUP('Données projet'!$B$9,Paramètres!$A$1:$I$89,3,0)*0.475*44/12</f>
        <v>0.80639092888332886</v>
      </c>
      <c r="AB182" s="21">
        <f>EXP(-LN(2)/2)*AB181+(1-EXP(-LN(2)/2))/(LN(2)/2)*V182*Y182*VLOOKUP('Données projet'!$B$9,Paramètres!$A$1:$I$89,3,0)*0.475*44/12</f>
        <v>5.2774466305778403E-17</v>
      </c>
      <c r="AC182" s="22">
        <f t="shared" si="163"/>
        <v>12.078817537855503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>
        <f>AI182*VLOOKUP('Données projet'!$B$10,Paramètres!$A$1:$I$89,3,0)*VLOOKUP('Données projet'!$B$10,Paramètres!$A$1:$I$89,5,0)</f>
        <v>0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186.90544184210381</v>
      </c>
      <c r="AO182" s="59">
        <f t="shared" si="144"/>
        <v>202.05988514450519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11.272426608972175</v>
      </c>
      <c r="AV182" s="21">
        <f>EXP(-LN(2)/25)*AV181+(1-EXP(-LN(2)/25))/(LN(2)/25)*Calculateur!AQ182*Calculateur!AS182*VLOOKUP('Données projet'!$B$10,Paramètres!$A$1:$I$89,3,0)*0.475*44/12</f>
        <v>0.80639092888332886</v>
      </c>
      <c r="AW182" s="21">
        <f>EXP(-LN(2)/2)*AW181+(1-EXP(-LN(2)/2))/(LN(2)/2)*AQ182*AT182*VLOOKUP('Données projet'!$B$10,Paramètres!$A$1:$I$89,3,0)*0.475*44/12</f>
        <v>5.2774466305778403E-17</v>
      </c>
      <c r="AX182" s="21">
        <f t="shared" si="166"/>
        <v>12.078817537855503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-2.8421709430404007E-14</v>
      </c>
      <c r="BE182" s="13">
        <f>BD182*VLOOKUP('Données projet'!$B$11,Paramètres!$A$1:$I$89,3,0)*VLOOKUP('Données projet'!$B$11,Paramètres!$A$1:$I$89,5,0)</f>
        <v>-2.3055690689943732E-14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5.8584049049231908</v>
      </c>
      <c r="BJ182" s="59">
        <f t="shared" si="146"/>
        <v>42.266833200216638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1.2412082117006684E-20</v>
      </c>
      <c r="BS182" s="22">
        <f t="shared" si="169"/>
        <v>1.2412082117006684E-20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>
        <f>BY182*VLOOKUP('Données projet'!$B$12,Paramètres!$A$1:$I$89,3,0)*VLOOKUP('Données projet'!$B$12,Paramètres!$A$1:$I$89,5,0)</f>
        <v>0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0</v>
      </c>
      <c r="CE182" s="59">
        <f t="shared" si="148"/>
        <v>0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0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>
        <f>CT182*VLOOKUP('Données projet'!$B$13,Paramètres!$A$1:$I$89,3,0)*VLOOKUP('Données projet'!$B$13,Paramètres!$A$1:$I$89,5,0)</f>
        <v>0</v>
      </c>
      <c r="CV182" s="13" t="e">
        <f t="shared" si="173"/>
        <v>#NUM!</v>
      </c>
      <c r="CW182" s="20" t="e">
        <f t="shared" si="174"/>
        <v>#NUM!</v>
      </c>
      <c r="CX182" s="59" t="e">
        <f t="shared" si="122"/>
        <v>#NUM!</v>
      </c>
      <c r="CY182" s="59">
        <f ca="1">AVERAGE(OFFSET($CX$3,0,0,'Données projet'!$E$13+1,1))-AVERAGE(OFFSET($H$3,0,0,'Données projet'!$E$13+1,1))</f>
        <v>0</v>
      </c>
      <c r="CZ182" s="59">
        <f t="shared" si="150"/>
        <v>0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</v>
      </c>
      <c r="DG182" s="21">
        <f>EXP(-LN(2)/25)*DG181+(1-EXP(-LN(2)/25))/(LN(2)/25)*Calculateur!DB182*Calculateur!DD182*VLOOKUP('Données projet'!$B$13,Paramètres!$A$1:$I$89,3,0)*0.475*44/12</f>
        <v>0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0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>
        <f>DO182*VLOOKUP('Données projet'!$B$14,Paramètres!$A$1:$I$89,3,0)*VLOOKUP('Données projet'!$B$14,Paramètres!$A$1:$I$89,5,0)</f>
        <v>0</v>
      </c>
      <c r="DQ182" s="13" t="e">
        <f t="shared" si="176"/>
        <v>#NUM!</v>
      </c>
      <c r="DR182" s="20" t="e">
        <f t="shared" si="177"/>
        <v>#NUM!</v>
      </c>
      <c r="DS182" s="59" t="e">
        <f t="shared" si="125"/>
        <v>#NUM!</v>
      </c>
      <c r="DT182" s="59">
        <f ca="1">AVERAGE(OFFSET($DS$3,0,0,'Données projet'!$E$14+1,1))-AVERAGE(OFFSET($H$3,0,0,'Données projet'!$E$14+1,1))</f>
        <v>0</v>
      </c>
      <c r="DU182" s="59">
        <f t="shared" si="152"/>
        <v>0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</v>
      </c>
      <c r="EB182" s="21">
        <f>EXP(-LN(2)/25)*EB181+(1-EXP(-LN(2)/25))/(LN(2)/25)*Calculateur!DW182*Calculateur!DY182*VLOOKUP('Données projet'!$B$14,Paramètres!$A$1:$I$89,3,0)*0.475*44/12</f>
        <v>0</v>
      </c>
      <c r="EC182" s="21">
        <f>EXP(-LN(2)/2)*EC181+(1-EXP(-LN(2)/2))/(LN(2)/2)*DW182*DZ182*VLOOKUP('Données projet'!$B$14,Paramètres!$A$1:$I$89,3,0)*0.475*44/12</f>
        <v>0</v>
      </c>
      <c r="ED182" s="22">
        <f t="shared" si="178"/>
        <v>0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>
        <f>EJ182*VLOOKUP('Données projet'!$B$15,Paramètres!$A$1:$I$89,3,0)*VLOOKUP('Données projet'!$B$15,Paramètres!$A$1:$I$89,5,0)</f>
        <v>0</v>
      </c>
      <c r="EL182" s="13" t="e">
        <f t="shared" si="179"/>
        <v>#NUM!</v>
      </c>
      <c r="EM182" s="20" t="e">
        <f t="shared" si="180"/>
        <v>#NUM!</v>
      </c>
      <c r="EN182" s="59" t="e">
        <f t="shared" si="128"/>
        <v>#NUM!</v>
      </c>
      <c r="EO182" s="59">
        <f ca="1">AVERAGE(OFFSET($EN$3,0,0,'Données projet'!$E$15+1,1))-AVERAGE(OFFSET($H$3,0,0,'Données projet'!$E$15+1,1))</f>
        <v>0</v>
      </c>
      <c r="EP182" s="59">
        <f t="shared" si="154"/>
        <v>0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>
        <f>EXP(-LN(2)/35)*EV181+(1-EXP(-LN(2)/35))/(LN(2)/35)*ER182*ES182*VLOOKUP('Données projet'!$B$15,Paramètres!$A$1:$I$89,3,0)*0.475*44/12</f>
        <v>0</v>
      </c>
      <c r="EW182" s="21">
        <f>EXP(-LN(2)/25)*EW181+(1-EXP(-LN(2)/25))/(LN(2)/25)*Calculateur!ER182*Calculateur!ET182*VLOOKUP('Données projet'!$B$15,Paramètres!$A$1:$I$89,3,0)*0.475*44/12</f>
        <v>0</v>
      </c>
      <c r="EX182" s="21">
        <f>EXP(-LN(2)/2)*EX181+(1-EXP(-LN(2)/2))/(LN(2)/2)*ER182*EU182*VLOOKUP('Données projet'!$B$15,Paramètres!$A$1:$I$89,3,0)*0.475*44/12</f>
        <v>0</v>
      </c>
      <c r="EY182" s="22">
        <f t="shared" si="181"/>
        <v>0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>
        <f>FE182*VLOOKUP('Données projet'!$B$16,Paramètres!$A$1:$I$89,3,0)*VLOOKUP('Données projet'!$B$16,Paramètres!$A$1:$I$89,5,0)</f>
        <v>0</v>
      </c>
      <c r="FG182" s="13" t="e">
        <f t="shared" si="182"/>
        <v>#NUM!</v>
      </c>
      <c r="FH182" s="20" t="e">
        <f t="shared" si="183"/>
        <v>#NUM!</v>
      </c>
      <c r="FI182" s="59" t="e">
        <f t="shared" si="131"/>
        <v>#NUM!</v>
      </c>
      <c r="FJ182" s="59">
        <f ca="1">AVERAGE(OFFSET($FI$3,0,0,'Données projet'!$E$16+1,1))-AVERAGE(OFFSET($H$3,0,0,'Données projet'!$E$16+1,1))</f>
        <v>0</v>
      </c>
      <c r="FK182" s="59">
        <f t="shared" si="156"/>
        <v>0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>
        <f>EXP(-LN(2)/35)*FQ181+(1-EXP(-LN(2)/35))/(LN(2)/35)*FM182*FN182*VLOOKUP('Données projet'!$B$16,Paramètres!$A$1:$I$89,3,0)*0.475*44/12</f>
        <v>0</v>
      </c>
      <c r="FR182" s="21">
        <f>EXP(-LN(2)/25)*FR181+(1-EXP(-LN(2)/25))/(LN(2)/25)*Calculateur!FM182*Calculateur!FO182*VLOOKUP('Données projet'!$B$16,Paramètres!$A$1:$I$89,3,0)*0.475*44/12</f>
        <v>0</v>
      </c>
      <c r="FS182" s="21">
        <f>EXP(-LN(2)/2)*FS181+(1-EXP(-LN(2)/2))/(LN(2)/2)*FM182*FP182*VLOOKUP('Données projet'!$B$16,Paramètres!$A$1:$I$89,3,0)*0.475*44/12</f>
        <v>0</v>
      </c>
      <c r="FT182" s="22">
        <f t="shared" si="184"/>
        <v>0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1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186.90544184210381</v>
      </c>
      <c r="T183" s="59">
        <f t="shared" si="142"/>
        <v>202.05988514450519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11.051381198671564</v>
      </c>
      <c r="AA183" s="21">
        <f>EXP(-LN(2)/25)*AA182+(1-EXP(-LN(2)/25))/(LN(2)/25)*Calculateur!V183*Calculateur!X183*VLOOKUP('Données projet'!$B$9,Paramètres!$A$1:$I$89,3,0)*0.475*44/12</f>
        <v>0.78434012652675833</v>
      </c>
      <c r="AB183" s="21">
        <f>EXP(-LN(2)/2)*AB182+(1-EXP(-LN(2)/2))/(LN(2)/2)*V183*Y183*VLOOKUP('Données projet'!$B$9,Paramètres!$A$1:$I$89,3,0)*0.475*44/12</f>
        <v>3.7317182998316874E-17</v>
      </c>
      <c r="AC183" s="22">
        <f t="shared" si="163"/>
        <v>11.835721325198323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>
        <f>AI183*VLOOKUP('Données projet'!$B$10,Paramètres!$A$1:$I$89,3,0)*VLOOKUP('Données projet'!$B$10,Paramètres!$A$1:$I$89,5,0)</f>
        <v>0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186.90544184210381</v>
      </c>
      <c r="AO183" s="59">
        <f t="shared" si="144"/>
        <v>202.05988514450519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11.051381198671564</v>
      </c>
      <c r="AV183" s="21">
        <f>EXP(-LN(2)/25)*AV182+(1-EXP(-LN(2)/25))/(LN(2)/25)*Calculateur!AQ183*Calculateur!AS183*VLOOKUP('Données projet'!$B$10,Paramètres!$A$1:$I$89,3,0)*0.475*44/12</f>
        <v>0.78434012652675833</v>
      </c>
      <c r="AW183" s="21">
        <f>EXP(-LN(2)/2)*AW182+(1-EXP(-LN(2)/2))/(LN(2)/2)*AQ183*AT183*VLOOKUP('Données projet'!$B$10,Paramètres!$A$1:$I$89,3,0)*0.475*44/12</f>
        <v>3.7317182998316874E-17</v>
      </c>
      <c r="AX183" s="21">
        <f t="shared" si="166"/>
        <v>11.835721325198323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-2.8421709430404007E-14</v>
      </c>
      <c r="BE183" s="13">
        <f>BD183*VLOOKUP('Données projet'!$B$11,Paramètres!$A$1:$I$89,3,0)*VLOOKUP('Données projet'!$B$11,Paramètres!$A$1:$I$89,5,0)</f>
        <v>-2.3055690689943732E-14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5.8584049049231908</v>
      </c>
      <c r="BJ183" s="59">
        <f t="shared" si="146"/>
        <v>42.266833200216638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8.7766674335797046E-21</v>
      </c>
      <c r="BS183" s="22">
        <f t="shared" si="169"/>
        <v>8.7766674335797046E-21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>
        <f>BY183*VLOOKUP('Données projet'!$B$12,Paramètres!$A$1:$I$89,3,0)*VLOOKUP('Données projet'!$B$12,Paramètres!$A$1:$I$89,5,0)</f>
        <v>0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0</v>
      </c>
      <c r="CE183" s="59">
        <f t="shared" si="148"/>
        <v>0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0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>
        <f>CT183*VLOOKUP('Données projet'!$B$13,Paramètres!$A$1:$I$89,3,0)*VLOOKUP('Données projet'!$B$13,Paramètres!$A$1:$I$89,5,0)</f>
        <v>0</v>
      </c>
      <c r="CV183" s="13" t="e">
        <f t="shared" si="173"/>
        <v>#NUM!</v>
      </c>
      <c r="CW183" s="20" t="e">
        <f t="shared" si="174"/>
        <v>#NUM!</v>
      </c>
      <c r="CX183" s="59" t="e">
        <f t="shared" si="122"/>
        <v>#NUM!</v>
      </c>
      <c r="CY183" s="59">
        <f ca="1">AVERAGE(OFFSET($CX$3,0,0,'Données projet'!$E$13+1,1))-AVERAGE(OFFSET($H$3,0,0,'Données projet'!$E$13+1,1))</f>
        <v>0</v>
      </c>
      <c r="CZ183" s="59">
        <f t="shared" si="150"/>
        <v>0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</v>
      </c>
      <c r="DG183" s="21">
        <f>EXP(-LN(2)/25)*DG182+(1-EXP(-LN(2)/25))/(LN(2)/25)*Calculateur!DB183*Calculateur!DD183*VLOOKUP('Données projet'!$B$13,Paramètres!$A$1:$I$89,3,0)*0.475*44/12</f>
        <v>0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0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>
        <f>DO183*VLOOKUP('Données projet'!$B$14,Paramètres!$A$1:$I$89,3,0)*VLOOKUP('Données projet'!$B$14,Paramètres!$A$1:$I$89,5,0)</f>
        <v>0</v>
      </c>
      <c r="DQ183" s="13" t="e">
        <f t="shared" si="176"/>
        <v>#NUM!</v>
      </c>
      <c r="DR183" s="20" t="e">
        <f t="shared" si="177"/>
        <v>#NUM!</v>
      </c>
      <c r="DS183" s="59" t="e">
        <f t="shared" si="125"/>
        <v>#NUM!</v>
      </c>
      <c r="DT183" s="59">
        <f ca="1">AVERAGE(OFFSET($DS$3,0,0,'Données projet'!$E$14+1,1))-AVERAGE(OFFSET($H$3,0,0,'Données projet'!$E$14+1,1))</f>
        <v>0</v>
      </c>
      <c r="DU183" s="59">
        <f t="shared" si="152"/>
        <v>0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</v>
      </c>
      <c r="EB183" s="21">
        <f>EXP(-LN(2)/25)*EB182+(1-EXP(-LN(2)/25))/(LN(2)/25)*Calculateur!DW183*Calculateur!DY183*VLOOKUP('Données projet'!$B$14,Paramètres!$A$1:$I$89,3,0)*0.475*44/12</f>
        <v>0</v>
      </c>
      <c r="EC183" s="21">
        <f>EXP(-LN(2)/2)*EC182+(1-EXP(-LN(2)/2))/(LN(2)/2)*DW183*DZ183*VLOOKUP('Données projet'!$B$14,Paramètres!$A$1:$I$89,3,0)*0.475*44/12</f>
        <v>0</v>
      </c>
      <c r="ED183" s="22">
        <f t="shared" si="178"/>
        <v>0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>
        <f>EJ183*VLOOKUP('Données projet'!$B$15,Paramètres!$A$1:$I$89,3,0)*VLOOKUP('Données projet'!$B$15,Paramètres!$A$1:$I$89,5,0)</f>
        <v>0</v>
      </c>
      <c r="EL183" s="13" t="e">
        <f t="shared" si="179"/>
        <v>#NUM!</v>
      </c>
      <c r="EM183" s="20" t="e">
        <f t="shared" si="180"/>
        <v>#NUM!</v>
      </c>
      <c r="EN183" s="59" t="e">
        <f t="shared" si="128"/>
        <v>#NUM!</v>
      </c>
      <c r="EO183" s="59">
        <f ca="1">AVERAGE(OFFSET($EN$3,0,0,'Données projet'!$E$15+1,1))-AVERAGE(OFFSET($H$3,0,0,'Données projet'!$E$15+1,1))</f>
        <v>0</v>
      </c>
      <c r="EP183" s="59">
        <f t="shared" si="154"/>
        <v>0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>
        <f>EXP(-LN(2)/35)*EV182+(1-EXP(-LN(2)/35))/(LN(2)/35)*ER183*ES183*VLOOKUP('Données projet'!$B$15,Paramètres!$A$1:$I$89,3,0)*0.475*44/12</f>
        <v>0</v>
      </c>
      <c r="EW183" s="21">
        <f>EXP(-LN(2)/25)*EW182+(1-EXP(-LN(2)/25))/(LN(2)/25)*Calculateur!ER183*Calculateur!ET183*VLOOKUP('Données projet'!$B$15,Paramètres!$A$1:$I$89,3,0)*0.475*44/12</f>
        <v>0</v>
      </c>
      <c r="EX183" s="21">
        <f>EXP(-LN(2)/2)*EX182+(1-EXP(-LN(2)/2))/(LN(2)/2)*ER183*EU183*VLOOKUP('Données projet'!$B$15,Paramètres!$A$1:$I$89,3,0)*0.475*44/12</f>
        <v>0</v>
      </c>
      <c r="EY183" s="22">
        <f t="shared" si="181"/>
        <v>0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>
        <f>FE183*VLOOKUP('Données projet'!$B$16,Paramètres!$A$1:$I$89,3,0)*VLOOKUP('Données projet'!$B$16,Paramètres!$A$1:$I$89,5,0)</f>
        <v>0</v>
      </c>
      <c r="FG183" s="13" t="e">
        <f t="shared" si="182"/>
        <v>#NUM!</v>
      </c>
      <c r="FH183" s="20" t="e">
        <f t="shared" si="183"/>
        <v>#NUM!</v>
      </c>
      <c r="FI183" s="59" t="e">
        <f t="shared" si="131"/>
        <v>#NUM!</v>
      </c>
      <c r="FJ183" s="59">
        <f ca="1">AVERAGE(OFFSET($FI$3,0,0,'Données projet'!$E$16+1,1))-AVERAGE(OFFSET($H$3,0,0,'Données projet'!$E$16+1,1))</f>
        <v>0</v>
      </c>
      <c r="FK183" s="59">
        <f t="shared" si="156"/>
        <v>0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>
        <f>EXP(-LN(2)/35)*FQ182+(1-EXP(-LN(2)/35))/(LN(2)/35)*FM183*FN183*VLOOKUP('Données projet'!$B$16,Paramètres!$A$1:$I$89,3,0)*0.475*44/12</f>
        <v>0</v>
      </c>
      <c r="FR183" s="21">
        <f>EXP(-LN(2)/25)*FR182+(1-EXP(-LN(2)/25))/(LN(2)/25)*Calculateur!FM183*Calculateur!FO183*VLOOKUP('Données projet'!$B$16,Paramètres!$A$1:$I$89,3,0)*0.475*44/12</f>
        <v>0</v>
      </c>
      <c r="FS183" s="21">
        <f>EXP(-LN(2)/2)*FS182+(1-EXP(-LN(2)/2))/(LN(2)/2)*FM183*FP183*VLOOKUP('Données projet'!$B$16,Paramètres!$A$1:$I$89,3,0)*0.475*44/12</f>
        <v>0</v>
      </c>
      <c r="FT183" s="22">
        <f t="shared" si="184"/>
        <v>0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1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186.90544184210381</v>
      </c>
      <c r="T184" s="59">
        <f t="shared" si="142"/>
        <v>202.05988514450519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10.83467035404256</v>
      </c>
      <c r="AA184" s="21">
        <f>EXP(-LN(2)/25)*AA183+(1-EXP(-LN(2)/25))/(LN(2)/25)*Calculateur!V184*Calculateur!X184*VLOOKUP('Données projet'!$B$9,Paramètres!$A$1:$I$89,3,0)*0.475*44/12</f>
        <v>0.76289230452022949</v>
      </c>
      <c r="AB184" s="21">
        <f>EXP(-LN(2)/2)*AB183+(1-EXP(-LN(2)/2))/(LN(2)/2)*V184*Y184*VLOOKUP('Données projet'!$B$9,Paramètres!$A$1:$I$89,3,0)*0.475*44/12</f>
        <v>2.6387233152889202E-17</v>
      </c>
      <c r="AC184" s="22">
        <f t="shared" si="163"/>
        <v>11.59756265856279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>
        <f>AI184*VLOOKUP('Données projet'!$B$10,Paramètres!$A$1:$I$89,3,0)*VLOOKUP('Données projet'!$B$10,Paramètres!$A$1:$I$89,5,0)</f>
        <v>0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186.90544184210381</v>
      </c>
      <c r="AO184" s="59">
        <f t="shared" si="144"/>
        <v>202.05988514450519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10.83467035404256</v>
      </c>
      <c r="AV184" s="21">
        <f>EXP(-LN(2)/25)*AV183+(1-EXP(-LN(2)/25))/(LN(2)/25)*Calculateur!AQ184*Calculateur!AS184*VLOOKUP('Données projet'!$B$10,Paramètres!$A$1:$I$89,3,0)*0.475*44/12</f>
        <v>0.76289230452022949</v>
      </c>
      <c r="AW184" s="21">
        <f>EXP(-LN(2)/2)*AW183+(1-EXP(-LN(2)/2))/(LN(2)/2)*AQ184*AT184*VLOOKUP('Données projet'!$B$10,Paramètres!$A$1:$I$89,3,0)*0.475*44/12</f>
        <v>2.6387233152889202E-17</v>
      </c>
      <c r="AX184" s="21">
        <f t="shared" si="166"/>
        <v>11.59756265856279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-2.8421709430404007E-14</v>
      </c>
      <c r="BE184" s="13">
        <f>BD184*VLOOKUP('Données projet'!$B$11,Paramètres!$A$1:$I$89,3,0)*VLOOKUP('Données projet'!$B$11,Paramètres!$A$1:$I$89,5,0)</f>
        <v>-2.3055690689943732E-14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5.8584049049231908</v>
      </c>
      <c r="BJ184" s="59">
        <f t="shared" si="146"/>
        <v>42.266833200216638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6.2060410585033419E-21</v>
      </c>
      <c r="BS184" s="22">
        <f t="shared" si="169"/>
        <v>6.2060410585033419E-21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>
        <f>BY184*VLOOKUP('Données projet'!$B$12,Paramètres!$A$1:$I$89,3,0)*VLOOKUP('Données projet'!$B$12,Paramètres!$A$1:$I$89,5,0)</f>
        <v>0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0</v>
      </c>
      <c r="CE184" s="59">
        <f t="shared" si="148"/>
        <v>0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0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>
        <f>CT184*VLOOKUP('Données projet'!$B$13,Paramètres!$A$1:$I$89,3,0)*VLOOKUP('Données projet'!$B$13,Paramètres!$A$1:$I$89,5,0)</f>
        <v>0</v>
      </c>
      <c r="CV184" s="13" t="e">
        <f t="shared" si="173"/>
        <v>#NUM!</v>
      </c>
      <c r="CW184" s="20" t="e">
        <f t="shared" si="174"/>
        <v>#NUM!</v>
      </c>
      <c r="CX184" s="59" t="e">
        <f t="shared" si="122"/>
        <v>#NUM!</v>
      </c>
      <c r="CY184" s="59">
        <f ca="1">AVERAGE(OFFSET($CX$3,0,0,'Données projet'!$E$13+1,1))-AVERAGE(OFFSET($H$3,0,0,'Données projet'!$E$13+1,1))</f>
        <v>0</v>
      </c>
      <c r="CZ184" s="59">
        <f t="shared" si="150"/>
        <v>0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</v>
      </c>
      <c r="DG184" s="21">
        <f>EXP(-LN(2)/25)*DG183+(1-EXP(-LN(2)/25))/(LN(2)/25)*Calculateur!DB184*Calculateur!DD184*VLOOKUP('Données projet'!$B$13,Paramètres!$A$1:$I$89,3,0)*0.475*44/12</f>
        <v>0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0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>
        <f>DO184*VLOOKUP('Données projet'!$B$14,Paramètres!$A$1:$I$89,3,0)*VLOOKUP('Données projet'!$B$14,Paramètres!$A$1:$I$89,5,0)</f>
        <v>0</v>
      </c>
      <c r="DQ184" s="13" t="e">
        <f t="shared" si="176"/>
        <v>#NUM!</v>
      </c>
      <c r="DR184" s="20" t="e">
        <f t="shared" si="177"/>
        <v>#NUM!</v>
      </c>
      <c r="DS184" s="59" t="e">
        <f t="shared" si="125"/>
        <v>#NUM!</v>
      </c>
      <c r="DT184" s="59">
        <f ca="1">AVERAGE(OFFSET($DS$3,0,0,'Données projet'!$E$14+1,1))-AVERAGE(OFFSET($H$3,0,0,'Données projet'!$E$14+1,1))</f>
        <v>0</v>
      </c>
      <c r="DU184" s="59">
        <f t="shared" si="152"/>
        <v>0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</v>
      </c>
      <c r="EB184" s="21">
        <f>EXP(-LN(2)/25)*EB183+(1-EXP(-LN(2)/25))/(LN(2)/25)*Calculateur!DW184*Calculateur!DY184*VLOOKUP('Données projet'!$B$14,Paramètres!$A$1:$I$89,3,0)*0.475*44/12</f>
        <v>0</v>
      </c>
      <c r="EC184" s="21">
        <f>EXP(-LN(2)/2)*EC183+(1-EXP(-LN(2)/2))/(LN(2)/2)*DW184*DZ184*VLOOKUP('Données projet'!$B$14,Paramètres!$A$1:$I$89,3,0)*0.475*44/12</f>
        <v>0</v>
      </c>
      <c r="ED184" s="22">
        <f t="shared" si="178"/>
        <v>0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>
        <f>EJ184*VLOOKUP('Données projet'!$B$15,Paramètres!$A$1:$I$89,3,0)*VLOOKUP('Données projet'!$B$15,Paramètres!$A$1:$I$89,5,0)</f>
        <v>0</v>
      </c>
      <c r="EL184" s="13" t="e">
        <f t="shared" si="179"/>
        <v>#NUM!</v>
      </c>
      <c r="EM184" s="20" t="e">
        <f t="shared" si="180"/>
        <v>#NUM!</v>
      </c>
      <c r="EN184" s="59" t="e">
        <f t="shared" si="128"/>
        <v>#NUM!</v>
      </c>
      <c r="EO184" s="59">
        <f ca="1">AVERAGE(OFFSET($EN$3,0,0,'Données projet'!$E$15+1,1))-AVERAGE(OFFSET($H$3,0,0,'Données projet'!$E$15+1,1))</f>
        <v>0</v>
      </c>
      <c r="EP184" s="59">
        <f t="shared" si="154"/>
        <v>0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>
        <f>EXP(-LN(2)/35)*EV183+(1-EXP(-LN(2)/35))/(LN(2)/35)*ER184*ES184*VLOOKUP('Données projet'!$B$15,Paramètres!$A$1:$I$89,3,0)*0.475*44/12</f>
        <v>0</v>
      </c>
      <c r="EW184" s="21">
        <f>EXP(-LN(2)/25)*EW183+(1-EXP(-LN(2)/25))/(LN(2)/25)*Calculateur!ER184*Calculateur!ET184*VLOOKUP('Données projet'!$B$15,Paramètres!$A$1:$I$89,3,0)*0.475*44/12</f>
        <v>0</v>
      </c>
      <c r="EX184" s="21">
        <f>EXP(-LN(2)/2)*EX183+(1-EXP(-LN(2)/2))/(LN(2)/2)*ER184*EU184*VLOOKUP('Données projet'!$B$15,Paramètres!$A$1:$I$89,3,0)*0.475*44/12</f>
        <v>0</v>
      </c>
      <c r="EY184" s="22">
        <f t="shared" si="181"/>
        <v>0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>
        <f>FE184*VLOOKUP('Données projet'!$B$16,Paramètres!$A$1:$I$89,3,0)*VLOOKUP('Données projet'!$B$16,Paramètres!$A$1:$I$89,5,0)</f>
        <v>0</v>
      </c>
      <c r="FG184" s="13" t="e">
        <f t="shared" si="182"/>
        <v>#NUM!</v>
      </c>
      <c r="FH184" s="20" t="e">
        <f t="shared" si="183"/>
        <v>#NUM!</v>
      </c>
      <c r="FI184" s="59" t="e">
        <f t="shared" si="131"/>
        <v>#NUM!</v>
      </c>
      <c r="FJ184" s="59">
        <f ca="1">AVERAGE(OFFSET($FI$3,0,0,'Données projet'!$E$16+1,1))-AVERAGE(OFFSET($H$3,0,0,'Données projet'!$E$16+1,1))</f>
        <v>0</v>
      </c>
      <c r="FK184" s="59">
        <f t="shared" si="156"/>
        <v>0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>
        <f>EXP(-LN(2)/35)*FQ183+(1-EXP(-LN(2)/35))/(LN(2)/35)*FM184*FN184*VLOOKUP('Données projet'!$B$16,Paramètres!$A$1:$I$89,3,0)*0.475*44/12</f>
        <v>0</v>
      </c>
      <c r="FR184" s="21">
        <f>EXP(-LN(2)/25)*FR183+(1-EXP(-LN(2)/25))/(LN(2)/25)*Calculateur!FM184*Calculateur!FO184*VLOOKUP('Données projet'!$B$16,Paramètres!$A$1:$I$89,3,0)*0.475*44/12</f>
        <v>0</v>
      </c>
      <c r="FS184" s="21">
        <f>EXP(-LN(2)/2)*FS183+(1-EXP(-LN(2)/2))/(LN(2)/2)*FM184*FP184*VLOOKUP('Données projet'!$B$16,Paramètres!$A$1:$I$89,3,0)*0.475*44/12</f>
        <v>0</v>
      </c>
      <c r="FT184" s="22">
        <f t="shared" si="184"/>
        <v>0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1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186.90544184210381</v>
      </c>
      <c r="T185" s="59">
        <f t="shared" si="142"/>
        <v>202.05988514450519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10.622209076896166</v>
      </c>
      <c r="AA185" s="21">
        <f>EXP(-LN(2)/25)*AA184+(1-EXP(-LN(2)/25))/(LN(2)/25)*Calculateur!V185*Calculateur!X185*VLOOKUP('Données projet'!$B$9,Paramètres!$A$1:$I$89,3,0)*0.475*44/12</f>
        <v>0.74203097433436116</v>
      </c>
      <c r="AB185" s="21">
        <f>EXP(-LN(2)/2)*AB184+(1-EXP(-LN(2)/2))/(LN(2)/2)*V185*Y185*VLOOKUP('Données projet'!$B$9,Paramètres!$A$1:$I$89,3,0)*0.475*44/12</f>
        <v>1.8658591499158437E-17</v>
      </c>
      <c r="AC185" s="22">
        <f t="shared" si="163"/>
        <v>11.364240051230526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>
        <f>AI185*VLOOKUP('Données projet'!$B$10,Paramètres!$A$1:$I$89,3,0)*VLOOKUP('Données projet'!$B$10,Paramètres!$A$1:$I$89,5,0)</f>
        <v>0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186.90544184210381</v>
      </c>
      <c r="AO185" s="59">
        <f t="shared" si="144"/>
        <v>202.05988514450519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10.622209076896166</v>
      </c>
      <c r="AV185" s="21">
        <f>EXP(-LN(2)/25)*AV184+(1-EXP(-LN(2)/25))/(LN(2)/25)*Calculateur!AQ185*Calculateur!AS185*VLOOKUP('Données projet'!$B$10,Paramètres!$A$1:$I$89,3,0)*0.475*44/12</f>
        <v>0.74203097433436116</v>
      </c>
      <c r="AW185" s="21">
        <f>EXP(-LN(2)/2)*AW184+(1-EXP(-LN(2)/2))/(LN(2)/2)*AQ185*AT185*VLOOKUP('Données projet'!$B$10,Paramètres!$A$1:$I$89,3,0)*0.475*44/12</f>
        <v>1.8658591499158437E-17</v>
      </c>
      <c r="AX185" s="21">
        <f t="shared" si="166"/>
        <v>11.364240051230526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-2.8421709430404007E-14</v>
      </c>
      <c r="BE185" s="13">
        <f>BD185*VLOOKUP('Données projet'!$B$11,Paramètres!$A$1:$I$89,3,0)*VLOOKUP('Données projet'!$B$11,Paramètres!$A$1:$I$89,5,0)</f>
        <v>-2.3055690689943732E-14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5.8584049049231908</v>
      </c>
      <c r="BJ185" s="59">
        <f t="shared" si="146"/>
        <v>42.266833200216638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4.3883337167898523E-21</v>
      </c>
      <c r="BS185" s="22">
        <f t="shared" si="169"/>
        <v>4.3883337167898523E-21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>
        <f>BY185*VLOOKUP('Données projet'!$B$12,Paramètres!$A$1:$I$89,3,0)*VLOOKUP('Données projet'!$B$12,Paramètres!$A$1:$I$89,5,0)</f>
        <v>0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0</v>
      </c>
      <c r="CE185" s="59">
        <f t="shared" si="148"/>
        <v>0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0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>
        <f>CT185*VLOOKUP('Données projet'!$B$13,Paramètres!$A$1:$I$89,3,0)*VLOOKUP('Données projet'!$B$13,Paramètres!$A$1:$I$89,5,0)</f>
        <v>0</v>
      </c>
      <c r="CV185" s="13" t="e">
        <f t="shared" si="173"/>
        <v>#NUM!</v>
      </c>
      <c r="CW185" s="20" t="e">
        <f t="shared" si="174"/>
        <v>#NUM!</v>
      </c>
      <c r="CX185" s="59" t="e">
        <f t="shared" si="122"/>
        <v>#NUM!</v>
      </c>
      <c r="CY185" s="59">
        <f ca="1">AVERAGE(OFFSET($CX$3,0,0,'Données projet'!$E$13+1,1))-AVERAGE(OFFSET($H$3,0,0,'Données projet'!$E$13+1,1))</f>
        <v>0</v>
      </c>
      <c r="CZ185" s="59">
        <f t="shared" si="150"/>
        <v>0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</v>
      </c>
      <c r="DG185" s="21">
        <f>EXP(-LN(2)/25)*DG184+(1-EXP(-LN(2)/25))/(LN(2)/25)*Calculateur!DB185*Calculateur!DD185*VLOOKUP('Données projet'!$B$13,Paramètres!$A$1:$I$89,3,0)*0.475*44/12</f>
        <v>0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0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>
        <f>DO185*VLOOKUP('Données projet'!$B$14,Paramètres!$A$1:$I$89,3,0)*VLOOKUP('Données projet'!$B$14,Paramètres!$A$1:$I$89,5,0)</f>
        <v>0</v>
      </c>
      <c r="DQ185" s="13" t="e">
        <f t="shared" si="176"/>
        <v>#NUM!</v>
      </c>
      <c r="DR185" s="20" t="e">
        <f t="shared" si="177"/>
        <v>#NUM!</v>
      </c>
      <c r="DS185" s="59" t="e">
        <f t="shared" si="125"/>
        <v>#NUM!</v>
      </c>
      <c r="DT185" s="59">
        <f ca="1">AVERAGE(OFFSET($DS$3,0,0,'Données projet'!$E$14+1,1))-AVERAGE(OFFSET($H$3,0,0,'Données projet'!$E$14+1,1))</f>
        <v>0</v>
      </c>
      <c r="DU185" s="59">
        <f t="shared" si="152"/>
        <v>0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0</v>
      </c>
      <c r="EB185" s="21">
        <f>EXP(-LN(2)/25)*EB184+(1-EXP(-LN(2)/25))/(LN(2)/25)*Calculateur!DW185*Calculateur!DY185*VLOOKUP('Données projet'!$B$14,Paramètres!$A$1:$I$89,3,0)*0.475*44/12</f>
        <v>0</v>
      </c>
      <c r="EC185" s="21">
        <f>EXP(-LN(2)/2)*EC184+(1-EXP(-LN(2)/2))/(LN(2)/2)*DW185*DZ185*VLOOKUP('Données projet'!$B$14,Paramètres!$A$1:$I$89,3,0)*0.475*44/12</f>
        <v>0</v>
      </c>
      <c r="ED185" s="22">
        <f t="shared" si="178"/>
        <v>0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>
        <f>EJ185*VLOOKUP('Données projet'!$B$15,Paramètres!$A$1:$I$89,3,0)*VLOOKUP('Données projet'!$B$15,Paramètres!$A$1:$I$89,5,0)</f>
        <v>0</v>
      </c>
      <c r="EL185" s="13" t="e">
        <f t="shared" si="179"/>
        <v>#NUM!</v>
      </c>
      <c r="EM185" s="20" t="e">
        <f t="shared" si="180"/>
        <v>#NUM!</v>
      </c>
      <c r="EN185" s="59" t="e">
        <f t="shared" si="128"/>
        <v>#NUM!</v>
      </c>
      <c r="EO185" s="59">
        <f ca="1">AVERAGE(OFFSET($EN$3,0,0,'Données projet'!$E$15+1,1))-AVERAGE(OFFSET($H$3,0,0,'Données projet'!$E$15+1,1))</f>
        <v>0</v>
      </c>
      <c r="EP185" s="59">
        <f t="shared" si="154"/>
        <v>0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>
        <f>EXP(-LN(2)/35)*EV184+(1-EXP(-LN(2)/35))/(LN(2)/35)*ER185*ES185*VLOOKUP('Données projet'!$B$15,Paramètres!$A$1:$I$89,3,0)*0.475*44/12</f>
        <v>0</v>
      </c>
      <c r="EW185" s="21">
        <f>EXP(-LN(2)/25)*EW184+(1-EXP(-LN(2)/25))/(LN(2)/25)*Calculateur!ER185*Calculateur!ET185*VLOOKUP('Données projet'!$B$15,Paramètres!$A$1:$I$89,3,0)*0.475*44/12</f>
        <v>0</v>
      </c>
      <c r="EX185" s="21">
        <f>EXP(-LN(2)/2)*EX184+(1-EXP(-LN(2)/2))/(LN(2)/2)*ER185*EU185*VLOOKUP('Données projet'!$B$15,Paramètres!$A$1:$I$89,3,0)*0.475*44/12</f>
        <v>0</v>
      </c>
      <c r="EY185" s="22">
        <f t="shared" si="181"/>
        <v>0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>
        <f>FE185*VLOOKUP('Données projet'!$B$16,Paramètres!$A$1:$I$89,3,0)*VLOOKUP('Données projet'!$B$16,Paramètres!$A$1:$I$89,5,0)</f>
        <v>0</v>
      </c>
      <c r="FG185" s="13" t="e">
        <f t="shared" si="182"/>
        <v>#NUM!</v>
      </c>
      <c r="FH185" s="20" t="e">
        <f t="shared" si="183"/>
        <v>#NUM!</v>
      </c>
      <c r="FI185" s="59" t="e">
        <f t="shared" si="131"/>
        <v>#NUM!</v>
      </c>
      <c r="FJ185" s="59">
        <f ca="1">AVERAGE(OFFSET($FI$3,0,0,'Données projet'!$E$16+1,1))-AVERAGE(OFFSET($H$3,0,0,'Données projet'!$E$16+1,1))</f>
        <v>0</v>
      </c>
      <c r="FK185" s="59">
        <f t="shared" si="156"/>
        <v>0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>
        <f>EXP(-LN(2)/35)*FQ184+(1-EXP(-LN(2)/35))/(LN(2)/35)*FM185*FN185*VLOOKUP('Données projet'!$B$16,Paramètres!$A$1:$I$89,3,0)*0.475*44/12</f>
        <v>0</v>
      </c>
      <c r="FR185" s="21">
        <f>EXP(-LN(2)/25)*FR184+(1-EXP(-LN(2)/25))/(LN(2)/25)*Calculateur!FM185*Calculateur!FO185*VLOOKUP('Données projet'!$B$16,Paramètres!$A$1:$I$89,3,0)*0.475*44/12</f>
        <v>0</v>
      </c>
      <c r="FS185" s="21">
        <f>EXP(-LN(2)/2)*FS184+(1-EXP(-LN(2)/2))/(LN(2)/2)*FM185*FP185*VLOOKUP('Données projet'!$B$16,Paramètres!$A$1:$I$89,3,0)*0.475*44/12</f>
        <v>0</v>
      </c>
      <c r="FT185" s="22">
        <f t="shared" si="184"/>
        <v>0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1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186.90544184210381</v>
      </c>
      <c r="T186" s="59">
        <f t="shared" si="142"/>
        <v>202.05988514450519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10.41391403580603</v>
      </c>
      <c r="AA186" s="21">
        <f>EXP(-LN(2)/25)*AA185+(1-EXP(-LN(2)/25))/(LN(2)/25)*Calculateur!V186*Calculateur!X186*VLOOKUP('Données projet'!$B$9,Paramètres!$A$1:$I$89,3,0)*0.475*44/12</f>
        <v>0.72174009831947505</v>
      </c>
      <c r="AB186" s="21">
        <f>EXP(-LN(2)/2)*AB185+(1-EXP(-LN(2)/2))/(LN(2)/2)*V186*Y186*VLOOKUP('Données projet'!$B$9,Paramètres!$A$1:$I$89,3,0)*0.475*44/12</f>
        <v>1.3193616576444601E-17</v>
      </c>
      <c r="AC186" s="22">
        <f t="shared" si="163"/>
        <v>11.135654134125506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>
        <f>AI186*VLOOKUP('Données projet'!$B$10,Paramètres!$A$1:$I$89,3,0)*VLOOKUP('Données projet'!$B$10,Paramètres!$A$1:$I$89,5,0)</f>
        <v>0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186.90544184210381</v>
      </c>
      <c r="AO186" s="59">
        <f t="shared" si="144"/>
        <v>202.05988514450519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10.41391403580603</v>
      </c>
      <c r="AV186" s="21">
        <f>EXP(-LN(2)/25)*AV185+(1-EXP(-LN(2)/25))/(LN(2)/25)*Calculateur!AQ186*Calculateur!AS186*VLOOKUP('Données projet'!$B$10,Paramètres!$A$1:$I$89,3,0)*0.475*44/12</f>
        <v>0.72174009831947505</v>
      </c>
      <c r="AW186" s="21">
        <f>EXP(-LN(2)/2)*AW185+(1-EXP(-LN(2)/2))/(LN(2)/2)*AQ186*AT186*VLOOKUP('Données projet'!$B$10,Paramètres!$A$1:$I$89,3,0)*0.475*44/12</f>
        <v>1.3193616576444601E-17</v>
      </c>
      <c r="AX186" s="21">
        <f t="shared" si="166"/>
        <v>11.135654134125506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-2.8421709430404007E-14</v>
      </c>
      <c r="BE186" s="13">
        <f>BD186*VLOOKUP('Données projet'!$B$11,Paramètres!$A$1:$I$89,3,0)*VLOOKUP('Données projet'!$B$11,Paramètres!$A$1:$I$89,5,0)</f>
        <v>-2.3055690689943732E-14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5.8584049049231908</v>
      </c>
      <c r="BJ186" s="59">
        <f t="shared" si="146"/>
        <v>42.266833200216638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3.103020529251671E-21</v>
      </c>
      <c r="BS186" s="22">
        <f t="shared" si="169"/>
        <v>3.103020529251671E-21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>
        <f>BY186*VLOOKUP('Données projet'!$B$12,Paramètres!$A$1:$I$89,3,0)*VLOOKUP('Données projet'!$B$12,Paramètres!$A$1:$I$89,5,0)</f>
        <v>0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0</v>
      </c>
      <c r="CE186" s="59">
        <f t="shared" si="148"/>
        <v>0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0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>
        <f>CT186*VLOOKUP('Données projet'!$B$13,Paramètres!$A$1:$I$89,3,0)*VLOOKUP('Données projet'!$B$13,Paramètres!$A$1:$I$89,5,0)</f>
        <v>0</v>
      </c>
      <c r="CV186" s="13" t="e">
        <f t="shared" si="173"/>
        <v>#NUM!</v>
      </c>
      <c r="CW186" s="20" t="e">
        <f t="shared" si="174"/>
        <v>#NUM!</v>
      </c>
      <c r="CX186" s="59" t="e">
        <f t="shared" si="122"/>
        <v>#NUM!</v>
      </c>
      <c r="CY186" s="59">
        <f ca="1">AVERAGE(OFFSET($CX$3,0,0,'Données projet'!$E$13+1,1))-AVERAGE(OFFSET($H$3,0,0,'Données projet'!$E$13+1,1))</f>
        <v>0</v>
      </c>
      <c r="CZ186" s="59">
        <f t="shared" si="150"/>
        <v>0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</v>
      </c>
      <c r="DG186" s="21">
        <f>EXP(-LN(2)/25)*DG185+(1-EXP(-LN(2)/25))/(LN(2)/25)*Calculateur!DB186*Calculateur!DD186*VLOOKUP('Données projet'!$B$13,Paramètres!$A$1:$I$89,3,0)*0.475*44/12</f>
        <v>0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0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>
        <f>DO186*VLOOKUP('Données projet'!$B$14,Paramètres!$A$1:$I$89,3,0)*VLOOKUP('Données projet'!$B$14,Paramètres!$A$1:$I$89,5,0)</f>
        <v>0</v>
      </c>
      <c r="DQ186" s="13" t="e">
        <f t="shared" si="176"/>
        <v>#NUM!</v>
      </c>
      <c r="DR186" s="20" t="e">
        <f t="shared" si="177"/>
        <v>#NUM!</v>
      </c>
      <c r="DS186" s="59" t="e">
        <f t="shared" si="125"/>
        <v>#NUM!</v>
      </c>
      <c r="DT186" s="59">
        <f ca="1">AVERAGE(OFFSET($DS$3,0,0,'Données projet'!$E$14+1,1))-AVERAGE(OFFSET($H$3,0,0,'Données projet'!$E$14+1,1))</f>
        <v>0</v>
      </c>
      <c r="DU186" s="59">
        <f t="shared" si="152"/>
        <v>0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0</v>
      </c>
      <c r="EB186" s="21">
        <f>EXP(-LN(2)/25)*EB185+(1-EXP(-LN(2)/25))/(LN(2)/25)*Calculateur!DW186*Calculateur!DY186*VLOOKUP('Données projet'!$B$14,Paramètres!$A$1:$I$89,3,0)*0.475*44/12</f>
        <v>0</v>
      </c>
      <c r="EC186" s="21">
        <f>EXP(-LN(2)/2)*EC185+(1-EXP(-LN(2)/2))/(LN(2)/2)*DW186*DZ186*VLOOKUP('Données projet'!$B$14,Paramètres!$A$1:$I$89,3,0)*0.475*44/12</f>
        <v>0</v>
      </c>
      <c r="ED186" s="22">
        <f t="shared" si="178"/>
        <v>0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>
        <f>EJ186*VLOOKUP('Données projet'!$B$15,Paramètres!$A$1:$I$89,3,0)*VLOOKUP('Données projet'!$B$15,Paramètres!$A$1:$I$89,5,0)</f>
        <v>0</v>
      </c>
      <c r="EL186" s="13" t="e">
        <f t="shared" si="179"/>
        <v>#NUM!</v>
      </c>
      <c r="EM186" s="20" t="e">
        <f t="shared" si="180"/>
        <v>#NUM!</v>
      </c>
      <c r="EN186" s="59" t="e">
        <f t="shared" si="128"/>
        <v>#NUM!</v>
      </c>
      <c r="EO186" s="59">
        <f ca="1">AVERAGE(OFFSET($EN$3,0,0,'Données projet'!$E$15+1,1))-AVERAGE(OFFSET($H$3,0,0,'Données projet'!$E$15+1,1))</f>
        <v>0</v>
      </c>
      <c r="EP186" s="59">
        <f t="shared" si="154"/>
        <v>0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>
        <f>EXP(-LN(2)/35)*EV185+(1-EXP(-LN(2)/35))/(LN(2)/35)*ER186*ES186*VLOOKUP('Données projet'!$B$15,Paramètres!$A$1:$I$89,3,0)*0.475*44/12</f>
        <v>0</v>
      </c>
      <c r="EW186" s="21">
        <f>EXP(-LN(2)/25)*EW185+(1-EXP(-LN(2)/25))/(LN(2)/25)*Calculateur!ER186*Calculateur!ET186*VLOOKUP('Données projet'!$B$15,Paramètres!$A$1:$I$89,3,0)*0.475*44/12</f>
        <v>0</v>
      </c>
      <c r="EX186" s="21">
        <f>EXP(-LN(2)/2)*EX185+(1-EXP(-LN(2)/2))/(LN(2)/2)*ER186*EU186*VLOOKUP('Données projet'!$B$15,Paramètres!$A$1:$I$89,3,0)*0.475*44/12</f>
        <v>0</v>
      </c>
      <c r="EY186" s="22">
        <f t="shared" si="181"/>
        <v>0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>
        <f>FE186*VLOOKUP('Données projet'!$B$16,Paramètres!$A$1:$I$89,3,0)*VLOOKUP('Données projet'!$B$16,Paramètres!$A$1:$I$89,5,0)</f>
        <v>0</v>
      </c>
      <c r="FG186" s="13" t="e">
        <f t="shared" si="182"/>
        <v>#NUM!</v>
      </c>
      <c r="FH186" s="20" t="e">
        <f t="shared" si="183"/>
        <v>#NUM!</v>
      </c>
      <c r="FI186" s="59" t="e">
        <f t="shared" si="131"/>
        <v>#NUM!</v>
      </c>
      <c r="FJ186" s="59">
        <f ca="1">AVERAGE(OFFSET($FI$3,0,0,'Données projet'!$E$16+1,1))-AVERAGE(OFFSET($H$3,0,0,'Données projet'!$E$16+1,1))</f>
        <v>0</v>
      </c>
      <c r="FK186" s="59">
        <f t="shared" si="156"/>
        <v>0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>
        <f>EXP(-LN(2)/35)*FQ185+(1-EXP(-LN(2)/35))/(LN(2)/35)*FM186*FN186*VLOOKUP('Données projet'!$B$16,Paramètres!$A$1:$I$89,3,0)*0.475*44/12</f>
        <v>0</v>
      </c>
      <c r="FR186" s="21">
        <f>EXP(-LN(2)/25)*FR185+(1-EXP(-LN(2)/25))/(LN(2)/25)*Calculateur!FM186*Calculateur!FO186*VLOOKUP('Données projet'!$B$16,Paramètres!$A$1:$I$89,3,0)*0.475*44/12</f>
        <v>0</v>
      </c>
      <c r="FS186" s="21">
        <f>EXP(-LN(2)/2)*FS185+(1-EXP(-LN(2)/2))/(LN(2)/2)*FM186*FP186*VLOOKUP('Données projet'!$B$16,Paramètres!$A$1:$I$89,3,0)*0.475*44/12</f>
        <v>0</v>
      </c>
      <c r="FT186" s="22">
        <f t="shared" si="184"/>
        <v>0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1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186.90544184210381</v>
      </c>
      <c r="T187" s="59">
        <f t="shared" si="142"/>
        <v>202.05988514450519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10.209703533424241</v>
      </c>
      <c r="AA187" s="21">
        <f>EXP(-LN(2)/25)*AA186+(1-EXP(-LN(2)/25))/(LN(2)/25)*Calculateur!V187*Calculateur!X187*VLOOKUP('Données projet'!$B$9,Paramètres!$A$1:$I$89,3,0)*0.475*44/12</f>
        <v>0.7020040773762668</v>
      </c>
      <c r="AB187" s="21">
        <f>EXP(-LN(2)/2)*AB186+(1-EXP(-LN(2)/2))/(LN(2)/2)*V187*Y187*VLOOKUP('Données projet'!$B$9,Paramètres!$A$1:$I$89,3,0)*0.475*44/12</f>
        <v>9.3292957495792185E-18</v>
      </c>
      <c r="AC187" s="22">
        <f t="shared" si="163"/>
        <v>10.911707610800509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>
        <f>AI187*VLOOKUP('Données projet'!$B$10,Paramètres!$A$1:$I$89,3,0)*VLOOKUP('Données projet'!$B$10,Paramètres!$A$1:$I$89,5,0)</f>
        <v>0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186.90544184210381</v>
      </c>
      <c r="AO187" s="59">
        <f t="shared" si="144"/>
        <v>202.05988514450519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10.209703533424241</v>
      </c>
      <c r="AV187" s="21">
        <f>EXP(-LN(2)/25)*AV186+(1-EXP(-LN(2)/25))/(LN(2)/25)*Calculateur!AQ187*Calculateur!AS187*VLOOKUP('Données projet'!$B$10,Paramètres!$A$1:$I$89,3,0)*0.475*44/12</f>
        <v>0.7020040773762668</v>
      </c>
      <c r="AW187" s="21">
        <f>EXP(-LN(2)/2)*AW186+(1-EXP(-LN(2)/2))/(LN(2)/2)*AQ187*AT187*VLOOKUP('Données projet'!$B$10,Paramètres!$A$1:$I$89,3,0)*0.475*44/12</f>
        <v>9.3292957495792185E-18</v>
      </c>
      <c r="AX187" s="21">
        <f t="shared" si="166"/>
        <v>10.911707610800509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-2.8421709430404007E-14</v>
      </c>
      <c r="BE187" s="13">
        <f>BD187*VLOOKUP('Données projet'!$B$11,Paramètres!$A$1:$I$89,3,0)*VLOOKUP('Données projet'!$B$11,Paramètres!$A$1:$I$89,5,0)</f>
        <v>-2.3055690689943732E-14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5.8584049049231908</v>
      </c>
      <c r="BJ187" s="59">
        <f t="shared" si="146"/>
        <v>42.266833200216638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2.1941668583949262E-21</v>
      </c>
      <c r="BS187" s="22">
        <f t="shared" si="169"/>
        <v>2.1941668583949262E-21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>
        <f>BY187*VLOOKUP('Données projet'!$B$12,Paramètres!$A$1:$I$89,3,0)*VLOOKUP('Données projet'!$B$12,Paramètres!$A$1:$I$89,5,0)</f>
        <v>0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0</v>
      </c>
      <c r="CE187" s="59">
        <f t="shared" si="148"/>
        <v>0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0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>
        <f>CT187*VLOOKUP('Données projet'!$B$13,Paramètres!$A$1:$I$89,3,0)*VLOOKUP('Données projet'!$B$13,Paramètres!$A$1:$I$89,5,0)</f>
        <v>0</v>
      </c>
      <c r="CV187" s="13" t="e">
        <f t="shared" si="173"/>
        <v>#NUM!</v>
      </c>
      <c r="CW187" s="20" t="e">
        <f t="shared" si="174"/>
        <v>#NUM!</v>
      </c>
      <c r="CX187" s="59" t="e">
        <f t="shared" si="122"/>
        <v>#NUM!</v>
      </c>
      <c r="CY187" s="59">
        <f ca="1">AVERAGE(OFFSET($CX$3,0,0,'Données projet'!$E$13+1,1))-AVERAGE(OFFSET($H$3,0,0,'Données projet'!$E$13+1,1))</f>
        <v>0</v>
      </c>
      <c r="CZ187" s="59">
        <f t="shared" si="150"/>
        <v>0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</v>
      </c>
      <c r="DG187" s="21">
        <f>EXP(-LN(2)/25)*DG186+(1-EXP(-LN(2)/25))/(LN(2)/25)*Calculateur!DB187*Calculateur!DD187*VLOOKUP('Données projet'!$B$13,Paramètres!$A$1:$I$89,3,0)*0.475*44/12</f>
        <v>0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0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>
        <f>DO187*VLOOKUP('Données projet'!$B$14,Paramètres!$A$1:$I$89,3,0)*VLOOKUP('Données projet'!$B$14,Paramètres!$A$1:$I$89,5,0)</f>
        <v>0</v>
      </c>
      <c r="DQ187" s="13" t="e">
        <f t="shared" si="176"/>
        <v>#NUM!</v>
      </c>
      <c r="DR187" s="20" t="e">
        <f t="shared" si="177"/>
        <v>#NUM!</v>
      </c>
      <c r="DS187" s="59" t="e">
        <f t="shared" si="125"/>
        <v>#NUM!</v>
      </c>
      <c r="DT187" s="59">
        <f ca="1">AVERAGE(OFFSET($DS$3,0,0,'Données projet'!$E$14+1,1))-AVERAGE(OFFSET($H$3,0,0,'Données projet'!$E$14+1,1))</f>
        <v>0</v>
      </c>
      <c r="DU187" s="59">
        <f t="shared" si="152"/>
        <v>0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0</v>
      </c>
      <c r="EB187" s="21">
        <f>EXP(-LN(2)/25)*EB186+(1-EXP(-LN(2)/25))/(LN(2)/25)*Calculateur!DW187*Calculateur!DY187*VLOOKUP('Données projet'!$B$14,Paramètres!$A$1:$I$89,3,0)*0.475*44/12</f>
        <v>0</v>
      </c>
      <c r="EC187" s="21">
        <f>EXP(-LN(2)/2)*EC186+(1-EXP(-LN(2)/2))/(LN(2)/2)*DW187*DZ187*VLOOKUP('Données projet'!$B$14,Paramètres!$A$1:$I$89,3,0)*0.475*44/12</f>
        <v>0</v>
      </c>
      <c r="ED187" s="22">
        <f t="shared" si="178"/>
        <v>0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>
        <f>EJ187*VLOOKUP('Données projet'!$B$15,Paramètres!$A$1:$I$89,3,0)*VLOOKUP('Données projet'!$B$15,Paramètres!$A$1:$I$89,5,0)</f>
        <v>0</v>
      </c>
      <c r="EL187" s="13" t="e">
        <f t="shared" si="179"/>
        <v>#NUM!</v>
      </c>
      <c r="EM187" s="20" t="e">
        <f t="shared" si="180"/>
        <v>#NUM!</v>
      </c>
      <c r="EN187" s="59" t="e">
        <f t="shared" si="128"/>
        <v>#NUM!</v>
      </c>
      <c r="EO187" s="59">
        <f ca="1">AVERAGE(OFFSET($EN$3,0,0,'Données projet'!$E$15+1,1))-AVERAGE(OFFSET($H$3,0,0,'Données projet'!$E$15+1,1))</f>
        <v>0</v>
      </c>
      <c r="EP187" s="59">
        <f t="shared" si="154"/>
        <v>0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>
        <f>EXP(-LN(2)/35)*EV186+(1-EXP(-LN(2)/35))/(LN(2)/35)*ER187*ES187*VLOOKUP('Données projet'!$B$15,Paramètres!$A$1:$I$89,3,0)*0.475*44/12</f>
        <v>0</v>
      </c>
      <c r="EW187" s="21">
        <f>EXP(-LN(2)/25)*EW186+(1-EXP(-LN(2)/25))/(LN(2)/25)*Calculateur!ER187*Calculateur!ET187*VLOOKUP('Données projet'!$B$15,Paramètres!$A$1:$I$89,3,0)*0.475*44/12</f>
        <v>0</v>
      </c>
      <c r="EX187" s="21">
        <f>EXP(-LN(2)/2)*EX186+(1-EXP(-LN(2)/2))/(LN(2)/2)*ER187*EU187*VLOOKUP('Données projet'!$B$15,Paramètres!$A$1:$I$89,3,0)*0.475*44/12</f>
        <v>0</v>
      </c>
      <c r="EY187" s="22">
        <f t="shared" si="181"/>
        <v>0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>
        <f>FE187*VLOOKUP('Données projet'!$B$16,Paramètres!$A$1:$I$89,3,0)*VLOOKUP('Données projet'!$B$16,Paramètres!$A$1:$I$89,5,0)</f>
        <v>0</v>
      </c>
      <c r="FG187" s="13" t="e">
        <f t="shared" si="182"/>
        <v>#NUM!</v>
      </c>
      <c r="FH187" s="20" t="e">
        <f t="shared" si="183"/>
        <v>#NUM!</v>
      </c>
      <c r="FI187" s="59" t="e">
        <f t="shared" si="131"/>
        <v>#NUM!</v>
      </c>
      <c r="FJ187" s="59">
        <f ca="1">AVERAGE(OFFSET($FI$3,0,0,'Données projet'!$E$16+1,1))-AVERAGE(OFFSET($H$3,0,0,'Données projet'!$E$16+1,1))</f>
        <v>0</v>
      </c>
      <c r="FK187" s="59">
        <f t="shared" si="156"/>
        <v>0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>
        <f>EXP(-LN(2)/35)*FQ186+(1-EXP(-LN(2)/35))/(LN(2)/35)*FM187*FN187*VLOOKUP('Données projet'!$B$16,Paramètres!$A$1:$I$89,3,0)*0.475*44/12</f>
        <v>0</v>
      </c>
      <c r="FR187" s="21">
        <f>EXP(-LN(2)/25)*FR186+(1-EXP(-LN(2)/25))/(LN(2)/25)*Calculateur!FM187*Calculateur!FO187*VLOOKUP('Données projet'!$B$16,Paramètres!$A$1:$I$89,3,0)*0.475*44/12</f>
        <v>0</v>
      </c>
      <c r="FS187" s="21">
        <f>EXP(-LN(2)/2)*FS186+(1-EXP(-LN(2)/2))/(LN(2)/2)*FM187*FP187*VLOOKUP('Données projet'!$B$16,Paramètres!$A$1:$I$89,3,0)*0.475*44/12</f>
        <v>0</v>
      </c>
      <c r="FT187" s="22">
        <f t="shared" si="184"/>
        <v>0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1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186.90544184210381</v>
      </c>
      <c r="T188" s="59">
        <f t="shared" si="142"/>
        <v>202.05988514450519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10.009497474438051</v>
      </c>
      <c r="AA188" s="21">
        <f>EXP(-LN(2)/25)*AA187+(1-EXP(-LN(2)/25))/(LN(2)/25)*Calculateur!V188*Calculateur!X188*VLOOKUP('Données projet'!$B$9,Paramètres!$A$1:$I$89,3,0)*0.475*44/12</f>
        <v>0.68280773896362279</v>
      </c>
      <c r="AB188" s="21">
        <f>EXP(-LN(2)/2)*AB187+(1-EXP(-LN(2)/2))/(LN(2)/2)*V188*Y188*VLOOKUP('Données projet'!$B$9,Paramètres!$A$1:$I$89,3,0)*0.475*44/12</f>
        <v>6.5968082882223004E-18</v>
      </c>
      <c r="AC188" s="22">
        <f t="shared" si="163"/>
        <v>10.692305213401674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>
        <f>AI188*VLOOKUP('Données projet'!$B$10,Paramètres!$A$1:$I$89,3,0)*VLOOKUP('Données projet'!$B$10,Paramètres!$A$1:$I$89,5,0)</f>
        <v>0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186.90544184210381</v>
      </c>
      <c r="AO188" s="59">
        <f t="shared" si="144"/>
        <v>202.05988514450519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10.009497474438051</v>
      </c>
      <c r="AV188" s="21">
        <f>EXP(-LN(2)/25)*AV187+(1-EXP(-LN(2)/25))/(LN(2)/25)*Calculateur!AQ188*Calculateur!AS188*VLOOKUP('Données projet'!$B$10,Paramètres!$A$1:$I$89,3,0)*0.475*44/12</f>
        <v>0.68280773896362279</v>
      </c>
      <c r="AW188" s="21">
        <f>EXP(-LN(2)/2)*AW187+(1-EXP(-LN(2)/2))/(LN(2)/2)*AQ188*AT188*VLOOKUP('Données projet'!$B$10,Paramètres!$A$1:$I$89,3,0)*0.475*44/12</f>
        <v>6.5968082882223004E-18</v>
      </c>
      <c r="AX188" s="21">
        <f t="shared" si="166"/>
        <v>10.692305213401674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-2.8421709430404007E-14</v>
      </c>
      <c r="BE188" s="13">
        <f>BD188*VLOOKUP('Données projet'!$B$11,Paramètres!$A$1:$I$89,3,0)*VLOOKUP('Données projet'!$B$11,Paramètres!$A$1:$I$89,5,0)</f>
        <v>-2.3055690689943732E-14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5.8584049049231908</v>
      </c>
      <c r="BJ188" s="59">
        <f t="shared" si="146"/>
        <v>42.266833200216638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1.5515102646258355E-21</v>
      </c>
      <c r="BS188" s="22">
        <f t="shared" si="169"/>
        <v>1.5515102646258355E-21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>
        <f>BY188*VLOOKUP('Données projet'!$B$12,Paramètres!$A$1:$I$89,3,0)*VLOOKUP('Données projet'!$B$12,Paramètres!$A$1:$I$89,5,0)</f>
        <v>0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0</v>
      </c>
      <c r="CE188" s="59">
        <f t="shared" si="148"/>
        <v>0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0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>
        <f>CT188*VLOOKUP('Données projet'!$B$13,Paramètres!$A$1:$I$89,3,0)*VLOOKUP('Données projet'!$B$13,Paramètres!$A$1:$I$89,5,0)</f>
        <v>0</v>
      </c>
      <c r="CV188" s="13" t="e">
        <f t="shared" si="173"/>
        <v>#NUM!</v>
      </c>
      <c r="CW188" s="20" t="e">
        <f t="shared" si="174"/>
        <v>#NUM!</v>
      </c>
      <c r="CX188" s="59" t="e">
        <f t="shared" si="122"/>
        <v>#NUM!</v>
      </c>
      <c r="CY188" s="59">
        <f ca="1">AVERAGE(OFFSET($CX$3,0,0,'Données projet'!$E$13+1,1))-AVERAGE(OFFSET($H$3,0,0,'Données projet'!$E$13+1,1))</f>
        <v>0</v>
      </c>
      <c r="CZ188" s="59">
        <f t="shared" si="150"/>
        <v>0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</v>
      </c>
      <c r="DG188" s="21">
        <f>EXP(-LN(2)/25)*DG187+(1-EXP(-LN(2)/25))/(LN(2)/25)*Calculateur!DB188*Calculateur!DD188*VLOOKUP('Données projet'!$B$13,Paramètres!$A$1:$I$89,3,0)*0.475*44/12</f>
        <v>0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0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>
        <f>DO188*VLOOKUP('Données projet'!$B$14,Paramètres!$A$1:$I$89,3,0)*VLOOKUP('Données projet'!$B$14,Paramètres!$A$1:$I$89,5,0)</f>
        <v>0</v>
      </c>
      <c r="DQ188" s="13" t="e">
        <f t="shared" si="176"/>
        <v>#NUM!</v>
      </c>
      <c r="DR188" s="20" t="e">
        <f t="shared" si="177"/>
        <v>#NUM!</v>
      </c>
      <c r="DS188" s="59" t="e">
        <f t="shared" si="125"/>
        <v>#NUM!</v>
      </c>
      <c r="DT188" s="59">
        <f ca="1">AVERAGE(OFFSET($DS$3,0,0,'Données projet'!$E$14+1,1))-AVERAGE(OFFSET($H$3,0,0,'Données projet'!$E$14+1,1))</f>
        <v>0</v>
      </c>
      <c r="DU188" s="59">
        <f t="shared" si="152"/>
        <v>0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0</v>
      </c>
      <c r="EB188" s="21">
        <f>EXP(-LN(2)/25)*EB187+(1-EXP(-LN(2)/25))/(LN(2)/25)*Calculateur!DW188*Calculateur!DY188*VLOOKUP('Données projet'!$B$14,Paramètres!$A$1:$I$89,3,0)*0.475*44/12</f>
        <v>0</v>
      </c>
      <c r="EC188" s="21">
        <f>EXP(-LN(2)/2)*EC187+(1-EXP(-LN(2)/2))/(LN(2)/2)*DW188*DZ188*VLOOKUP('Données projet'!$B$14,Paramètres!$A$1:$I$89,3,0)*0.475*44/12</f>
        <v>0</v>
      </c>
      <c r="ED188" s="22">
        <f t="shared" si="178"/>
        <v>0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>
        <f>EJ188*VLOOKUP('Données projet'!$B$15,Paramètres!$A$1:$I$89,3,0)*VLOOKUP('Données projet'!$B$15,Paramètres!$A$1:$I$89,5,0)</f>
        <v>0</v>
      </c>
      <c r="EL188" s="13" t="e">
        <f t="shared" si="179"/>
        <v>#NUM!</v>
      </c>
      <c r="EM188" s="20" t="e">
        <f t="shared" si="180"/>
        <v>#NUM!</v>
      </c>
      <c r="EN188" s="59" t="e">
        <f t="shared" si="128"/>
        <v>#NUM!</v>
      </c>
      <c r="EO188" s="59">
        <f ca="1">AVERAGE(OFFSET($EN$3,0,0,'Données projet'!$E$15+1,1))-AVERAGE(OFFSET($H$3,0,0,'Données projet'!$E$15+1,1))</f>
        <v>0</v>
      </c>
      <c r="EP188" s="59">
        <f t="shared" si="154"/>
        <v>0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>
        <f>EXP(-LN(2)/35)*EV187+(1-EXP(-LN(2)/35))/(LN(2)/35)*ER188*ES188*VLOOKUP('Données projet'!$B$15,Paramètres!$A$1:$I$89,3,0)*0.475*44/12</f>
        <v>0</v>
      </c>
      <c r="EW188" s="21">
        <f>EXP(-LN(2)/25)*EW187+(1-EXP(-LN(2)/25))/(LN(2)/25)*Calculateur!ER188*Calculateur!ET188*VLOOKUP('Données projet'!$B$15,Paramètres!$A$1:$I$89,3,0)*0.475*44/12</f>
        <v>0</v>
      </c>
      <c r="EX188" s="21">
        <f>EXP(-LN(2)/2)*EX187+(1-EXP(-LN(2)/2))/(LN(2)/2)*ER188*EU188*VLOOKUP('Données projet'!$B$15,Paramètres!$A$1:$I$89,3,0)*0.475*44/12</f>
        <v>0</v>
      </c>
      <c r="EY188" s="22">
        <f t="shared" si="181"/>
        <v>0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>
        <f>FE188*VLOOKUP('Données projet'!$B$16,Paramètres!$A$1:$I$89,3,0)*VLOOKUP('Données projet'!$B$16,Paramètres!$A$1:$I$89,5,0)</f>
        <v>0</v>
      </c>
      <c r="FG188" s="13" t="e">
        <f t="shared" si="182"/>
        <v>#NUM!</v>
      </c>
      <c r="FH188" s="20" t="e">
        <f t="shared" si="183"/>
        <v>#NUM!</v>
      </c>
      <c r="FI188" s="59" t="e">
        <f t="shared" si="131"/>
        <v>#NUM!</v>
      </c>
      <c r="FJ188" s="59">
        <f ca="1">AVERAGE(OFFSET($FI$3,0,0,'Données projet'!$E$16+1,1))-AVERAGE(OFFSET($H$3,0,0,'Données projet'!$E$16+1,1))</f>
        <v>0</v>
      </c>
      <c r="FK188" s="59">
        <f t="shared" si="156"/>
        <v>0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>
        <f>EXP(-LN(2)/35)*FQ187+(1-EXP(-LN(2)/35))/(LN(2)/35)*FM188*FN188*VLOOKUP('Données projet'!$B$16,Paramètres!$A$1:$I$89,3,0)*0.475*44/12</f>
        <v>0</v>
      </c>
      <c r="FR188" s="21">
        <f>EXP(-LN(2)/25)*FR187+(1-EXP(-LN(2)/25))/(LN(2)/25)*Calculateur!FM188*Calculateur!FO188*VLOOKUP('Données projet'!$B$16,Paramètres!$A$1:$I$89,3,0)*0.475*44/12</f>
        <v>0</v>
      </c>
      <c r="FS188" s="21">
        <f>EXP(-LN(2)/2)*FS187+(1-EXP(-LN(2)/2))/(LN(2)/2)*FM188*FP188*VLOOKUP('Données projet'!$B$16,Paramètres!$A$1:$I$89,3,0)*0.475*44/12</f>
        <v>0</v>
      </c>
      <c r="FT188" s="22">
        <f t="shared" si="184"/>
        <v>0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1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186.90544184210381</v>
      </c>
      <c r="T189" s="59">
        <f t="shared" si="142"/>
        <v>202.05988514450519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9.8132173341549436</v>
      </c>
      <c r="AA189" s="21">
        <f>EXP(-LN(2)/25)*AA188+(1-EXP(-LN(2)/25))/(LN(2)/25)*Calculateur!V189*Calculateur!X189*VLOOKUP('Données projet'!$B$9,Paramètres!$A$1:$I$89,3,0)*0.475*44/12</f>
        <v>0.66413632543436407</v>
      </c>
      <c r="AB189" s="21">
        <f>EXP(-LN(2)/2)*AB188+(1-EXP(-LN(2)/2))/(LN(2)/2)*V189*Y189*VLOOKUP('Données projet'!$B$9,Paramètres!$A$1:$I$89,3,0)*0.475*44/12</f>
        <v>4.6646478747896092E-18</v>
      </c>
      <c r="AC189" s="22">
        <f t="shared" si="163"/>
        <v>10.477353659589308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>
        <f>AI189*VLOOKUP('Données projet'!$B$10,Paramètres!$A$1:$I$89,3,0)*VLOOKUP('Données projet'!$B$10,Paramètres!$A$1:$I$89,5,0)</f>
        <v>0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186.90544184210381</v>
      </c>
      <c r="AO189" s="59">
        <f t="shared" si="144"/>
        <v>202.05988514450519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9.8132173341549436</v>
      </c>
      <c r="AV189" s="21">
        <f>EXP(-LN(2)/25)*AV188+(1-EXP(-LN(2)/25))/(LN(2)/25)*Calculateur!AQ189*Calculateur!AS189*VLOOKUP('Données projet'!$B$10,Paramètres!$A$1:$I$89,3,0)*0.475*44/12</f>
        <v>0.66413632543436407</v>
      </c>
      <c r="AW189" s="21">
        <f>EXP(-LN(2)/2)*AW188+(1-EXP(-LN(2)/2))/(LN(2)/2)*AQ189*AT189*VLOOKUP('Données projet'!$B$10,Paramètres!$A$1:$I$89,3,0)*0.475*44/12</f>
        <v>4.6646478747896092E-18</v>
      </c>
      <c r="AX189" s="21">
        <f t="shared" si="166"/>
        <v>10.477353659589308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-2.8421709430404007E-14</v>
      </c>
      <c r="BE189" s="13">
        <f>BD189*VLOOKUP('Données projet'!$B$11,Paramètres!$A$1:$I$89,3,0)*VLOOKUP('Données projet'!$B$11,Paramètres!$A$1:$I$89,5,0)</f>
        <v>-2.3055690689943732E-14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5.8584049049231908</v>
      </c>
      <c r="BJ189" s="59">
        <f t="shared" si="146"/>
        <v>42.266833200216638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1.0970834291974631E-21</v>
      </c>
      <c r="BS189" s="22">
        <f t="shared" si="169"/>
        <v>1.0970834291974631E-21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>
        <f>BY189*VLOOKUP('Données projet'!$B$12,Paramètres!$A$1:$I$89,3,0)*VLOOKUP('Données projet'!$B$12,Paramètres!$A$1:$I$89,5,0)</f>
        <v>0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0</v>
      </c>
      <c r="CE189" s="59">
        <f t="shared" si="148"/>
        <v>0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0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>
        <f>CT189*VLOOKUP('Données projet'!$B$13,Paramètres!$A$1:$I$89,3,0)*VLOOKUP('Données projet'!$B$13,Paramètres!$A$1:$I$89,5,0)</f>
        <v>0</v>
      </c>
      <c r="CV189" s="13" t="e">
        <f t="shared" si="173"/>
        <v>#NUM!</v>
      </c>
      <c r="CW189" s="20" t="e">
        <f t="shared" si="174"/>
        <v>#NUM!</v>
      </c>
      <c r="CX189" s="59" t="e">
        <f t="shared" si="122"/>
        <v>#NUM!</v>
      </c>
      <c r="CY189" s="59">
        <f ca="1">AVERAGE(OFFSET($CX$3,0,0,'Données projet'!$E$13+1,1))-AVERAGE(OFFSET($H$3,0,0,'Données projet'!$E$13+1,1))</f>
        <v>0</v>
      </c>
      <c r="CZ189" s="59">
        <f t="shared" si="150"/>
        <v>0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</v>
      </c>
      <c r="DG189" s="21">
        <f>EXP(-LN(2)/25)*DG188+(1-EXP(-LN(2)/25))/(LN(2)/25)*Calculateur!DB189*Calculateur!DD189*VLOOKUP('Données projet'!$B$13,Paramètres!$A$1:$I$89,3,0)*0.475*44/12</f>
        <v>0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0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>
        <f>DO189*VLOOKUP('Données projet'!$B$14,Paramètres!$A$1:$I$89,3,0)*VLOOKUP('Données projet'!$B$14,Paramètres!$A$1:$I$89,5,0)</f>
        <v>0</v>
      </c>
      <c r="DQ189" s="13" t="e">
        <f t="shared" si="176"/>
        <v>#NUM!</v>
      </c>
      <c r="DR189" s="20" t="e">
        <f t="shared" si="177"/>
        <v>#NUM!</v>
      </c>
      <c r="DS189" s="59" t="e">
        <f t="shared" si="125"/>
        <v>#NUM!</v>
      </c>
      <c r="DT189" s="59">
        <f ca="1">AVERAGE(OFFSET($DS$3,0,0,'Données projet'!$E$14+1,1))-AVERAGE(OFFSET($H$3,0,0,'Données projet'!$E$14+1,1))</f>
        <v>0</v>
      </c>
      <c r="DU189" s="59">
        <f t="shared" si="152"/>
        <v>0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0</v>
      </c>
      <c r="EB189" s="21">
        <f>EXP(-LN(2)/25)*EB188+(1-EXP(-LN(2)/25))/(LN(2)/25)*Calculateur!DW189*Calculateur!DY189*VLOOKUP('Données projet'!$B$14,Paramètres!$A$1:$I$89,3,0)*0.475*44/12</f>
        <v>0</v>
      </c>
      <c r="EC189" s="21">
        <f>EXP(-LN(2)/2)*EC188+(1-EXP(-LN(2)/2))/(LN(2)/2)*DW189*DZ189*VLOOKUP('Données projet'!$B$14,Paramètres!$A$1:$I$89,3,0)*0.475*44/12</f>
        <v>0</v>
      </c>
      <c r="ED189" s="22">
        <f t="shared" si="178"/>
        <v>0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>
        <f>EJ189*VLOOKUP('Données projet'!$B$15,Paramètres!$A$1:$I$89,3,0)*VLOOKUP('Données projet'!$B$15,Paramètres!$A$1:$I$89,5,0)</f>
        <v>0</v>
      </c>
      <c r="EL189" s="13" t="e">
        <f t="shared" si="179"/>
        <v>#NUM!</v>
      </c>
      <c r="EM189" s="20" t="e">
        <f t="shared" si="180"/>
        <v>#NUM!</v>
      </c>
      <c r="EN189" s="59" t="e">
        <f t="shared" si="128"/>
        <v>#NUM!</v>
      </c>
      <c r="EO189" s="59">
        <f ca="1">AVERAGE(OFFSET($EN$3,0,0,'Données projet'!$E$15+1,1))-AVERAGE(OFFSET($H$3,0,0,'Données projet'!$E$15+1,1))</f>
        <v>0</v>
      </c>
      <c r="EP189" s="59">
        <f t="shared" si="154"/>
        <v>0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>
        <f>EXP(-LN(2)/35)*EV188+(1-EXP(-LN(2)/35))/(LN(2)/35)*ER189*ES189*VLOOKUP('Données projet'!$B$15,Paramètres!$A$1:$I$89,3,0)*0.475*44/12</f>
        <v>0</v>
      </c>
      <c r="EW189" s="21">
        <f>EXP(-LN(2)/25)*EW188+(1-EXP(-LN(2)/25))/(LN(2)/25)*Calculateur!ER189*Calculateur!ET189*VLOOKUP('Données projet'!$B$15,Paramètres!$A$1:$I$89,3,0)*0.475*44/12</f>
        <v>0</v>
      </c>
      <c r="EX189" s="21">
        <f>EXP(-LN(2)/2)*EX188+(1-EXP(-LN(2)/2))/(LN(2)/2)*ER189*EU189*VLOOKUP('Données projet'!$B$15,Paramètres!$A$1:$I$89,3,0)*0.475*44/12</f>
        <v>0</v>
      </c>
      <c r="EY189" s="22">
        <f t="shared" si="181"/>
        <v>0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>
        <f>FE189*VLOOKUP('Données projet'!$B$16,Paramètres!$A$1:$I$89,3,0)*VLOOKUP('Données projet'!$B$16,Paramètres!$A$1:$I$89,5,0)</f>
        <v>0</v>
      </c>
      <c r="FG189" s="13" t="e">
        <f t="shared" si="182"/>
        <v>#NUM!</v>
      </c>
      <c r="FH189" s="20" t="e">
        <f t="shared" si="183"/>
        <v>#NUM!</v>
      </c>
      <c r="FI189" s="59" t="e">
        <f t="shared" si="131"/>
        <v>#NUM!</v>
      </c>
      <c r="FJ189" s="59">
        <f ca="1">AVERAGE(OFFSET($FI$3,0,0,'Données projet'!$E$16+1,1))-AVERAGE(OFFSET($H$3,0,0,'Données projet'!$E$16+1,1))</f>
        <v>0</v>
      </c>
      <c r="FK189" s="59">
        <f t="shared" si="156"/>
        <v>0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>
        <f>EXP(-LN(2)/35)*FQ188+(1-EXP(-LN(2)/35))/(LN(2)/35)*FM189*FN189*VLOOKUP('Données projet'!$B$16,Paramètres!$A$1:$I$89,3,0)*0.475*44/12</f>
        <v>0</v>
      </c>
      <c r="FR189" s="21">
        <f>EXP(-LN(2)/25)*FR188+(1-EXP(-LN(2)/25))/(LN(2)/25)*Calculateur!FM189*Calculateur!FO189*VLOOKUP('Données projet'!$B$16,Paramètres!$A$1:$I$89,3,0)*0.475*44/12</f>
        <v>0</v>
      </c>
      <c r="FS189" s="21">
        <f>EXP(-LN(2)/2)*FS188+(1-EXP(-LN(2)/2))/(LN(2)/2)*FM189*FP189*VLOOKUP('Données projet'!$B$16,Paramètres!$A$1:$I$89,3,0)*0.475*44/12</f>
        <v>0</v>
      </c>
      <c r="FT189" s="22">
        <f t="shared" si="184"/>
        <v>0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1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186.90544184210381</v>
      </c>
      <c r="T190" s="59">
        <f t="shared" si="142"/>
        <v>202.05988514450519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9.6207861277037221</v>
      </c>
      <c r="AA190" s="21">
        <f>EXP(-LN(2)/25)*AA189+(1-EXP(-LN(2)/25))/(LN(2)/25)*Calculateur!V190*Calculateur!X190*VLOOKUP('Données projet'!$B$9,Paramètres!$A$1:$I$89,3,0)*0.475*44/12</f>
        <v>0.64597548268994998</v>
      </c>
      <c r="AB190" s="21">
        <f>EXP(-LN(2)/2)*AB189+(1-EXP(-LN(2)/2))/(LN(2)/2)*V190*Y190*VLOOKUP('Données projet'!$B$9,Paramètres!$A$1:$I$89,3,0)*0.475*44/12</f>
        <v>3.2984041441111502E-18</v>
      </c>
      <c r="AC190" s="22">
        <f t="shared" si="163"/>
        <v>10.266761610393672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>
        <f>AI190*VLOOKUP('Données projet'!$B$10,Paramètres!$A$1:$I$89,3,0)*VLOOKUP('Données projet'!$B$10,Paramètres!$A$1:$I$89,5,0)</f>
        <v>0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186.90544184210381</v>
      </c>
      <c r="AO190" s="59">
        <f t="shared" si="144"/>
        <v>202.05988514450519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9.6207861277037221</v>
      </c>
      <c r="AV190" s="21">
        <f>EXP(-LN(2)/25)*AV189+(1-EXP(-LN(2)/25))/(LN(2)/25)*Calculateur!AQ190*Calculateur!AS190*VLOOKUP('Données projet'!$B$10,Paramètres!$A$1:$I$89,3,0)*0.475*44/12</f>
        <v>0.64597548268994998</v>
      </c>
      <c r="AW190" s="21">
        <f>EXP(-LN(2)/2)*AW189+(1-EXP(-LN(2)/2))/(LN(2)/2)*AQ190*AT190*VLOOKUP('Données projet'!$B$10,Paramètres!$A$1:$I$89,3,0)*0.475*44/12</f>
        <v>3.2984041441111502E-18</v>
      </c>
      <c r="AX190" s="21">
        <f t="shared" si="166"/>
        <v>10.266761610393672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-2.8421709430404007E-14</v>
      </c>
      <c r="BE190" s="13">
        <f>BD190*VLOOKUP('Données projet'!$B$11,Paramètres!$A$1:$I$89,3,0)*VLOOKUP('Données projet'!$B$11,Paramètres!$A$1:$I$89,5,0)</f>
        <v>-2.3055690689943732E-14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5.8584049049231908</v>
      </c>
      <c r="BJ190" s="59">
        <f t="shared" si="146"/>
        <v>42.266833200216638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7.7575513231291774E-22</v>
      </c>
      <c r="BS190" s="22">
        <f t="shared" si="169"/>
        <v>7.7575513231291774E-22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>
        <f>BY190*VLOOKUP('Données projet'!$B$12,Paramètres!$A$1:$I$89,3,0)*VLOOKUP('Données projet'!$B$12,Paramètres!$A$1:$I$89,5,0)</f>
        <v>0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0</v>
      </c>
      <c r="CE190" s="59">
        <f t="shared" si="148"/>
        <v>0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0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>
        <f>CT190*VLOOKUP('Données projet'!$B$13,Paramètres!$A$1:$I$89,3,0)*VLOOKUP('Données projet'!$B$13,Paramètres!$A$1:$I$89,5,0)</f>
        <v>0</v>
      </c>
      <c r="CV190" s="13" t="e">
        <f t="shared" si="173"/>
        <v>#NUM!</v>
      </c>
      <c r="CW190" s="20" t="e">
        <f t="shared" si="174"/>
        <v>#NUM!</v>
      </c>
      <c r="CX190" s="59" t="e">
        <f t="shared" si="122"/>
        <v>#NUM!</v>
      </c>
      <c r="CY190" s="59">
        <f ca="1">AVERAGE(OFFSET($CX$3,0,0,'Données projet'!$E$13+1,1))-AVERAGE(OFFSET($H$3,0,0,'Données projet'!$E$13+1,1))</f>
        <v>0</v>
      </c>
      <c r="CZ190" s="59">
        <f t="shared" si="150"/>
        <v>0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</v>
      </c>
      <c r="DG190" s="21">
        <f>EXP(-LN(2)/25)*DG189+(1-EXP(-LN(2)/25))/(LN(2)/25)*Calculateur!DB190*Calculateur!DD190*VLOOKUP('Données projet'!$B$13,Paramètres!$A$1:$I$89,3,0)*0.475*44/12</f>
        <v>0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0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>
        <f>DO190*VLOOKUP('Données projet'!$B$14,Paramètres!$A$1:$I$89,3,0)*VLOOKUP('Données projet'!$B$14,Paramètres!$A$1:$I$89,5,0)</f>
        <v>0</v>
      </c>
      <c r="DQ190" s="13" t="e">
        <f t="shared" si="176"/>
        <v>#NUM!</v>
      </c>
      <c r="DR190" s="20" t="e">
        <f t="shared" si="177"/>
        <v>#NUM!</v>
      </c>
      <c r="DS190" s="59" t="e">
        <f t="shared" si="125"/>
        <v>#NUM!</v>
      </c>
      <c r="DT190" s="59">
        <f ca="1">AVERAGE(OFFSET($DS$3,0,0,'Données projet'!$E$14+1,1))-AVERAGE(OFFSET($H$3,0,0,'Données projet'!$E$14+1,1))</f>
        <v>0</v>
      </c>
      <c r="DU190" s="59">
        <f t="shared" si="152"/>
        <v>0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0</v>
      </c>
      <c r="EB190" s="21">
        <f>EXP(-LN(2)/25)*EB189+(1-EXP(-LN(2)/25))/(LN(2)/25)*Calculateur!DW190*Calculateur!DY190*VLOOKUP('Données projet'!$B$14,Paramètres!$A$1:$I$89,3,0)*0.475*44/12</f>
        <v>0</v>
      </c>
      <c r="EC190" s="21">
        <f>EXP(-LN(2)/2)*EC189+(1-EXP(-LN(2)/2))/(LN(2)/2)*DW190*DZ190*VLOOKUP('Données projet'!$B$14,Paramètres!$A$1:$I$89,3,0)*0.475*44/12</f>
        <v>0</v>
      </c>
      <c r="ED190" s="22">
        <f t="shared" si="178"/>
        <v>0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>
        <f>EJ190*VLOOKUP('Données projet'!$B$15,Paramètres!$A$1:$I$89,3,0)*VLOOKUP('Données projet'!$B$15,Paramètres!$A$1:$I$89,5,0)</f>
        <v>0</v>
      </c>
      <c r="EL190" s="13" t="e">
        <f t="shared" si="179"/>
        <v>#NUM!</v>
      </c>
      <c r="EM190" s="20" t="e">
        <f t="shared" si="180"/>
        <v>#NUM!</v>
      </c>
      <c r="EN190" s="59" t="e">
        <f t="shared" si="128"/>
        <v>#NUM!</v>
      </c>
      <c r="EO190" s="59">
        <f ca="1">AVERAGE(OFFSET($EN$3,0,0,'Données projet'!$E$15+1,1))-AVERAGE(OFFSET($H$3,0,0,'Données projet'!$E$15+1,1))</f>
        <v>0</v>
      </c>
      <c r="EP190" s="59">
        <f t="shared" si="154"/>
        <v>0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>
        <f>EXP(-LN(2)/35)*EV189+(1-EXP(-LN(2)/35))/(LN(2)/35)*ER190*ES190*VLOOKUP('Données projet'!$B$15,Paramètres!$A$1:$I$89,3,0)*0.475*44/12</f>
        <v>0</v>
      </c>
      <c r="EW190" s="21">
        <f>EXP(-LN(2)/25)*EW189+(1-EXP(-LN(2)/25))/(LN(2)/25)*Calculateur!ER190*Calculateur!ET190*VLOOKUP('Données projet'!$B$15,Paramètres!$A$1:$I$89,3,0)*0.475*44/12</f>
        <v>0</v>
      </c>
      <c r="EX190" s="21">
        <f>EXP(-LN(2)/2)*EX189+(1-EXP(-LN(2)/2))/(LN(2)/2)*ER190*EU190*VLOOKUP('Données projet'!$B$15,Paramètres!$A$1:$I$89,3,0)*0.475*44/12</f>
        <v>0</v>
      </c>
      <c r="EY190" s="22">
        <f t="shared" si="181"/>
        <v>0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>
        <f>FE190*VLOOKUP('Données projet'!$B$16,Paramètres!$A$1:$I$89,3,0)*VLOOKUP('Données projet'!$B$16,Paramètres!$A$1:$I$89,5,0)</f>
        <v>0</v>
      </c>
      <c r="FG190" s="13" t="e">
        <f t="shared" si="182"/>
        <v>#NUM!</v>
      </c>
      <c r="FH190" s="20" t="e">
        <f t="shared" si="183"/>
        <v>#NUM!</v>
      </c>
      <c r="FI190" s="59" t="e">
        <f t="shared" si="131"/>
        <v>#NUM!</v>
      </c>
      <c r="FJ190" s="59">
        <f ca="1">AVERAGE(OFFSET($FI$3,0,0,'Données projet'!$E$16+1,1))-AVERAGE(OFFSET($H$3,0,0,'Données projet'!$E$16+1,1))</f>
        <v>0</v>
      </c>
      <c r="FK190" s="59">
        <f t="shared" si="156"/>
        <v>0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>
        <f>EXP(-LN(2)/35)*FQ189+(1-EXP(-LN(2)/35))/(LN(2)/35)*FM190*FN190*VLOOKUP('Données projet'!$B$16,Paramètres!$A$1:$I$89,3,0)*0.475*44/12</f>
        <v>0</v>
      </c>
      <c r="FR190" s="21">
        <f>EXP(-LN(2)/25)*FR189+(1-EXP(-LN(2)/25))/(LN(2)/25)*Calculateur!FM190*Calculateur!FO190*VLOOKUP('Données projet'!$B$16,Paramètres!$A$1:$I$89,3,0)*0.475*44/12</f>
        <v>0</v>
      </c>
      <c r="FS190" s="21">
        <f>EXP(-LN(2)/2)*FS189+(1-EXP(-LN(2)/2))/(LN(2)/2)*FM190*FP190*VLOOKUP('Données projet'!$B$16,Paramètres!$A$1:$I$89,3,0)*0.475*44/12</f>
        <v>0</v>
      </c>
      <c r="FT190" s="22">
        <f t="shared" si="184"/>
        <v>0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1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186.90544184210381</v>
      </c>
      <c r="T191" s="59">
        <f t="shared" si="142"/>
        <v>202.05988514450519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9.432128379839563</v>
      </c>
      <c r="AA191" s="21">
        <f>EXP(-LN(2)/25)*AA190+(1-EXP(-LN(2)/25))/(LN(2)/25)*Calculateur!V191*Calculateur!X191*VLOOKUP('Données projet'!$B$9,Paramètres!$A$1:$I$89,3,0)*0.475*44/12</f>
        <v>0.62831124914541903</v>
      </c>
      <c r="AB191" s="21">
        <f>EXP(-LN(2)/2)*AB190+(1-EXP(-LN(2)/2))/(LN(2)/2)*V191*Y191*VLOOKUP('Données projet'!$B$9,Paramètres!$A$1:$I$89,3,0)*0.475*44/12</f>
        <v>2.3323239373948046E-18</v>
      </c>
      <c r="AC191" s="22">
        <f t="shared" si="163"/>
        <v>10.060439628984982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>
        <f>AI191*VLOOKUP('Données projet'!$B$10,Paramètres!$A$1:$I$89,3,0)*VLOOKUP('Données projet'!$B$10,Paramètres!$A$1:$I$89,5,0)</f>
        <v>0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186.90544184210381</v>
      </c>
      <c r="AO191" s="59">
        <f t="shared" si="144"/>
        <v>202.05988514450519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9.432128379839563</v>
      </c>
      <c r="AV191" s="21">
        <f>EXP(-LN(2)/25)*AV190+(1-EXP(-LN(2)/25))/(LN(2)/25)*Calculateur!AQ191*Calculateur!AS191*VLOOKUP('Données projet'!$B$10,Paramètres!$A$1:$I$89,3,0)*0.475*44/12</f>
        <v>0.62831124914541903</v>
      </c>
      <c r="AW191" s="21">
        <f>EXP(-LN(2)/2)*AW190+(1-EXP(-LN(2)/2))/(LN(2)/2)*AQ191*AT191*VLOOKUP('Données projet'!$B$10,Paramètres!$A$1:$I$89,3,0)*0.475*44/12</f>
        <v>2.3323239373948046E-18</v>
      </c>
      <c r="AX191" s="21">
        <f t="shared" si="166"/>
        <v>10.060439628984982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-2.8421709430404007E-14</v>
      </c>
      <c r="BE191" s="13">
        <f>BD191*VLOOKUP('Données projet'!$B$11,Paramètres!$A$1:$I$89,3,0)*VLOOKUP('Données projet'!$B$11,Paramètres!$A$1:$I$89,5,0)</f>
        <v>-2.3055690689943732E-14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5.8584049049231908</v>
      </c>
      <c r="BJ191" s="59">
        <f t="shared" si="146"/>
        <v>42.266833200216638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5.4854171459873154E-22</v>
      </c>
      <c r="BS191" s="22">
        <f t="shared" si="169"/>
        <v>5.4854171459873154E-22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>
        <f>BY191*VLOOKUP('Données projet'!$B$12,Paramètres!$A$1:$I$89,3,0)*VLOOKUP('Données projet'!$B$12,Paramètres!$A$1:$I$89,5,0)</f>
        <v>0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0</v>
      </c>
      <c r="CE191" s="59">
        <f t="shared" si="148"/>
        <v>0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0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>
        <f>CT191*VLOOKUP('Données projet'!$B$13,Paramètres!$A$1:$I$89,3,0)*VLOOKUP('Données projet'!$B$13,Paramètres!$A$1:$I$89,5,0)</f>
        <v>0</v>
      </c>
      <c r="CV191" s="13" t="e">
        <f t="shared" si="173"/>
        <v>#NUM!</v>
      </c>
      <c r="CW191" s="20" t="e">
        <f t="shared" si="174"/>
        <v>#NUM!</v>
      </c>
      <c r="CX191" s="59" t="e">
        <f t="shared" si="122"/>
        <v>#NUM!</v>
      </c>
      <c r="CY191" s="59">
        <f ca="1">AVERAGE(OFFSET($CX$3,0,0,'Données projet'!$E$13+1,1))-AVERAGE(OFFSET($H$3,0,0,'Données projet'!$E$13+1,1))</f>
        <v>0</v>
      </c>
      <c r="CZ191" s="59">
        <f t="shared" si="150"/>
        <v>0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</v>
      </c>
      <c r="DG191" s="21">
        <f>EXP(-LN(2)/25)*DG190+(1-EXP(-LN(2)/25))/(LN(2)/25)*Calculateur!DB191*Calculateur!DD191*VLOOKUP('Données projet'!$B$13,Paramètres!$A$1:$I$89,3,0)*0.475*44/12</f>
        <v>0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0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>
        <f>DO191*VLOOKUP('Données projet'!$B$14,Paramètres!$A$1:$I$89,3,0)*VLOOKUP('Données projet'!$B$14,Paramètres!$A$1:$I$89,5,0)</f>
        <v>0</v>
      </c>
      <c r="DQ191" s="13" t="e">
        <f t="shared" si="176"/>
        <v>#NUM!</v>
      </c>
      <c r="DR191" s="20" t="e">
        <f t="shared" si="177"/>
        <v>#NUM!</v>
      </c>
      <c r="DS191" s="59" t="e">
        <f t="shared" si="125"/>
        <v>#NUM!</v>
      </c>
      <c r="DT191" s="59">
        <f ca="1">AVERAGE(OFFSET($DS$3,0,0,'Données projet'!$E$14+1,1))-AVERAGE(OFFSET($H$3,0,0,'Données projet'!$E$14+1,1))</f>
        <v>0</v>
      </c>
      <c r="DU191" s="59">
        <f t="shared" si="152"/>
        <v>0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0</v>
      </c>
      <c r="EB191" s="21">
        <f>EXP(-LN(2)/25)*EB190+(1-EXP(-LN(2)/25))/(LN(2)/25)*Calculateur!DW191*Calculateur!DY191*VLOOKUP('Données projet'!$B$14,Paramètres!$A$1:$I$89,3,0)*0.475*44/12</f>
        <v>0</v>
      </c>
      <c r="EC191" s="21">
        <f>EXP(-LN(2)/2)*EC190+(1-EXP(-LN(2)/2))/(LN(2)/2)*DW191*DZ191*VLOOKUP('Données projet'!$B$14,Paramètres!$A$1:$I$89,3,0)*0.475*44/12</f>
        <v>0</v>
      </c>
      <c r="ED191" s="22">
        <f t="shared" si="178"/>
        <v>0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>
        <f>EJ191*VLOOKUP('Données projet'!$B$15,Paramètres!$A$1:$I$89,3,0)*VLOOKUP('Données projet'!$B$15,Paramètres!$A$1:$I$89,5,0)</f>
        <v>0</v>
      </c>
      <c r="EL191" s="13" t="e">
        <f t="shared" si="179"/>
        <v>#NUM!</v>
      </c>
      <c r="EM191" s="20" t="e">
        <f t="shared" si="180"/>
        <v>#NUM!</v>
      </c>
      <c r="EN191" s="59" t="e">
        <f t="shared" si="128"/>
        <v>#NUM!</v>
      </c>
      <c r="EO191" s="59">
        <f ca="1">AVERAGE(OFFSET($EN$3,0,0,'Données projet'!$E$15+1,1))-AVERAGE(OFFSET($H$3,0,0,'Données projet'!$E$15+1,1))</f>
        <v>0</v>
      </c>
      <c r="EP191" s="59">
        <f t="shared" si="154"/>
        <v>0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>
        <f>EXP(-LN(2)/35)*EV190+(1-EXP(-LN(2)/35))/(LN(2)/35)*ER191*ES191*VLOOKUP('Données projet'!$B$15,Paramètres!$A$1:$I$89,3,0)*0.475*44/12</f>
        <v>0</v>
      </c>
      <c r="EW191" s="21">
        <f>EXP(-LN(2)/25)*EW190+(1-EXP(-LN(2)/25))/(LN(2)/25)*Calculateur!ER191*Calculateur!ET191*VLOOKUP('Données projet'!$B$15,Paramètres!$A$1:$I$89,3,0)*0.475*44/12</f>
        <v>0</v>
      </c>
      <c r="EX191" s="21">
        <f>EXP(-LN(2)/2)*EX190+(1-EXP(-LN(2)/2))/(LN(2)/2)*ER191*EU191*VLOOKUP('Données projet'!$B$15,Paramètres!$A$1:$I$89,3,0)*0.475*44/12</f>
        <v>0</v>
      </c>
      <c r="EY191" s="22">
        <f t="shared" si="181"/>
        <v>0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>
        <f>FE191*VLOOKUP('Données projet'!$B$16,Paramètres!$A$1:$I$89,3,0)*VLOOKUP('Données projet'!$B$16,Paramètres!$A$1:$I$89,5,0)</f>
        <v>0</v>
      </c>
      <c r="FG191" s="13" t="e">
        <f t="shared" si="182"/>
        <v>#NUM!</v>
      </c>
      <c r="FH191" s="20" t="e">
        <f t="shared" si="183"/>
        <v>#NUM!</v>
      </c>
      <c r="FI191" s="59" t="e">
        <f t="shared" si="131"/>
        <v>#NUM!</v>
      </c>
      <c r="FJ191" s="59">
        <f ca="1">AVERAGE(OFFSET($FI$3,0,0,'Données projet'!$E$16+1,1))-AVERAGE(OFFSET($H$3,0,0,'Données projet'!$E$16+1,1))</f>
        <v>0</v>
      </c>
      <c r="FK191" s="59">
        <f t="shared" si="156"/>
        <v>0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>
        <f>EXP(-LN(2)/35)*FQ190+(1-EXP(-LN(2)/35))/(LN(2)/35)*FM191*FN191*VLOOKUP('Données projet'!$B$16,Paramètres!$A$1:$I$89,3,0)*0.475*44/12</f>
        <v>0</v>
      </c>
      <c r="FR191" s="21">
        <f>EXP(-LN(2)/25)*FR190+(1-EXP(-LN(2)/25))/(LN(2)/25)*Calculateur!FM191*Calculateur!FO191*VLOOKUP('Données projet'!$B$16,Paramètres!$A$1:$I$89,3,0)*0.475*44/12</f>
        <v>0</v>
      </c>
      <c r="FS191" s="21">
        <f>EXP(-LN(2)/2)*FS190+(1-EXP(-LN(2)/2))/(LN(2)/2)*FM191*FP191*VLOOKUP('Données projet'!$B$16,Paramètres!$A$1:$I$89,3,0)*0.475*44/12</f>
        <v>0</v>
      </c>
      <c r="FT191" s="22">
        <f t="shared" si="184"/>
        <v>0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1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186.90544184210381</v>
      </c>
      <c r="T192" s="59">
        <f t="shared" si="142"/>
        <v>202.05988514450519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9.247170095341156</v>
      </c>
      <c r="AA192" s="21">
        <f>EXP(-LN(2)/25)*AA191+(1-EXP(-LN(2)/25))/(LN(2)/25)*Calculateur!V192*Calculateur!X192*VLOOKUP('Données projet'!$B$9,Paramètres!$A$1:$I$89,3,0)*0.475*44/12</f>
        <v>0.61113004499608492</v>
      </c>
      <c r="AB192" s="21">
        <f>EXP(-LN(2)/2)*AB191+(1-EXP(-LN(2)/2))/(LN(2)/2)*V192*Y192*VLOOKUP('Données projet'!$B$9,Paramètres!$A$1:$I$89,3,0)*0.475*44/12</f>
        <v>1.6492020720555751E-18</v>
      </c>
      <c r="AC192" s="22">
        <f t="shared" si="163"/>
        <v>9.8583001403372403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>
        <f>AI192*VLOOKUP('Données projet'!$B$10,Paramètres!$A$1:$I$89,3,0)*VLOOKUP('Données projet'!$B$10,Paramètres!$A$1:$I$89,5,0)</f>
        <v>0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186.90544184210381</v>
      </c>
      <c r="AO192" s="59">
        <f t="shared" si="144"/>
        <v>202.05988514450519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9.247170095341156</v>
      </c>
      <c r="AV192" s="21">
        <f>EXP(-LN(2)/25)*AV191+(1-EXP(-LN(2)/25))/(LN(2)/25)*Calculateur!AQ192*Calculateur!AS192*VLOOKUP('Données projet'!$B$10,Paramètres!$A$1:$I$89,3,0)*0.475*44/12</f>
        <v>0.61113004499608492</v>
      </c>
      <c r="AW192" s="21">
        <f>EXP(-LN(2)/2)*AW191+(1-EXP(-LN(2)/2))/(LN(2)/2)*AQ192*AT192*VLOOKUP('Données projet'!$B$10,Paramètres!$A$1:$I$89,3,0)*0.475*44/12</f>
        <v>1.6492020720555751E-18</v>
      </c>
      <c r="AX192" s="21">
        <f t="shared" si="166"/>
        <v>9.8583001403372403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-2.8421709430404007E-14</v>
      </c>
      <c r="BE192" s="13">
        <f>BD192*VLOOKUP('Données projet'!$B$11,Paramètres!$A$1:$I$89,3,0)*VLOOKUP('Données projet'!$B$11,Paramètres!$A$1:$I$89,5,0)</f>
        <v>-2.3055690689943732E-14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5.8584049049231908</v>
      </c>
      <c r="BJ192" s="59">
        <f t="shared" si="146"/>
        <v>42.266833200216638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3.8787756615645887E-22</v>
      </c>
      <c r="BS192" s="22">
        <f t="shared" si="169"/>
        <v>3.8787756615645887E-22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>
        <f>BY192*VLOOKUP('Données projet'!$B$12,Paramètres!$A$1:$I$89,3,0)*VLOOKUP('Données projet'!$B$12,Paramètres!$A$1:$I$89,5,0)</f>
        <v>0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0</v>
      </c>
      <c r="CE192" s="59">
        <f t="shared" si="148"/>
        <v>0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0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>
        <f>CT192*VLOOKUP('Données projet'!$B$13,Paramètres!$A$1:$I$89,3,0)*VLOOKUP('Données projet'!$B$13,Paramètres!$A$1:$I$89,5,0)</f>
        <v>0</v>
      </c>
      <c r="CV192" s="13" t="e">
        <f t="shared" si="173"/>
        <v>#NUM!</v>
      </c>
      <c r="CW192" s="20" t="e">
        <f t="shared" si="174"/>
        <v>#NUM!</v>
      </c>
      <c r="CX192" s="59" t="e">
        <f t="shared" si="122"/>
        <v>#NUM!</v>
      </c>
      <c r="CY192" s="59">
        <f ca="1">AVERAGE(OFFSET($CX$3,0,0,'Données projet'!$E$13+1,1))-AVERAGE(OFFSET($H$3,0,0,'Données projet'!$E$13+1,1))</f>
        <v>0</v>
      </c>
      <c r="CZ192" s="59">
        <f t="shared" si="150"/>
        <v>0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</v>
      </c>
      <c r="DG192" s="21">
        <f>EXP(-LN(2)/25)*DG191+(1-EXP(-LN(2)/25))/(LN(2)/25)*Calculateur!DB192*Calculateur!DD192*VLOOKUP('Données projet'!$B$13,Paramètres!$A$1:$I$89,3,0)*0.475*44/12</f>
        <v>0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0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>
        <f>DO192*VLOOKUP('Données projet'!$B$14,Paramètres!$A$1:$I$89,3,0)*VLOOKUP('Données projet'!$B$14,Paramètres!$A$1:$I$89,5,0)</f>
        <v>0</v>
      </c>
      <c r="DQ192" s="13" t="e">
        <f t="shared" si="176"/>
        <v>#NUM!</v>
      </c>
      <c r="DR192" s="20" t="e">
        <f t="shared" si="177"/>
        <v>#NUM!</v>
      </c>
      <c r="DS192" s="59" t="e">
        <f t="shared" si="125"/>
        <v>#NUM!</v>
      </c>
      <c r="DT192" s="59">
        <f ca="1">AVERAGE(OFFSET($DS$3,0,0,'Données projet'!$E$14+1,1))-AVERAGE(OFFSET($H$3,0,0,'Données projet'!$E$14+1,1))</f>
        <v>0</v>
      </c>
      <c r="DU192" s="59">
        <f t="shared" si="152"/>
        <v>0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0</v>
      </c>
      <c r="EB192" s="21">
        <f>EXP(-LN(2)/25)*EB191+(1-EXP(-LN(2)/25))/(LN(2)/25)*Calculateur!DW192*Calculateur!DY192*VLOOKUP('Données projet'!$B$14,Paramètres!$A$1:$I$89,3,0)*0.475*44/12</f>
        <v>0</v>
      </c>
      <c r="EC192" s="21">
        <f>EXP(-LN(2)/2)*EC191+(1-EXP(-LN(2)/2))/(LN(2)/2)*DW192*DZ192*VLOOKUP('Données projet'!$B$14,Paramètres!$A$1:$I$89,3,0)*0.475*44/12</f>
        <v>0</v>
      </c>
      <c r="ED192" s="22">
        <f t="shared" si="178"/>
        <v>0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>
        <f>EJ192*VLOOKUP('Données projet'!$B$15,Paramètres!$A$1:$I$89,3,0)*VLOOKUP('Données projet'!$B$15,Paramètres!$A$1:$I$89,5,0)</f>
        <v>0</v>
      </c>
      <c r="EL192" s="13" t="e">
        <f t="shared" si="179"/>
        <v>#NUM!</v>
      </c>
      <c r="EM192" s="20" t="e">
        <f t="shared" si="180"/>
        <v>#NUM!</v>
      </c>
      <c r="EN192" s="59" t="e">
        <f t="shared" si="128"/>
        <v>#NUM!</v>
      </c>
      <c r="EO192" s="59">
        <f ca="1">AVERAGE(OFFSET($EN$3,0,0,'Données projet'!$E$15+1,1))-AVERAGE(OFFSET($H$3,0,0,'Données projet'!$E$15+1,1))</f>
        <v>0</v>
      </c>
      <c r="EP192" s="59">
        <f t="shared" si="154"/>
        <v>0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>
        <f>EXP(-LN(2)/35)*EV191+(1-EXP(-LN(2)/35))/(LN(2)/35)*ER192*ES192*VLOOKUP('Données projet'!$B$15,Paramètres!$A$1:$I$89,3,0)*0.475*44/12</f>
        <v>0</v>
      </c>
      <c r="EW192" s="21">
        <f>EXP(-LN(2)/25)*EW191+(1-EXP(-LN(2)/25))/(LN(2)/25)*Calculateur!ER192*Calculateur!ET192*VLOOKUP('Données projet'!$B$15,Paramètres!$A$1:$I$89,3,0)*0.475*44/12</f>
        <v>0</v>
      </c>
      <c r="EX192" s="21">
        <f>EXP(-LN(2)/2)*EX191+(1-EXP(-LN(2)/2))/(LN(2)/2)*ER192*EU192*VLOOKUP('Données projet'!$B$15,Paramètres!$A$1:$I$89,3,0)*0.475*44/12</f>
        <v>0</v>
      </c>
      <c r="EY192" s="22">
        <f t="shared" si="181"/>
        <v>0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>
        <f>FE192*VLOOKUP('Données projet'!$B$16,Paramètres!$A$1:$I$89,3,0)*VLOOKUP('Données projet'!$B$16,Paramètres!$A$1:$I$89,5,0)</f>
        <v>0</v>
      </c>
      <c r="FG192" s="13" t="e">
        <f t="shared" si="182"/>
        <v>#NUM!</v>
      </c>
      <c r="FH192" s="20" t="e">
        <f t="shared" si="183"/>
        <v>#NUM!</v>
      </c>
      <c r="FI192" s="59" t="e">
        <f t="shared" si="131"/>
        <v>#NUM!</v>
      </c>
      <c r="FJ192" s="59">
        <f ca="1">AVERAGE(OFFSET($FI$3,0,0,'Données projet'!$E$16+1,1))-AVERAGE(OFFSET($H$3,0,0,'Données projet'!$E$16+1,1))</f>
        <v>0</v>
      </c>
      <c r="FK192" s="59">
        <f t="shared" si="156"/>
        <v>0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>
        <f>EXP(-LN(2)/35)*FQ191+(1-EXP(-LN(2)/35))/(LN(2)/35)*FM192*FN192*VLOOKUP('Données projet'!$B$16,Paramètres!$A$1:$I$89,3,0)*0.475*44/12</f>
        <v>0</v>
      </c>
      <c r="FR192" s="21">
        <f>EXP(-LN(2)/25)*FR191+(1-EXP(-LN(2)/25))/(LN(2)/25)*Calculateur!FM192*Calculateur!FO192*VLOOKUP('Données projet'!$B$16,Paramètres!$A$1:$I$89,3,0)*0.475*44/12</f>
        <v>0</v>
      </c>
      <c r="FS192" s="21">
        <f>EXP(-LN(2)/2)*FS191+(1-EXP(-LN(2)/2))/(LN(2)/2)*FM192*FP192*VLOOKUP('Données projet'!$B$16,Paramètres!$A$1:$I$89,3,0)*0.475*44/12</f>
        <v>0</v>
      </c>
      <c r="FT192" s="22">
        <f t="shared" si="184"/>
        <v>0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1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186.90544184210381</v>
      </c>
      <c r="T193" s="59">
        <f t="shared" si="142"/>
        <v>202.05988514450519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9.0658387299883483</v>
      </c>
      <c r="AA193" s="21">
        <f>EXP(-LN(2)/25)*AA192+(1-EXP(-LN(2)/25))/(LN(2)/25)*Calculateur!V193*Calculateur!X193*VLOOKUP('Données projet'!$B$9,Paramètres!$A$1:$I$89,3,0)*0.475*44/12</f>
        <v>0.59441866177773461</v>
      </c>
      <c r="AB193" s="21">
        <f>EXP(-LN(2)/2)*AB192+(1-EXP(-LN(2)/2))/(LN(2)/2)*V193*Y193*VLOOKUP('Données projet'!$B$9,Paramètres!$A$1:$I$89,3,0)*0.475*44/12</f>
        <v>1.1661619686974023E-18</v>
      </c>
      <c r="AC193" s="22">
        <f t="shared" si="163"/>
        <v>9.6602573917660823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>
        <f>AI193*VLOOKUP('Données projet'!$B$10,Paramètres!$A$1:$I$89,3,0)*VLOOKUP('Données projet'!$B$10,Paramètres!$A$1:$I$89,5,0)</f>
        <v>0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186.90544184210381</v>
      </c>
      <c r="AO193" s="59">
        <f t="shared" si="144"/>
        <v>202.05988514450519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9.0658387299883483</v>
      </c>
      <c r="AV193" s="21">
        <f>EXP(-LN(2)/25)*AV192+(1-EXP(-LN(2)/25))/(LN(2)/25)*Calculateur!AQ193*Calculateur!AS193*VLOOKUP('Données projet'!$B$10,Paramètres!$A$1:$I$89,3,0)*0.475*44/12</f>
        <v>0.59441866177773461</v>
      </c>
      <c r="AW193" s="21">
        <f>EXP(-LN(2)/2)*AW192+(1-EXP(-LN(2)/2))/(LN(2)/2)*AQ193*AT193*VLOOKUP('Données projet'!$B$10,Paramètres!$A$1:$I$89,3,0)*0.475*44/12</f>
        <v>1.1661619686974023E-18</v>
      </c>
      <c r="AX193" s="21">
        <f t="shared" si="166"/>
        <v>9.6602573917660823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-2.8421709430404007E-14</v>
      </c>
      <c r="BE193" s="13">
        <f>BD193*VLOOKUP('Données projet'!$B$11,Paramètres!$A$1:$I$89,3,0)*VLOOKUP('Données projet'!$B$11,Paramètres!$A$1:$I$89,5,0)</f>
        <v>-2.3055690689943732E-14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5.8584049049231908</v>
      </c>
      <c r="BJ193" s="59">
        <f t="shared" si="146"/>
        <v>42.266833200216638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2.7427085729936577E-22</v>
      </c>
      <c r="BS193" s="22">
        <f t="shared" si="169"/>
        <v>2.7427085729936577E-22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>
        <f>BY193*VLOOKUP('Données projet'!$B$12,Paramètres!$A$1:$I$89,3,0)*VLOOKUP('Données projet'!$B$12,Paramètres!$A$1:$I$89,5,0)</f>
        <v>0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0</v>
      </c>
      <c r="CE193" s="59">
        <f t="shared" si="148"/>
        <v>0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0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>
        <f>CT193*VLOOKUP('Données projet'!$B$13,Paramètres!$A$1:$I$89,3,0)*VLOOKUP('Données projet'!$B$13,Paramètres!$A$1:$I$89,5,0)</f>
        <v>0</v>
      </c>
      <c r="CV193" s="13" t="e">
        <f t="shared" si="173"/>
        <v>#NUM!</v>
      </c>
      <c r="CW193" s="20" t="e">
        <f t="shared" si="174"/>
        <v>#NUM!</v>
      </c>
      <c r="CX193" s="59" t="e">
        <f t="shared" si="122"/>
        <v>#NUM!</v>
      </c>
      <c r="CY193" s="59">
        <f ca="1">AVERAGE(OFFSET($CX$3,0,0,'Données projet'!$E$13+1,1))-AVERAGE(OFFSET($H$3,0,0,'Données projet'!$E$13+1,1))</f>
        <v>0</v>
      </c>
      <c r="CZ193" s="59">
        <f t="shared" si="150"/>
        <v>0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</v>
      </c>
      <c r="DG193" s="21">
        <f>EXP(-LN(2)/25)*DG192+(1-EXP(-LN(2)/25))/(LN(2)/25)*Calculateur!DB193*Calculateur!DD193*VLOOKUP('Données projet'!$B$13,Paramètres!$A$1:$I$89,3,0)*0.475*44/12</f>
        <v>0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0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>
        <f>DO193*VLOOKUP('Données projet'!$B$14,Paramètres!$A$1:$I$89,3,0)*VLOOKUP('Données projet'!$B$14,Paramètres!$A$1:$I$89,5,0)</f>
        <v>0</v>
      </c>
      <c r="DQ193" s="13" t="e">
        <f t="shared" si="176"/>
        <v>#NUM!</v>
      </c>
      <c r="DR193" s="20" t="e">
        <f t="shared" si="177"/>
        <v>#NUM!</v>
      </c>
      <c r="DS193" s="59" t="e">
        <f t="shared" si="125"/>
        <v>#NUM!</v>
      </c>
      <c r="DT193" s="59">
        <f ca="1">AVERAGE(OFFSET($DS$3,0,0,'Données projet'!$E$14+1,1))-AVERAGE(OFFSET($H$3,0,0,'Données projet'!$E$14+1,1))</f>
        <v>0</v>
      </c>
      <c r="DU193" s="59">
        <f t="shared" si="152"/>
        <v>0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0</v>
      </c>
      <c r="EB193" s="21">
        <f>EXP(-LN(2)/25)*EB192+(1-EXP(-LN(2)/25))/(LN(2)/25)*Calculateur!DW193*Calculateur!DY193*VLOOKUP('Données projet'!$B$14,Paramètres!$A$1:$I$89,3,0)*0.475*44/12</f>
        <v>0</v>
      </c>
      <c r="EC193" s="21">
        <f>EXP(-LN(2)/2)*EC192+(1-EXP(-LN(2)/2))/(LN(2)/2)*DW193*DZ193*VLOOKUP('Données projet'!$B$14,Paramètres!$A$1:$I$89,3,0)*0.475*44/12</f>
        <v>0</v>
      </c>
      <c r="ED193" s="22">
        <f t="shared" si="178"/>
        <v>0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>
        <f>EJ193*VLOOKUP('Données projet'!$B$15,Paramètres!$A$1:$I$89,3,0)*VLOOKUP('Données projet'!$B$15,Paramètres!$A$1:$I$89,5,0)</f>
        <v>0</v>
      </c>
      <c r="EL193" s="13" t="e">
        <f t="shared" si="179"/>
        <v>#NUM!</v>
      </c>
      <c r="EM193" s="20" t="e">
        <f t="shared" si="180"/>
        <v>#NUM!</v>
      </c>
      <c r="EN193" s="59" t="e">
        <f t="shared" si="128"/>
        <v>#NUM!</v>
      </c>
      <c r="EO193" s="59">
        <f ca="1">AVERAGE(OFFSET($EN$3,0,0,'Données projet'!$E$15+1,1))-AVERAGE(OFFSET($H$3,0,0,'Données projet'!$E$15+1,1))</f>
        <v>0</v>
      </c>
      <c r="EP193" s="59">
        <f t="shared" si="154"/>
        <v>0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>
        <f>EXP(-LN(2)/35)*EV192+(1-EXP(-LN(2)/35))/(LN(2)/35)*ER193*ES193*VLOOKUP('Données projet'!$B$15,Paramètres!$A$1:$I$89,3,0)*0.475*44/12</f>
        <v>0</v>
      </c>
      <c r="EW193" s="21">
        <f>EXP(-LN(2)/25)*EW192+(1-EXP(-LN(2)/25))/(LN(2)/25)*Calculateur!ER193*Calculateur!ET193*VLOOKUP('Données projet'!$B$15,Paramètres!$A$1:$I$89,3,0)*0.475*44/12</f>
        <v>0</v>
      </c>
      <c r="EX193" s="21">
        <f>EXP(-LN(2)/2)*EX192+(1-EXP(-LN(2)/2))/(LN(2)/2)*ER193*EU193*VLOOKUP('Données projet'!$B$15,Paramètres!$A$1:$I$89,3,0)*0.475*44/12</f>
        <v>0</v>
      </c>
      <c r="EY193" s="22">
        <f t="shared" si="181"/>
        <v>0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>
        <f>FE193*VLOOKUP('Données projet'!$B$16,Paramètres!$A$1:$I$89,3,0)*VLOOKUP('Données projet'!$B$16,Paramètres!$A$1:$I$89,5,0)</f>
        <v>0</v>
      </c>
      <c r="FG193" s="13" t="e">
        <f t="shared" si="182"/>
        <v>#NUM!</v>
      </c>
      <c r="FH193" s="20" t="e">
        <f t="shared" si="183"/>
        <v>#NUM!</v>
      </c>
      <c r="FI193" s="59" t="e">
        <f t="shared" si="131"/>
        <v>#NUM!</v>
      </c>
      <c r="FJ193" s="59">
        <f ca="1">AVERAGE(OFFSET($FI$3,0,0,'Données projet'!$E$16+1,1))-AVERAGE(OFFSET($H$3,0,0,'Données projet'!$E$16+1,1))</f>
        <v>0</v>
      </c>
      <c r="FK193" s="59">
        <f t="shared" si="156"/>
        <v>0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>
        <f>EXP(-LN(2)/35)*FQ192+(1-EXP(-LN(2)/35))/(LN(2)/35)*FM193*FN193*VLOOKUP('Données projet'!$B$16,Paramètres!$A$1:$I$89,3,0)*0.475*44/12</f>
        <v>0</v>
      </c>
      <c r="FR193" s="21">
        <f>EXP(-LN(2)/25)*FR192+(1-EXP(-LN(2)/25))/(LN(2)/25)*Calculateur!FM193*Calculateur!FO193*VLOOKUP('Données projet'!$B$16,Paramètres!$A$1:$I$89,3,0)*0.475*44/12</f>
        <v>0</v>
      </c>
      <c r="FS193" s="21">
        <f>EXP(-LN(2)/2)*FS192+(1-EXP(-LN(2)/2))/(LN(2)/2)*FM193*FP193*VLOOKUP('Données projet'!$B$16,Paramètres!$A$1:$I$89,3,0)*0.475*44/12</f>
        <v>0</v>
      </c>
      <c r="FT193" s="22">
        <f t="shared" si="184"/>
        <v>0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1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186.90544184210381</v>
      </c>
      <c r="T194" s="59">
        <f t="shared" si="142"/>
        <v>202.05988514450519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8.8880631621088977</v>
      </c>
      <c r="AA194" s="21">
        <f>EXP(-LN(2)/25)*AA193+(1-EXP(-LN(2)/25))/(LN(2)/25)*Calculateur!V194*Calculateur!X194*VLOOKUP('Données projet'!$B$9,Paramètres!$A$1:$I$89,3,0)*0.475*44/12</f>
        <v>0.57816425221230361</v>
      </c>
      <c r="AB194" s="21">
        <f>EXP(-LN(2)/2)*AB193+(1-EXP(-LN(2)/2))/(LN(2)/2)*V194*Y194*VLOOKUP('Données projet'!$B$9,Paramètres!$A$1:$I$89,3,0)*0.475*44/12</f>
        <v>8.2460103602778755E-19</v>
      </c>
      <c r="AC194" s="22">
        <f t="shared" si="163"/>
        <v>9.4662274143212013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>
        <f>AI194*VLOOKUP('Données projet'!$B$10,Paramètres!$A$1:$I$89,3,0)*VLOOKUP('Données projet'!$B$10,Paramètres!$A$1:$I$89,5,0)</f>
        <v>0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186.90544184210381</v>
      </c>
      <c r="AO194" s="59">
        <f t="shared" si="144"/>
        <v>202.05988514450519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8.8880631621088977</v>
      </c>
      <c r="AV194" s="21">
        <f>EXP(-LN(2)/25)*AV193+(1-EXP(-LN(2)/25))/(LN(2)/25)*Calculateur!AQ194*Calculateur!AS194*VLOOKUP('Données projet'!$B$10,Paramètres!$A$1:$I$89,3,0)*0.475*44/12</f>
        <v>0.57816425221230361</v>
      </c>
      <c r="AW194" s="21">
        <f>EXP(-LN(2)/2)*AW193+(1-EXP(-LN(2)/2))/(LN(2)/2)*AQ194*AT194*VLOOKUP('Données projet'!$B$10,Paramètres!$A$1:$I$89,3,0)*0.475*44/12</f>
        <v>8.2460103602778755E-19</v>
      </c>
      <c r="AX194" s="21">
        <f t="shared" si="166"/>
        <v>9.4662274143212013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-2.8421709430404007E-14</v>
      </c>
      <c r="BE194" s="13">
        <f>BD194*VLOOKUP('Données projet'!$B$11,Paramètres!$A$1:$I$89,3,0)*VLOOKUP('Données projet'!$B$11,Paramètres!$A$1:$I$89,5,0)</f>
        <v>-2.3055690689943732E-14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5.8584049049231908</v>
      </c>
      <c r="BJ194" s="59">
        <f t="shared" si="146"/>
        <v>42.266833200216638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1.9393878307822943E-22</v>
      </c>
      <c r="BS194" s="22">
        <f t="shared" si="169"/>
        <v>1.9393878307822943E-22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>
        <f>BY194*VLOOKUP('Données projet'!$B$12,Paramètres!$A$1:$I$89,3,0)*VLOOKUP('Données projet'!$B$12,Paramètres!$A$1:$I$89,5,0)</f>
        <v>0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0</v>
      </c>
      <c r="CE194" s="59">
        <f t="shared" si="148"/>
        <v>0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0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>
        <f>CT194*VLOOKUP('Données projet'!$B$13,Paramètres!$A$1:$I$89,3,0)*VLOOKUP('Données projet'!$B$13,Paramètres!$A$1:$I$89,5,0)</f>
        <v>0</v>
      </c>
      <c r="CV194" s="13" t="e">
        <f t="shared" si="173"/>
        <v>#NUM!</v>
      </c>
      <c r="CW194" s="20" t="e">
        <f t="shared" si="174"/>
        <v>#NUM!</v>
      </c>
      <c r="CX194" s="59" t="e">
        <f t="shared" si="122"/>
        <v>#NUM!</v>
      </c>
      <c r="CY194" s="59">
        <f ca="1">AVERAGE(OFFSET($CX$3,0,0,'Données projet'!$E$13+1,1))-AVERAGE(OFFSET($H$3,0,0,'Données projet'!$E$13+1,1))</f>
        <v>0</v>
      </c>
      <c r="CZ194" s="59">
        <f t="shared" si="150"/>
        <v>0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</v>
      </c>
      <c r="DG194" s="21">
        <f>EXP(-LN(2)/25)*DG193+(1-EXP(-LN(2)/25))/(LN(2)/25)*Calculateur!DB194*Calculateur!DD194*VLOOKUP('Données projet'!$B$13,Paramètres!$A$1:$I$89,3,0)*0.475*44/12</f>
        <v>0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0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>
        <f>DO194*VLOOKUP('Données projet'!$B$14,Paramètres!$A$1:$I$89,3,0)*VLOOKUP('Données projet'!$B$14,Paramètres!$A$1:$I$89,5,0)</f>
        <v>0</v>
      </c>
      <c r="DQ194" s="13" t="e">
        <f t="shared" si="176"/>
        <v>#NUM!</v>
      </c>
      <c r="DR194" s="20" t="e">
        <f t="shared" si="177"/>
        <v>#NUM!</v>
      </c>
      <c r="DS194" s="59" t="e">
        <f t="shared" si="125"/>
        <v>#NUM!</v>
      </c>
      <c r="DT194" s="59">
        <f ca="1">AVERAGE(OFFSET($DS$3,0,0,'Données projet'!$E$14+1,1))-AVERAGE(OFFSET($H$3,0,0,'Données projet'!$E$14+1,1))</f>
        <v>0</v>
      </c>
      <c r="DU194" s="59">
        <f t="shared" si="152"/>
        <v>0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0</v>
      </c>
      <c r="EB194" s="21">
        <f>EXP(-LN(2)/25)*EB193+(1-EXP(-LN(2)/25))/(LN(2)/25)*Calculateur!DW194*Calculateur!DY194*VLOOKUP('Données projet'!$B$14,Paramètres!$A$1:$I$89,3,0)*0.475*44/12</f>
        <v>0</v>
      </c>
      <c r="EC194" s="21">
        <f>EXP(-LN(2)/2)*EC193+(1-EXP(-LN(2)/2))/(LN(2)/2)*DW194*DZ194*VLOOKUP('Données projet'!$B$14,Paramètres!$A$1:$I$89,3,0)*0.475*44/12</f>
        <v>0</v>
      </c>
      <c r="ED194" s="22">
        <f t="shared" si="178"/>
        <v>0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>
        <f>EJ194*VLOOKUP('Données projet'!$B$15,Paramètres!$A$1:$I$89,3,0)*VLOOKUP('Données projet'!$B$15,Paramètres!$A$1:$I$89,5,0)</f>
        <v>0</v>
      </c>
      <c r="EL194" s="13" t="e">
        <f t="shared" si="179"/>
        <v>#NUM!</v>
      </c>
      <c r="EM194" s="20" t="e">
        <f t="shared" si="180"/>
        <v>#NUM!</v>
      </c>
      <c r="EN194" s="59" t="e">
        <f t="shared" si="128"/>
        <v>#NUM!</v>
      </c>
      <c r="EO194" s="59">
        <f ca="1">AVERAGE(OFFSET($EN$3,0,0,'Données projet'!$E$15+1,1))-AVERAGE(OFFSET($H$3,0,0,'Données projet'!$E$15+1,1))</f>
        <v>0</v>
      </c>
      <c r="EP194" s="59">
        <f t="shared" si="154"/>
        <v>0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>
        <f>EXP(-LN(2)/35)*EV193+(1-EXP(-LN(2)/35))/(LN(2)/35)*ER194*ES194*VLOOKUP('Données projet'!$B$15,Paramètres!$A$1:$I$89,3,0)*0.475*44/12</f>
        <v>0</v>
      </c>
      <c r="EW194" s="21">
        <f>EXP(-LN(2)/25)*EW193+(1-EXP(-LN(2)/25))/(LN(2)/25)*Calculateur!ER194*Calculateur!ET194*VLOOKUP('Données projet'!$B$15,Paramètres!$A$1:$I$89,3,0)*0.475*44/12</f>
        <v>0</v>
      </c>
      <c r="EX194" s="21">
        <f>EXP(-LN(2)/2)*EX193+(1-EXP(-LN(2)/2))/(LN(2)/2)*ER194*EU194*VLOOKUP('Données projet'!$B$15,Paramètres!$A$1:$I$89,3,0)*0.475*44/12</f>
        <v>0</v>
      </c>
      <c r="EY194" s="22">
        <f t="shared" si="181"/>
        <v>0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>
        <f>FE194*VLOOKUP('Données projet'!$B$16,Paramètres!$A$1:$I$89,3,0)*VLOOKUP('Données projet'!$B$16,Paramètres!$A$1:$I$89,5,0)</f>
        <v>0</v>
      </c>
      <c r="FG194" s="13" t="e">
        <f t="shared" si="182"/>
        <v>#NUM!</v>
      </c>
      <c r="FH194" s="20" t="e">
        <f t="shared" si="183"/>
        <v>#NUM!</v>
      </c>
      <c r="FI194" s="59" t="e">
        <f t="shared" si="131"/>
        <v>#NUM!</v>
      </c>
      <c r="FJ194" s="59">
        <f ca="1">AVERAGE(OFFSET($FI$3,0,0,'Données projet'!$E$16+1,1))-AVERAGE(OFFSET($H$3,0,0,'Données projet'!$E$16+1,1))</f>
        <v>0</v>
      </c>
      <c r="FK194" s="59">
        <f t="shared" si="156"/>
        <v>0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>
        <f>EXP(-LN(2)/35)*FQ193+(1-EXP(-LN(2)/35))/(LN(2)/35)*FM194*FN194*VLOOKUP('Données projet'!$B$16,Paramètres!$A$1:$I$89,3,0)*0.475*44/12</f>
        <v>0</v>
      </c>
      <c r="FR194" s="21">
        <f>EXP(-LN(2)/25)*FR193+(1-EXP(-LN(2)/25))/(LN(2)/25)*Calculateur!FM194*Calculateur!FO194*VLOOKUP('Données projet'!$B$16,Paramètres!$A$1:$I$89,3,0)*0.475*44/12</f>
        <v>0</v>
      </c>
      <c r="FS194" s="21">
        <f>EXP(-LN(2)/2)*FS193+(1-EXP(-LN(2)/2))/(LN(2)/2)*FM194*FP194*VLOOKUP('Données projet'!$B$16,Paramètres!$A$1:$I$89,3,0)*0.475*44/12</f>
        <v>0</v>
      </c>
      <c r="FT194" s="22">
        <f t="shared" si="184"/>
        <v>0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si="110"/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186.90544184210381</v>
      </c>
      <c r="T195" s="59">
        <f t="shared" si="142"/>
        <v>202.05988514450519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8.713773664683174</v>
      </c>
      <c r="AA195" s="21">
        <f>EXP(-LN(2)/25)*AA194+(1-EXP(-LN(2)/25))/(LN(2)/25)*Calculateur!V195*Calculateur!X195*VLOOKUP('Données projet'!$B$9,Paramètres!$A$1:$I$89,3,0)*0.475*44/12</f>
        <v>0.56235432033122157</v>
      </c>
      <c r="AB195" s="21">
        <f>EXP(-LN(2)/2)*AB194+(1-EXP(-LN(2)/2))/(LN(2)/2)*V195*Y195*VLOOKUP('Données projet'!$B$9,Paramètres!$A$1:$I$89,3,0)*0.475*44/12</f>
        <v>5.8308098434870115E-19</v>
      </c>
      <c r="AC195" s="22">
        <f t="shared" si="163"/>
        <v>9.2761279850143961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>
        <f>AI195*VLOOKUP('Données projet'!$B$10,Paramètres!$A$1:$I$89,3,0)*VLOOKUP('Données projet'!$B$10,Paramètres!$A$1:$I$89,5,0)</f>
        <v>0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186.90544184210381</v>
      </c>
      <c r="AO195" s="59">
        <f t="shared" si="144"/>
        <v>202.05988514450519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8.713773664683174</v>
      </c>
      <c r="AV195" s="21">
        <f>EXP(-LN(2)/25)*AV194+(1-EXP(-LN(2)/25))/(LN(2)/25)*Calculateur!AQ195*Calculateur!AS195*VLOOKUP('Données projet'!$B$10,Paramètres!$A$1:$I$89,3,0)*0.475*44/12</f>
        <v>0.56235432033122157</v>
      </c>
      <c r="AW195" s="21">
        <f>EXP(-LN(2)/2)*AW194+(1-EXP(-LN(2)/2))/(LN(2)/2)*AQ195*AT195*VLOOKUP('Données projet'!$B$10,Paramètres!$A$1:$I$89,3,0)*0.475*44/12</f>
        <v>5.8308098434870115E-19</v>
      </c>
      <c r="AX195" s="21">
        <f t="shared" si="166"/>
        <v>9.2761279850143961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-2.8421709430404007E-14</v>
      </c>
      <c r="BE195" s="13">
        <f>BD195*VLOOKUP('Données projet'!$B$11,Paramètres!$A$1:$I$89,3,0)*VLOOKUP('Données projet'!$B$11,Paramètres!$A$1:$I$89,5,0)</f>
        <v>-2.3055690689943732E-14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5.8584049049231908</v>
      </c>
      <c r="BJ195" s="59">
        <f t="shared" si="146"/>
        <v>42.266833200216638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1.3713542864968288E-22</v>
      </c>
      <c r="BS195" s="22">
        <f t="shared" si="169"/>
        <v>1.3713542864968288E-22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>
        <f>BY195*VLOOKUP('Données projet'!$B$12,Paramètres!$A$1:$I$89,3,0)*VLOOKUP('Données projet'!$B$12,Paramètres!$A$1:$I$89,5,0)</f>
        <v>0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0</v>
      </c>
      <c r="CE195" s="59">
        <f t="shared" si="148"/>
        <v>0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0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>
        <f>CT195*VLOOKUP('Données projet'!$B$13,Paramètres!$A$1:$I$89,3,0)*VLOOKUP('Données projet'!$B$13,Paramètres!$A$1:$I$89,5,0)</f>
        <v>0</v>
      </c>
      <c r="CV195" s="13" t="e">
        <f t="shared" si="173"/>
        <v>#NUM!</v>
      </c>
      <c r="CW195" s="20" t="e">
        <f t="shared" si="174"/>
        <v>#NUM!</v>
      </c>
      <c r="CX195" s="59" t="e">
        <f t="shared" si="122"/>
        <v>#NUM!</v>
      </c>
      <c r="CY195" s="59">
        <f ca="1">AVERAGE(OFFSET($CX$3,0,0,'Données projet'!$E$13+1,1))-AVERAGE(OFFSET($H$3,0,0,'Données projet'!$E$13+1,1))</f>
        <v>0</v>
      </c>
      <c r="CZ195" s="59">
        <f t="shared" si="150"/>
        <v>0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</v>
      </c>
      <c r="DG195" s="21">
        <f>EXP(-LN(2)/25)*DG194+(1-EXP(-LN(2)/25))/(LN(2)/25)*Calculateur!DB195*Calculateur!DD195*VLOOKUP('Données projet'!$B$13,Paramètres!$A$1:$I$89,3,0)*0.475*44/12</f>
        <v>0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0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>
        <f>DO195*VLOOKUP('Données projet'!$B$14,Paramètres!$A$1:$I$89,3,0)*VLOOKUP('Données projet'!$B$14,Paramètres!$A$1:$I$89,5,0)</f>
        <v>0</v>
      </c>
      <c r="DQ195" s="13" t="e">
        <f t="shared" si="176"/>
        <v>#NUM!</v>
      </c>
      <c r="DR195" s="20" t="e">
        <f t="shared" si="177"/>
        <v>#NUM!</v>
      </c>
      <c r="DS195" s="59" t="e">
        <f t="shared" si="125"/>
        <v>#NUM!</v>
      </c>
      <c r="DT195" s="59">
        <f ca="1">AVERAGE(OFFSET($DS$3,0,0,'Données projet'!$E$14+1,1))-AVERAGE(OFFSET($H$3,0,0,'Données projet'!$E$14+1,1))</f>
        <v>0</v>
      </c>
      <c r="DU195" s="59">
        <f t="shared" si="152"/>
        <v>0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0</v>
      </c>
      <c r="EB195" s="21">
        <f>EXP(-LN(2)/25)*EB194+(1-EXP(-LN(2)/25))/(LN(2)/25)*Calculateur!DW195*Calculateur!DY195*VLOOKUP('Données projet'!$B$14,Paramètres!$A$1:$I$89,3,0)*0.475*44/12</f>
        <v>0</v>
      </c>
      <c r="EC195" s="21">
        <f>EXP(-LN(2)/2)*EC194+(1-EXP(-LN(2)/2))/(LN(2)/2)*DW195*DZ195*VLOOKUP('Données projet'!$B$14,Paramètres!$A$1:$I$89,3,0)*0.475*44/12</f>
        <v>0</v>
      </c>
      <c r="ED195" s="22">
        <f t="shared" si="178"/>
        <v>0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>
        <f>EJ195*VLOOKUP('Données projet'!$B$15,Paramètres!$A$1:$I$89,3,0)*VLOOKUP('Données projet'!$B$15,Paramètres!$A$1:$I$89,5,0)</f>
        <v>0</v>
      </c>
      <c r="EL195" s="13" t="e">
        <f t="shared" si="179"/>
        <v>#NUM!</v>
      </c>
      <c r="EM195" s="20" t="e">
        <f t="shared" si="180"/>
        <v>#NUM!</v>
      </c>
      <c r="EN195" s="59" t="e">
        <f t="shared" si="128"/>
        <v>#NUM!</v>
      </c>
      <c r="EO195" s="59">
        <f ca="1">AVERAGE(OFFSET($EN$3,0,0,'Données projet'!$E$15+1,1))-AVERAGE(OFFSET($H$3,0,0,'Données projet'!$E$15+1,1))</f>
        <v>0</v>
      </c>
      <c r="EP195" s="59">
        <f t="shared" si="154"/>
        <v>0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>
        <f>EXP(-LN(2)/35)*EV194+(1-EXP(-LN(2)/35))/(LN(2)/35)*ER195*ES195*VLOOKUP('Données projet'!$B$15,Paramètres!$A$1:$I$89,3,0)*0.475*44/12</f>
        <v>0</v>
      </c>
      <c r="EW195" s="21">
        <f>EXP(-LN(2)/25)*EW194+(1-EXP(-LN(2)/25))/(LN(2)/25)*Calculateur!ER195*Calculateur!ET195*VLOOKUP('Données projet'!$B$15,Paramètres!$A$1:$I$89,3,0)*0.475*44/12</f>
        <v>0</v>
      </c>
      <c r="EX195" s="21">
        <f>EXP(-LN(2)/2)*EX194+(1-EXP(-LN(2)/2))/(LN(2)/2)*ER195*EU195*VLOOKUP('Données projet'!$B$15,Paramètres!$A$1:$I$89,3,0)*0.475*44/12</f>
        <v>0</v>
      </c>
      <c r="EY195" s="22">
        <f t="shared" si="181"/>
        <v>0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>
        <f>FE195*VLOOKUP('Données projet'!$B$16,Paramètres!$A$1:$I$89,3,0)*VLOOKUP('Données projet'!$B$16,Paramètres!$A$1:$I$89,5,0)</f>
        <v>0</v>
      </c>
      <c r="FG195" s="13" t="e">
        <f t="shared" si="182"/>
        <v>#NUM!</v>
      </c>
      <c r="FH195" s="20" t="e">
        <f t="shared" si="183"/>
        <v>#NUM!</v>
      </c>
      <c r="FI195" s="59" t="e">
        <f t="shared" si="131"/>
        <v>#NUM!</v>
      </c>
      <c r="FJ195" s="59">
        <f ca="1">AVERAGE(OFFSET($FI$3,0,0,'Données projet'!$E$16+1,1))-AVERAGE(OFFSET($H$3,0,0,'Données projet'!$E$16+1,1))</f>
        <v>0</v>
      </c>
      <c r="FK195" s="59">
        <f t="shared" si="156"/>
        <v>0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>
        <f>EXP(-LN(2)/35)*FQ194+(1-EXP(-LN(2)/35))/(LN(2)/35)*FM195*FN195*VLOOKUP('Données projet'!$B$16,Paramètres!$A$1:$I$89,3,0)*0.475*44/12</f>
        <v>0</v>
      </c>
      <c r="FR195" s="21">
        <f>EXP(-LN(2)/25)*FR194+(1-EXP(-LN(2)/25))/(LN(2)/25)*Calculateur!FM195*Calculateur!FO195*VLOOKUP('Données projet'!$B$16,Paramètres!$A$1:$I$89,3,0)*0.475*44/12</f>
        <v>0</v>
      </c>
      <c r="FS195" s="21">
        <f>EXP(-LN(2)/2)*FS194+(1-EXP(-LN(2)/2))/(LN(2)/2)*FM195*FP195*VLOOKUP('Données projet'!$B$16,Paramètres!$A$1:$I$89,3,0)*0.475*44/12</f>
        <v>0</v>
      </c>
      <c r="FT195" s="22">
        <f t="shared" si="184"/>
        <v>0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ref="H196:H203" si="192">(B196+E196+F196)*44/12+(C196+D196)*0.475*44/12</f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186.90544184210381</v>
      </c>
      <c r="T196" s="59">
        <f t="shared" si="142"/>
        <v>202.05988514450519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8.5429018779958721</v>
      </c>
      <c r="AA196" s="21">
        <f>EXP(-LN(2)/25)*AA195+(1-EXP(-LN(2)/25))/(LN(2)/25)*Calculateur!V196*Calculateur!X196*VLOOKUP('Données projet'!$B$9,Paramètres!$A$1:$I$89,3,0)*0.475*44/12</f>
        <v>0.5469767118688359</v>
      </c>
      <c r="AB196" s="21">
        <f>EXP(-LN(2)/2)*AB195+(1-EXP(-LN(2)/2))/(LN(2)/2)*V196*Y196*VLOOKUP('Données projet'!$B$9,Paramètres!$A$1:$I$89,3,0)*0.475*44/12</f>
        <v>4.1230051801389377E-19</v>
      </c>
      <c r="AC196" s="22">
        <f t="shared" si="163"/>
        <v>9.0898785898647088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>
        <f>AI196*VLOOKUP('Données projet'!$B$10,Paramètres!$A$1:$I$89,3,0)*VLOOKUP('Données projet'!$B$10,Paramètres!$A$1:$I$89,5,0)</f>
        <v>0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186.90544184210381</v>
      </c>
      <c r="AO196" s="59">
        <f t="shared" si="144"/>
        <v>202.05988514450519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8.5429018779958721</v>
      </c>
      <c r="AV196" s="21">
        <f>EXP(-LN(2)/25)*AV195+(1-EXP(-LN(2)/25))/(LN(2)/25)*Calculateur!AQ196*Calculateur!AS196*VLOOKUP('Données projet'!$B$10,Paramètres!$A$1:$I$89,3,0)*0.475*44/12</f>
        <v>0.5469767118688359</v>
      </c>
      <c r="AW196" s="21">
        <f>EXP(-LN(2)/2)*AW195+(1-EXP(-LN(2)/2))/(LN(2)/2)*AQ196*AT196*VLOOKUP('Données projet'!$B$10,Paramètres!$A$1:$I$89,3,0)*0.475*44/12</f>
        <v>4.1230051801389377E-19</v>
      </c>
      <c r="AX196" s="21">
        <f t="shared" si="166"/>
        <v>9.0898785898647088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-2.8421709430404007E-14</v>
      </c>
      <c r="BE196" s="13">
        <f>BD196*VLOOKUP('Données projet'!$B$11,Paramètres!$A$1:$I$89,3,0)*VLOOKUP('Données projet'!$B$11,Paramètres!$A$1:$I$89,5,0)</f>
        <v>-2.3055690689943732E-14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5.8584049049231908</v>
      </c>
      <c r="BJ196" s="59">
        <f t="shared" si="146"/>
        <v>42.266833200216638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9.6969391539114717E-23</v>
      </c>
      <c r="BS196" s="22">
        <f t="shared" si="169"/>
        <v>9.6969391539114717E-23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>
        <f>BY196*VLOOKUP('Données projet'!$B$12,Paramètres!$A$1:$I$89,3,0)*VLOOKUP('Données projet'!$B$12,Paramètres!$A$1:$I$89,5,0)</f>
        <v>0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0</v>
      </c>
      <c r="CE196" s="59">
        <f t="shared" si="148"/>
        <v>0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0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>
        <f>CT196*VLOOKUP('Données projet'!$B$13,Paramètres!$A$1:$I$89,3,0)*VLOOKUP('Données projet'!$B$13,Paramètres!$A$1:$I$89,5,0)</f>
        <v>0</v>
      </c>
      <c r="CV196" s="13" t="e">
        <f t="shared" si="173"/>
        <v>#NUM!</v>
      </c>
      <c r="CW196" s="20" t="e">
        <f t="shared" si="174"/>
        <v>#NUM!</v>
      </c>
      <c r="CX196" s="59" t="e">
        <f t="shared" ref="CX196:CX203" si="196">CW196+(CO196+CP196)*44/12</f>
        <v>#NUM!</v>
      </c>
      <c r="CY196" s="59">
        <f ca="1">AVERAGE(OFFSET($CX$3,0,0,'Données projet'!$E$13+1,1))-AVERAGE(OFFSET($H$3,0,0,'Données projet'!$E$13+1,1))</f>
        <v>0</v>
      </c>
      <c r="CZ196" s="59">
        <f t="shared" si="150"/>
        <v>0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</v>
      </c>
      <c r="DG196" s="21">
        <f>EXP(-LN(2)/25)*DG195+(1-EXP(-LN(2)/25))/(LN(2)/25)*Calculateur!DB196*Calculateur!DD196*VLOOKUP('Données projet'!$B$13,Paramètres!$A$1:$I$89,3,0)*0.475*44/12</f>
        <v>0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0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>
        <f>DO196*VLOOKUP('Données projet'!$B$14,Paramètres!$A$1:$I$89,3,0)*VLOOKUP('Données projet'!$B$14,Paramètres!$A$1:$I$89,5,0)</f>
        <v>0</v>
      </c>
      <c r="DQ196" s="13" t="e">
        <f t="shared" si="176"/>
        <v>#NUM!</v>
      </c>
      <c r="DR196" s="20" t="e">
        <f t="shared" si="177"/>
        <v>#NUM!</v>
      </c>
      <c r="DS196" s="59" t="e">
        <f t="shared" ref="DS196:DS203" si="197">DR196+(DJ196+DK196)*44/12</f>
        <v>#NUM!</v>
      </c>
      <c r="DT196" s="59">
        <f ca="1">AVERAGE(OFFSET($DS$3,0,0,'Données projet'!$E$14+1,1))-AVERAGE(OFFSET($H$3,0,0,'Données projet'!$E$14+1,1))</f>
        <v>0</v>
      </c>
      <c r="DU196" s="59">
        <f t="shared" si="152"/>
        <v>0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0</v>
      </c>
      <c r="EB196" s="21">
        <f>EXP(-LN(2)/25)*EB195+(1-EXP(-LN(2)/25))/(LN(2)/25)*Calculateur!DW196*Calculateur!DY196*VLOOKUP('Données projet'!$B$14,Paramètres!$A$1:$I$89,3,0)*0.475*44/12</f>
        <v>0</v>
      </c>
      <c r="EC196" s="21">
        <f>EXP(-LN(2)/2)*EC195+(1-EXP(-LN(2)/2))/(LN(2)/2)*DW196*DZ196*VLOOKUP('Données projet'!$B$14,Paramètres!$A$1:$I$89,3,0)*0.475*44/12</f>
        <v>0</v>
      </c>
      <c r="ED196" s="22">
        <f t="shared" si="178"/>
        <v>0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>
        <f>EJ196*VLOOKUP('Données projet'!$B$15,Paramètres!$A$1:$I$89,3,0)*VLOOKUP('Données projet'!$B$15,Paramètres!$A$1:$I$89,5,0)</f>
        <v>0</v>
      </c>
      <c r="EL196" s="13" t="e">
        <f t="shared" si="179"/>
        <v>#NUM!</v>
      </c>
      <c r="EM196" s="20" t="e">
        <f t="shared" si="180"/>
        <v>#NUM!</v>
      </c>
      <c r="EN196" s="59" t="e">
        <f t="shared" ref="EN196:EN203" si="198">EM196+(EE196+EF196)*44/12</f>
        <v>#NUM!</v>
      </c>
      <c r="EO196" s="59">
        <f ca="1">AVERAGE(OFFSET($EN$3,0,0,'Données projet'!$E$15+1,1))-AVERAGE(OFFSET($H$3,0,0,'Données projet'!$E$15+1,1))</f>
        <v>0</v>
      </c>
      <c r="EP196" s="59">
        <f t="shared" si="154"/>
        <v>0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>
        <f>EXP(-LN(2)/35)*EV195+(1-EXP(-LN(2)/35))/(LN(2)/35)*ER196*ES196*VLOOKUP('Données projet'!$B$15,Paramètres!$A$1:$I$89,3,0)*0.475*44/12</f>
        <v>0</v>
      </c>
      <c r="EW196" s="21">
        <f>EXP(-LN(2)/25)*EW195+(1-EXP(-LN(2)/25))/(LN(2)/25)*Calculateur!ER196*Calculateur!ET196*VLOOKUP('Données projet'!$B$15,Paramètres!$A$1:$I$89,3,0)*0.475*44/12</f>
        <v>0</v>
      </c>
      <c r="EX196" s="21">
        <f>EXP(-LN(2)/2)*EX195+(1-EXP(-LN(2)/2))/(LN(2)/2)*ER196*EU196*VLOOKUP('Données projet'!$B$15,Paramètres!$A$1:$I$89,3,0)*0.475*44/12</f>
        <v>0</v>
      </c>
      <c r="EY196" s="22">
        <f t="shared" si="181"/>
        <v>0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>
        <f>FE196*VLOOKUP('Données projet'!$B$16,Paramètres!$A$1:$I$89,3,0)*VLOOKUP('Données projet'!$B$16,Paramètres!$A$1:$I$89,5,0)</f>
        <v>0</v>
      </c>
      <c r="FG196" s="13" t="e">
        <f t="shared" si="182"/>
        <v>#NUM!</v>
      </c>
      <c r="FH196" s="20" t="e">
        <f t="shared" si="183"/>
        <v>#NUM!</v>
      </c>
      <c r="FI196" s="59" t="e">
        <f t="shared" ref="FI196:FI203" si="199">FH196+(EZ196+FA196)*44/12</f>
        <v>#NUM!</v>
      </c>
      <c r="FJ196" s="59">
        <f ca="1">AVERAGE(OFFSET($FI$3,0,0,'Données projet'!$E$16+1,1))-AVERAGE(OFFSET($H$3,0,0,'Données projet'!$E$16+1,1))</f>
        <v>0</v>
      </c>
      <c r="FK196" s="59">
        <f t="shared" si="156"/>
        <v>0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>
        <f>EXP(-LN(2)/35)*FQ195+(1-EXP(-LN(2)/35))/(LN(2)/35)*FM196*FN196*VLOOKUP('Données projet'!$B$16,Paramètres!$A$1:$I$89,3,0)*0.475*44/12</f>
        <v>0</v>
      </c>
      <c r="FR196" s="21">
        <f>EXP(-LN(2)/25)*FR195+(1-EXP(-LN(2)/25))/(LN(2)/25)*Calculateur!FM196*Calculateur!FO196*VLOOKUP('Données projet'!$B$16,Paramètres!$A$1:$I$89,3,0)*0.475*44/12</f>
        <v>0</v>
      </c>
      <c r="FS196" s="21">
        <f>EXP(-LN(2)/2)*FS195+(1-EXP(-LN(2)/2))/(LN(2)/2)*FM196*FP196*VLOOKUP('Données projet'!$B$16,Paramètres!$A$1:$I$89,3,0)*0.475*44/12</f>
        <v>0</v>
      </c>
      <c r="FT196" s="22">
        <f t="shared" si="184"/>
        <v>0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192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186.90544184210381</v>
      </c>
      <c r="T197" s="59">
        <f t="shared" ref="T197:T203" si="204">$T$3</f>
        <v>202.05988514450519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8.3753807828240099</v>
      </c>
      <c r="AA197" s="21">
        <f>EXP(-LN(2)/25)*AA196+(1-EXP(-LN(2)/25))/(LN(2)/25)*Calculateur!V197*Calculateur!X197*VLOOKUP('Données projet'!$B$9,Paramètres!$A$1:$I$89,3,0)*0.475*44/12</f>
        <v>0.5320196049185274</v>
      </c>
      <c r="AB197" s="21">
        <f>EXP(-LN(2)/2)*AB196+(1-EXP(-LN(2)/2))/(LN(2)/2)*V197*Y197*VLOOKUP('Données projet'!$B$9,Paramètres!$A$1:$I$89,3,0)*0.475*44/12</f>
        <v>2.9154049217435058E-19</v>
      </c>
      <c r="AC197" s="22">
        <f t="shared" si="163"/>
        <v>8.9074003877425376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>
        <f>AI197*VLOOKUP('Données projet'!$B$10,Paramètres!$A$1:$I$89,3,0)*VLOOKUP('Données projet'!$B$10,Paramètres!$A$1:$I$89,5,0)</f>
        <v>0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186.90544184210381</v>
      </c>
      <c r="AO197" s="59">
        <f t="shared" ref="AO197:AO203" si="205">$AO$3</f>
        <v>202.05988514450519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8.3753807828240099</v>
      </c>
      <c r="AV197" s="21">
        <f>EXP(-LN(2)/25)*AV196+(1-EXP(-LN(2)/25))/(LN(2)/25)*Calculateur!AQ197*Calculateur!AS197*VLOOKUP('Données projet'!$B$10,Paramètres!$A$1:$I$89,3,0)*0.475*44/12</f>
        <v>0.5320196049185274</v>
      </c>
      <c r="AW197" s="21">
        <f>EXP(-LN(2)/2)*AW196+(1-EXP(-LN(2)/2))/(LN(2)/2)*AQ197*AT197*VLOOKUP('Données projet'!$B$10,Paramètres!$A$1:$I$89,3,0)*0.475*44/12</f>
        <v>2.9154049217435058E-19</v>
      </c>
      <c r="AX197" s="21">
        <f t="shared" si="166"/>
        <v>8.9074003877425376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-2.8421709430404007E-14</v>
      </c>
      <c r="BE197" s="13">
        <f>BD197*VLOOKUP('Données projet'!$B$11,Paramètres!$A$1:$I$89,3,0)*VLOOKUP('Données projet'!$B$11,Paramètres!$A$1:$I$89,5,0)</f>
        <v>-2.3055690689943732E-14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5.8584049049231908</v>
      </c>
      <c r="BJ197" s="59">
        <f t="shared" ref="BJ197:BJ203" si="206">$BJ$3</f>
        <v>42.266833200216638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6.8567714324841442E-23</v>
      </c>
      <c r="BS197" s="22">
        <f t="shared" si="169"/>
        <v>6.8567714324841442E-23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>
        <f>BY197*VLOOKUP('Données projet'!$B$12,Paramètres!$A$1:$I$89,3,0)*VLOOKUP('Données projet'!$B$12,Paramètres!$A$1:$I$89,5,0)</f>
        <v>0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0</v>
      </c>
      <c r="CE197" s="59">
        <f t="shared" ref="CE197:CE203" si="207">$CE$3</f>
        <v>0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0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>
        <f>CT197*VLOOKUP('Données projet'!$B$13,Paramètres!$A$1:$I$89,3,0)*VLOOKUP('Données projet'!$B$13,Paramètres!$A$1:$I$89,5,0)</f>
        <v>0</v>
      </c>
      <c r="CV197" s="13" t="e">
        <f t="shared" si="173"/>
        <v>#NUM!</v>
      </c>
      <c r="CW197" s="20" t="e">
        <f t="shared" si="174"/>
        <v>#NUM!</v>
      </c>
      <c r="CX197" s="59" t="e">
        <f t="shared" si="196"/>
        <v>#NUM!</v>
      </c>
      <c r="CY197" s="59">
        <f ca="1">AVERAGE(OFFSET($CX$3,0,0,'Données projet'!$E$13+1,1))-AVERAGE(OFFSET($H$3,0,0,'Données projet'!$E$13+1,1))</f>
        <v>0</v>
      </c>
      <c r="CZ197" s="59">
        <f t="shared" ref="CZ197:CZ203" si="208">$CZ$3</f>
        <v>0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</v>
      </c>
      <c r="DG197" s="21">
        <f>EXP(-LN(2)/25)*DG196+(1-EXP(-LN(2)/25))/(LN(2)/25)*Calculateur!DB197*Calculateur!DD197*VLOOKUP('Données projet'!$B$13,Paramètres!$A$1:$I$89,3,0)*0.475*44/12</f>
        <v>0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0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>
        <f>DO197*VLOOKUP('Données projet'!$B$14,Paramètres!$A$1:$I$89,3,0)*VLOOKUP('Données projet'!$B$14,Paramètres!$A$1:$I$89,5,0)</f>
        <v>0</v>
      </c>
      <c r="DQ197" s="13" t="e">
        <f t="shared" si="176"/>
        <v>#NUM!</v>
      </c>
      <c r="DR197" s="20" t="e">
        <f t="shared" si="177"/>
        <v>#NUM!</v>
      </c>
      <c r="DS197" s="59" t="e">
        <f t="shared" si="197"/>
        <v>#NUM!</v>
      </c>
      <c r="DT197" s="59">
        <f ca="1">AVERAGE(OFFSET($DS$3,0,0,'Données projet'!$E$14+1,1))-AVERAGE(OFFSET($H$3,0,0,'Données projet'!$E$14+1,1))</f>
        <v>0</v>
      </c>
      <c r="DU197" s="59">
        <f t="shared" ref="DU197:DU203" si="209">$DU$3</f>
        <v>0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0</v>
      </c>
      <c r="EB197" s="21">
        <f>EXP(-LN(2)/25)*EB196+(1-EXP(-LN(2)/25))/(LN(2)/25)*Calculateur!DW197*Calculateur!DY197*VLOOKUP('Données projet'!$B$14,Paramètres!$A$1:$I$89,3,0)*0.475*44/12</f>
        <v>0</v>
      </c>
      <c r="EC197" s="21">
        <f>EXP(-LN(2)/2)*EC196+(1-EXP(-LN(2)/2))/(LN(2)/2)*DW197*DZ197*VLOOKUP('Données projet'!$B$14,Paramètres!$A$1:$I$89,3,0)*0.475*44/12</f>
        <v>0</v>
      </c>
      <c r="ED197" s="22">
        <f t="shared" si="178"/>
        <v>0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>
        <f>EJ197*VLOOKUP('Données projet'!$B$15,Paramètres!$A$1:$I$89,3,0)*VLOOKUP('Données projet'!$B$15,Paramètres!$A$1:$I$89,5,0)</f>
        <v>0</v>
      </c>
      <c r="EL197" s="13" t="e">
        <f t="shared" si="179"/>
        <v>#NUM!</v>
      </c>
      <c r="EM197" s="20" t="e">
        <f t="shared" si="180"/>
        <v>#NUM!</v>
      </c>
      <c r="EN197" s="59" t="e">
        <f t="shared" si="198"/>
        <v>#NUM!</v>
      </c>
      <c r="EO197" s="59">
        <f ca="1">AVERAGE(OFFSET($EN$3,0,0,'Données projet'!$E$15+1,1))-AVERAGE(OFFSET($H$3,0,0,'Données projet'!$E$15+1,1))</f>
        <v>0</v>
      </c>
      <c r="EP197" s="59">
        <f t="shared" ref="EP197:EP203" si="210">$EP$3</f>
        <v>0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>
        <f>EXP(-LN(2)/35)*EV196+(1-EXP(-LN(2)/35))/(LN(2)/35)*ER197*ES197*VLOOKUP('Données projet'!$B$15,Paramètres!$A$1:$I$89,3,0)*0.475*44/12</f>
        <v>0</v>
      </c>
      <c r="EW197" s="21">
        <f>EXP(-LN(2)/25)*EW196+(1-EXP(-LN(2)/25))/(LN(2)/25)*Calculateur!ER197*Calculateur!ET197*VLOOKUP('Données projet'!$B$15,Paramètres!$A$1:$I$89,3,0)*0.475*44/12</f>
        <v>0</v>
      </c>
      <c r="EX197" s="21">
        <f>EXP(-LN(2)/2)*EX196+(1-EXP(-LN(2)/2))/(LN(2)/2)*ER197*EU197*VLOOKUP('Données projet'!$B$15,Paramètres!$A$1:$I$89,3,0)*0.475*44/12</f>
        <v>0</v>
      </c>
      <c r="EY197" s="22">
        <f t="shared" si="181"/>
        <v>0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>
        <f>FE197*VLOOKUP('Données projet'!$B$16,Paramètres!$A$1:$I$89,3,0)*VLOOKUP('Données projet'!$B$16,Paramètres!$A$1:$I$89,5,0)</f>
        <v>0</v>
      </c>
      <c r="FG197" s="13" t="e">
        <f t="shared" si="182"/>
        <v>#NUM!</v>
      </c>
      <c r="FH197" s="20" t="e">
        <f t="shared" si="183"/>
        <v>#NUM!</v>
      </c>
      <c r="FI197" s="59" t="e">
        <f t="shared" si="199"/>
        <v>#NUM!</v>
      </c>
      <c r="FJ197" s="59">
        <f ca="1">AVERAGE(OFFSET($FI$3,0,0,'Données projet'!$E$16+1,1))-AVERAGE(OFFSET($H$3,0,0,'Données projet'!$E$16+1,1))</f>
        <v>0</v>
      </c>
      <c r="FK197" s="59">
        <f t="shared" ref="FK197:FK203" si="211">$FK$3</f>
        <v>0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>
        <f>EXP(-LN(2)/35)*FQ196+(1-EXP(-LN(2)/35))/(LN(2)/35)*FM197*FN197*VLOOKUP('Données projet'!$B$16,Paramètres!$A$1:$I$89,3,0)*0.475*44/12</f>
        <v>0</v>
      </c>
      <c r="FR197" s="21">
        <f>EXP(-LN(2)/25)*FR196+(1-EXP(-LN(2)/25))/(LN(2)/25)*Calculateur!FM197*Calculateur!FO197*VLOOKUP('Données projet'!$B$16,Paramètres!$A$1:$I$89,3,0)*0.475*44/12</f>
        <v>0</v>
      </c>
      <c r="FS197" s="21">
        <f>EXP(-LN(2)/2)*FS196+(1-EXP(-LN(2)/2))/(LN(2)/2)*FM197*FP197*VLOOKUP('Données projet'!$B$16,Paramètres!$A$1:$I$89,3,0)*0.475*44/12</f>
        <v>0</v>
      </c>
      <c r="FT197" s="22">
        <f t="shared" si="184"/>
        <v>0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192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186.90544184210381</v>
      </c>
      <c r="T198" s="59">
        <f t="shared" si="204"/>
        <v>202.05988514450519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8.2111446741506882</v>
      </c>
      <c r="AA198" s="21">
        <f>EXP(-LN(2)/25)*AA197+(1-EXP(-LN(2)/25))/(LN(2)/25)*Calculateur!V198*Calculateur!X198*VLOOKUP('Données projet'!$B$9,Paramètres!$A$1:$I$89,3,0)*0.475*44/12</f>
        <v>0.51747150084433524</v>
      </c>
      <c r="AB198" s="21">
        <f>EXP(-LN(2)/2)*AB197+(1-EXP(-LN(2)/2))/(LN(2)/2)*V198*Y198*VLOOKUP('Données projet'!$B$9,Paramètres!$A$1:$I$89,3,0)*0.475*44/12</f>
        <v>2.0615025900694689E-19</v>
      </c>
      <c r="AC198" s="22">
        <f t="shared" si="163"/>
        <v>8.7286161749950235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>
        <f>AI198*VLOOKUP('Données projet'!$B$10,Paramètres!$A$1:$I$89,3,0)*VLOOKUP('Données projet'!$B$10,Paramètres!$A$1:$I$89,5,0)</f>
        <v>0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186.90544184210381</v>
      </c>
      <c r="AO198" s="59">
        <f t="shared" si="205"/>
        <v>202.05988514450519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8.2111446741506882</v>
      </c>
      <c r="AV198" s="21">
        <f>EXP(-LN(2)/25)*AV197+(1-EXP(-LN(2)/25))/(LN(2)/25)*Calculateur!AQ198*Calculateur!AS198*VLOOKUP('Données projet'!$B$10,Paramètres!$A$1:$I$89,3,0)*0.475*44/12</f>
        <v>0.51747150084433524</v>
      </c>
      <c r="AW198" s="21">
        <f>EXP(-LN(2)/2)*AW197+(1-EXP(-LN(2)/2))/(LN(2)/2)*AQ198*AT198*VLOOKUP('Données projet'!$B$10,Paramètres!$A$1:$I$89,3,0)*0.475*44/12</f>
        <v>2.0615025900694689E-19</v>
      </c>
      <c r="AX198" s="21">
        <f t="shared" si="166"/>
        <v>8.7286161749950235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-2.8421709430404007E-14</v>
      </c>
      <c r="BE198" s="13">
        <f>BD198*VLOOKUP('Données projet'!$B$11,Paramètres!$A$1:$I$89,3,0)*VLOOKUP('Données projet'!$B$11,Paramètres!$A$1:$I$89,5,0)</f>
        <v>-2.3055690689943732E-14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5.8584049049231908</v>
      </c>
      <c r="BJ198" s="59">
        <f t="shared" si="206"/>
        <v>42.266833200216638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4.8484695769557359E-23</v>
      </c>
      <c r="BS198" s="22">
        <f t="shared" si="169"/>
        <v>4.8484695769557359E-23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>
        <f>BY198*VLOOKUP('Données projet'!$B$12,Paramètres!$A$1:$I$89,3,0)*VLOOKUP('Données projet'!$B$12,Paramètres!$A$1:$I$89,5,0)</f>
        <v>0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0</v>
      </c>
      <c r="CE198" s="59">
        <f t="shared" si="207"/>
        <v>0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0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>
        <f>CT198*VLOOKUP('Données projet'!$B$13,Paramètres!$A$1:$I$89,3,0)*VLOOKUP('Données projet'!$B$13,Paramètres!$A$1:$I$89,5,0)</f>
        <v>0</v>
      </c>
      <c r="CV198" s="13" t="e">
        <f t="shared" si="173"/>
        <v>#NUM!</v>
      </c>
      <c r="CW198" s="20" t="e">
        <f t="shared" si="174"/>
        <v>#NUM!</v>
      </c>
      <c r="CX198" s="59" t="e">
        <f t="shared" si="196"/>
        <v>#NUM!</v>
      </c>
      <c r="CY198" s="59">
        <f ca="1">AVERAGE(OFFSET($CX$3,0,0,'Données projet'!$E$13+1,1))-AVERAGE(OFFSET($H$3,0,0,'Données projet'!$E$13+1,1))</f>
        <v>0</v>
      </c>
      <c r="CZ198" s="59">
        <f t="shared" si="208"/>
        <v>0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</v>
      </c>
      <c r="DG198" s="21">
        <f>EXP(-LN(2)/25)*DG197+(1-EXP(-LN(2)/25))/(LN(2)/25)*Calculateur!DB198*Calculateur!DD198*VLOOKUP('Données projet'!$B$13,Paramètres!$A$1:$I$89,3,0)*0.475*44/12</f>
        <v>0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0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>
        <f>DO198*VLOOKUP('Données projet'!$B$14,Paramètres!$A$1:$I$89,3,0)*VLOOKUP('Données projet'!$B$14,Paramètres!$A$1:$I$89,5,0)</f>
        <v>0</v>
      </c>
      <c r="DQ198" s="13" t="e">
        <f t="shared" si="176"/>
        <v>#NUM!</v>
      </c>
      <c r="DR198" s="20" t="e">
        <f t="shared" si="177"/>
        <v>#NUM!</v>
      </c>
      <c r="DS198" s="59" t="e">
        <f t="shared" si="197"/>
        <v>#NUM!</v>
      </c>
      <c r="DT198" s="59">
        <f ca="1">AVERAGE(OFFSET($DS$3,0,0,'Données projet'!$E$14+1,1))-AVERAGE(OFFSET($H$3,0,0,'Données projet'!$E$14+1,1))</f>
        <v>0</v>
      </c>
      <c r="DU198" s="59">
        <f t="shared" si="209"/>
        <v>0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0</v>
      </c>
      <c r="EB198" s="21">
        <f>EXP(-LN(2)/25)*EB197+(1-EXP(-LN(2)/25))/(LN(2)/25)*Calculateur!DW198*Calculateur!DY198*VLOOKUP('Données projet'!$B$14,Paramètres!$A$1:$I$89,3,0)*0.475*44/12</f>
        <v>0</v>
      </c>
      <c r="EC198" s="21">
        <f>EXP(-LN(2)/2)*EC197+(1-EXP(-LN(2)/2))/(LN(2)/2)*DW198*DZ198*VLOOKUP('Données projet'!$B$14,Paramètres!$A$1:$I$89,3,0)*0.475*44/12</f>
        <v>0</v>
      </c>
      <c r="ED198" s="22">
        <f t="shared" si="178"/>
        <v>0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>
        <f>EJ198*VLOOKUP('Données projet'!$B$15,Paramètres!$A$1:$I$89,3,0)*VLOOKUP('Données projet'!$B$15,Paramètres!$A$1:$I$89,5,0)</f>
        <v>0</v>
      </c>
      <c r="EL198" s="13" t="e">
        <f t="shared" si="179"/>
        <v>#NUM!</v>
      </c>
      <c r="EM198" s="20" t="e">
        <f t="shared" si="180"/>
        <v>#NUM!</v>
      </c>
      <c r="EN198" s="59" t="e">
        <f t="shared" si="198"/>
        <v>#NUM!</v>
      </c>
      <c r="EO198" s="59">
        <f ca="1">AVERAGE(OFFSET($EN$3,0,0,'Données projet'!$E$15+1,1))-AVERAGE(OFFSET($H$3,0,0,'Données projet'!$E$15+1,1))</f>
        <v>0</v>
      </c>
      <c r="EP198" s="59">
        <f t="shared" si="210"/>
        <v>0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>
        <f>EXP(-LN(2)/35)*EV197+(1-EXP(-LN(2)/35))/(LN(2)/35)*ER198*ES198*VLOOKUP('Données projet'!$B$15,Paramètres!$A$1:$I$89,3,0)*0.475*44/12</f>
        <v>0</v>
      </c>
      <c r="EW198" s="21">
        <f>EXP(-LN(2)/25)*EW197+(1-EXP(-LN(2)/25))/(LN(2)/25)*Calculateur!ER198*Calculateur!ET198*VLOOKUP('Données projet'!$B$15,Paramètres!$A$1:$I$89,3,0)*0.475*44/12</f>
        <v>0</v>
      </c>
      <c r="EX198" s="21">
        <f>EXP(-LN(2)/2)*EX197+(1-EXP(-LN(2)/2))/(LN(2)/2)*ER198*EU198*VLOOKUP('Données projet'!$B$15,Paramètres!$A$1:$I$89,3,0)*0.475*44/12</f>
        <v>0</v>
      </c>
      <c r="EY198" s="22">
        <f t="shared" si="181"/>
        <v>0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>
        <f>FE198*VLOOKUP('Données projet'!$B$16,Paramètres!$A$1:$I$89,3,0)*VLOOKUP('Données projet'!$B$16,Paramètres!$A$1:$I$89,5,0)</f>
        <v>0</v>
      </c>
      <c r="FG198" s="13" t="e">
        <f t="shared" si="182"/>
        <v>#NUM!</v>
      </c>
      <c r="FH198" s="20" t="e">
        <f t="shared" si="183"/>
        <v>#NUM!</v>
      </c>
      <c r="FI198" s="59" t="e">
        <f t="shared" si="199"/>
        <v>#NUM!</v>
      </c>
      <c r="FJ198" s="59">
        <f ca="1">AVERAGE(OFFSET($FI$3,0,0,'Données projet'!$E$16+1,1))-AVERAGE(OFFSET($H$3,0,0,'Données projet'!$E$16+1,1))</f>
        <v>0</v>
      </c>
      <c r="FK198" s="59">
        <f t="shared" si="211"/>
        <v>0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>
        <f>EXP(-LN(2)/35)*FQ197+(1-EXP(-LN(2)/35))/(LN(2)/35)*FM198*FN198*VLOOKUP('Données projet'!$B$16,Paramètres!$A$1:$I$89,3,0)*0.475*44/12</f>
        <v>0</v>
      </c>
      <c r="FR198" s="21">
        <f>EXP(-LN(2)/25)*FR197+(1-EXP(-LN(2)/25))/(LN(2)/25)*Calculateur!FM198*Calculateur!FO198*VLOOKUP('Données projet'!$B$16,Paramètres!$A$1:$I$89,3,0)*0.475*44/12</f>
        <v>0</v>
      </c>
      <c r="FS198" s="21">
        <f>EXP(-LN(2)/2)*FS197+(1-EXP(-LN(2)/2))/(LN(2)/2)*FM198*FP198*VLOOKUP('Données projet'!$B$16,Paramètres!$A$1:$I$89,3,0)*0.475*44/12</f>
        <v>0</v>
      </c>
      <c r="FT198" s="22">
        <f t="shared" si="184"/>
        <v>0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192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186.90544184210381</v>
      </c>
      <c r="T199" s="59">
        <f t="shared" si="204"/>
        <v>202.05988514450519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8.0501291353943163</v>
      </c>
      <c r="AA199" s="21">
        <f>EXP(-LN(2)/25)*AA198+(1-EXP(-LN(2)/25))/(LN(2)/25)*Calculateur!V199*Calculateur!X199*VLOOKUP('Données projet'!$B$9,Paramètres!$A$1:$I$89,3,0)*0.475*44/12</f>
        <v>0.50332121544110331</v>
      </c>
      <c r="AB199" s="21">
        <f>EXP(-LN(2)/2)*AB198+(1-EXP(-LN(2)/2))/(LN(2)/2)*V199*Y199*VLOOKUP('Données projet'!$B$9,Paramètres!$A$1:$I$89,3,0)*0.475*44/12</f>
        <v>1.4577024608717529E-19</v>
      </c>
      <c r="AC199" s="22">
        <f t="shared" si="163"/>
        <v>8.5534503508354192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>
        <f>AI199*VLOOKUP('Données projet'!$B$10,Paramètres!$A$1:$I$89,3,0)*VLOOKUP('Données projet'!$B$10,Paramètres!$A$1:$I$89,5,0)</f>
        <v>0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186.90544184210381</v>
      </c>
      <c r="AO199" s="59">
        <f t="shared" si="205"/>
        <v>202.05988514450519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8.0501291353943163</v>
      </c>
      <c r="AV199" s="21">
        <f>EXP(-LN(2)/25)*AV198+(1-EXP(-LN(2)/25))/(LN(2)/25)*Calculateur!AQ199*Calculateur!AS199*VLOOKUP('Données projet'!$B$10,Paramètres!$A$1:$I$89,3,0)*0.475*44/12</f>
        <v>0.50332121544110331</v>
      </c>
      <c r="AW199" s="21">
        <f>EXP(-LN(2)/2)*AW198+(1-EXP(-LN(2)/2))/(LN(2)/2)*AQ199*AT199*VLOOKUP('Données projet'!$B$10,Paramètres!$A$1:$I$89,3,0)*0.475*44/12</f>
        <v>1.4577024608717529E-19</v>
      </c>
      <c r="AX199" s="21">
        <f t="shared" si="166"/>
        <v>8.5534503508354192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-2.8421709430404007E-14</v>
      </c>
      <c r="BE199" s="13">
        <f>BD199*VLOOKUP('Données projet'!$B$11,Paramètres!$A$1:$I$89,3,0)*VLOOKUP('Données projet'!$B$11,Paramètres!$A$1:$I$89,5,0)</f>
        <v>-2.3055690689943732E-14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5.8584049049231908</v>
      </c>
      <c r="BJ199" s="59">
        <f t="shared" si="206"/>
        <v>42.266833200216638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3.4283857162420721E-23</v>
      </c>
      <c r="BS199" s="22">
        <f t="shared" si="169"/>
        <v>3.4283857162420721E-23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>
        <f>BY199*VLOOKUP('Données projet'!$B$12,Paramètres!$A$1:$I$89,3,0)*VLOOKUP('Données projet'!$B$12,Paramètres!$A$1:$I$89,5,0)</f>
        <v>0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0</v>
      </c>
      <c r="CE199" s="59">
        <f t="shared" si="207"/>
        <v>0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0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>
        <f>CT199*VLOOKUP('Données projet'!$B$13,Paramètres!$A$1:$I$89,3,0)*VLOOKUP('Données projet'!$B$13,Paramètres!$A$1:$I$89,5,0)</f>
        <v>0</v>
      </c>
      <c r="CV199" s="13" t="e">
        <f t="shared" si="173"/>
        <v>#NUM!</v>
      </c>
      <c r="CW199" s="20" t="e">
        <f t="shared" si="174"/>
        <v>#NUM!</v>
      </c>
      <c r="CX199" s="59" t="e">
        <f t="shared" si="196"/>
        <v>#NUM!</v>
      </c>
      <c r="CY199" s="59">
        <f ca="1">AVERAGE(OFFSET($CX$3,0,0,'Données projet'!$E$13+1,1))-AVERAGE(OFFSET($H$3,0,0,'Données projet'!$E$13+1,1))</f>
        <v>0</v>
      </c>
      <c r="CZ199" s="59">
        <f t="shared" si="208"/>
        <v>0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</v>
      </c>
      <c r="DG199" s="21">
        <f>EXP(-LN(2)/25)*DG198+(1-EXP(-LN(2)/25))/(LN(2)/25)*Calculateur!DB199*Calculateur!DD199*VLOOKUP('Données projet'!$B$13,Paramètres!$A$1:$I$89,3,0)*0.475*44/12</f>
        <v>0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0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>
        <f>DO199*VLOOKUP('Données projet'!$B$14,Paramètres!$A$1:$I$89,3,0)*VLOOKUP('Données projet'!$B$14,Paramètres!$A$1:$I$89,5,0)</f>
        <v>0</v>
      </c>
      <c r="DQ199" s="13" t="e">
        <f t="shared" si="176"/>
        <v>#NUM!</v>
      </c>
      <c r="DR199" s="20" t="e">
        <f t="shared" si="177"/>
        <v>#NUM!</v>
      </c>
      <c r="DS199" s="59" t="e">
        <f t="shared" si="197"/>
        <v>#NUM!</v>
      </c>
      <c r="DT199" s="59">
        <f ca="1">AVERAGE(OFFSET($DS$3,0,0,'Données projet'!$E$14+1,1))-AVERAGE(OFFSET($H$3,0,0,'Données projet'!$E$14+1,1))</f>
        <v>0</v>
      </c>
      <c r="DU199" s="59">
        <f t="shared" si="209"/>
        <v>0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0</v>
      </c>
      <c r="EB199" s="21">
        <f>EXP(-LN(2)/25)*EB198+(1-EXP(-LN(2)/25))/(LN(2)/25)*Calculateur!DW199*Calculateur!DY199*VLOOKUP('Données projet'!$B$14,Paramètres!$A$1:$I$89,3,0)*0.475*44/12</f>
        <v>0</v>
      </c>
      <c r="EC199" s="21">
        <f>EXP(-LN(2)/2)*EC198+(1-EXP(-LN(2)/2))/(LN(2)/2)*DW199*DZ199*VLOOKUP('Données projet'!$B$14,Paramètres!$A$1:$I$89,3,0)*0.475*44/12</f>
        <v>0</v>
      </c>
      <c r="ED199" s="22">
        <f t="shared" si="178"/>
        <v>0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>
        <f>EJ199*VLOOKUP('Données projet'!$B$15,Paramètres!$A$1:$I$89,3,0)*VLOOKUP('Données projet'!$B$15,Paramètres!$A$1:$I$89,5,0)</f>
        <v>0</v>
      </c>
      <c r="EL199" s="13" t="e">
        <f t="shared" si="179"/>
        <v>#NUM!</v>
      </c>
      <c r="EM199" s="20" t="e">
        <f t="shared" si="180"/>
        <v>#NUM!</v>
      </c>
      <c r="EN199" s="59" t="e">
        <f t="shared" si="198"/>
        <v>#NUM!</v>
      </c>
      <c r="EO199" s="59">
        <f ca="1">AVERAGE(OFFSET($EN$3,0,0,'Données projet'!$E$15+1,1))-AVERAGE(OFFSET($H$3,0,0,'Données projet'!$E$15+1,1))</f>
        <v>0</v>
      </c>
      <c r="EP199" s="59">
        <f t="shared" si="210"/>
        <v>0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>
        <f>EXP(-LN(2)/35)*EV198+(1-EXP(-LN(2)/35))/(LN(2)/35)*ER199*ES199*VLOOKUP('Données projet'!$B$15,Paramètres!$A$1:$I$89,3,0)*0.475*44/12</f>
        <v>0</v>
      </c>
      <c r="EW199" s="21">
        <f>EXP(-LN(2)/25)*EW198+(1-EXP(-LN(2)/25))/(LN(2)/25)*Calculateur!ER199*Calculateur!ET199*VLOOKUP('Données projet'!$B$15,Paramètres!$A$1:$I$89,3,0)*0.475*44/12</f>
        <v>0</v>
      </c>
      <c r="EX199" s="21">
        <f>EXP(-LN(2)/2)*EX198+(1-EXP(-LN(2)/2))/(LN(2)/2)*ER199*EU199*VLOOKUP('Données projet'!$B$15,Paramètres!$A$1:$I$89,3,0)*0.475*44/12</f>
        <v>0</v>
      </c>
      <c r="EY199" s="22">
        <f t="shared" si="181"/>
        <v>0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>
        <f>FE199*VLOOKUP('Données projet'!$B$16,Paramètres!$A$1:$I$89,3,0)*VLOOKUP('Données projet'!$B$16,Paramètres!$A$1:$I$89,5,0)</f>
        <v>0</v>
      </c>
      <c r="FG199" s="13" t="e">
        <f t="shared" si="182"/>
        <v>#NUM!</v>
      </c>
      <c r="FH199" s="20" t="e">
        <f t="shared" si="183"/>
        <v>#NUM!</v>
      </c>
      <c r="FI199" s="59" t="e">
        <f t="shared" si="199"/>
        <v>#NUM!</v>
      </c>
      <c r="FJ199" s="59">
        <f ca="1">AVERAGE(OFFSET($FI$3,0,0,'Données projet'!$E$16+1,1))-AVERAGE(OFFSET($H$3,0,0,'Données projet'!$E$16+1,1))</f>
        <v>0</v>
      </c>
      <c r="FK199" s="59">
        <f t="shared" si="211"/>
        <v>0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>
        <f>EXP(-LN(2)/35)*FQ198+(1-EXP(-LN(2)/35))/(LN(2)/35)*FM199*FN199*VLOOKUP('Données projet'!$B$16,Paramètres!$A$1:$I$89,3,0)*0.475*44/12</f>
        <v>0</v>
      </c>
      <c r="FR199" s="21">
        <f>EXP(-LN(2)/25)*FR198+(1-EXP(-LN(2)/25))/(LN(2)/25)*Calculateur!FM199*Calculateur!FO199*VLOOKUP('Données projet'!$B$16,Paramètres!$A$1:$I$89,3,0)*0.475*44/12</f>
        <v>0</v>
      </c>
      <c r="FS199" s="21">
        <f>EXP(-LN(2)/2)*FS198+(1-EXP(-LN(2)/2))/(LN(2)/2)*FM199*FP199*VLOOKUP('Données projet'!$B$16,Paramètres!$A$1:$I$89,3,0)*0.475*44/12</f>
        <v>0</v>
      </c>
      <c r="FT199" s="22">
        <f t="shared" si="184"/>
        <v>0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192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186.90544184210381</v>
      </c>
      <c r="T200" s="59">
        <f t="shared" si="204"/>
        <v>202.05988514450519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7.8922710131431746</v>
      </c>
      <c r="AA200" s="21">
        <f>EXP(-LN(2)/25)*AA199+(1-EXP(-LN(2)/25))/(LN(2)/25)*Calculateur!V200*Calculateur!X200*VLOOKUP('Données projet'!$B$9,Paramètres!$A$1:$I$89,3,0)*0.475*44/12</f>
        <v>0.48955787033635395</v>
      </c>
      <c r="AB200" s="21">
        <f>EXP(-LN(2)/2)*AB199+(1-EXP(-LN(2)/2))/(LN(2)/2)*V200*Y200*VLOOKUP('Données projet'!$B$9,Paramètres!$A$1:$I$89,3,0)*0.475*44/12</f>
        <v>1.0307512950347344E-19</v>
      </c>
      <c r="AC200" s="22">
        <f t="shared" si="163"/>
        <v>8.3818288834795283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>
        <f>AI200*VLOOKUP('Données projet'!$B$10,Paramètres!$A$1:$I$89,3,0)*VLOOKUP('Données projet'!$B$10,Paramètres!$A$1:$I$89,5,0)</f>
        <v>0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186.90544184210381</v>
      </c>
      <c r="AO200" s="59">
        <f t="shared" si="205"/>
        <v>202.05988514450519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7.8922710131431746</v>
      </c>
      <c r="AV200" s="21">
        <f>EXP(-LN(2)/25)*AV199+(1-EXP(-LN(2)/25))/(LN(2)/25)*Calculateur!AQ200*Calculateur!AS200*VLOOKUP('Données projet'!$B$10,Paramètres!$A$1:$I$89,3,0)*0.475*44/12</f>
        <v>0.48955787033635395</v>
      </c>
      <c r="AW200" s="21">
        <f>EXP(-LN(2)/2)*AW199+(1-EXP(-LN(2)/2))/(LN(2)/2)*AQ200*AT200*VLOOKUP('Données projet'!$B$10,Paramètres!$A$1:$I$89,3,0)*0.475*44/12</f>
        <v>1.0307512950347344E-19</v>
      </c>
      <c r="AX200" s="21">
        <f t="shared" si="166"/>
        <v>8.3818288834795283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-2.8421709430404007E-14</v>
      </c>
      <c r="BE200" s="13">
        <f>BD200*VLOOKUP('Données projet'!$B$11,Paramètres!$A$1:$I$89,3,0)*VLOOKUP('Données projet'!$B$11,Paramètres!$A$1:$I$89,5,0)</f>
        <v>-2.3055690689943732E-14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5.8584049049231908</v>
      </c>
      <c r="BJ200" s="59">
        <f t="shared" si="206"/>
        <v>42.266833200216638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2.4242347884778679E-23</v>
      </c>
      <c r="BS200" s="22">
        <f t="shared" si="169"/>
        <v>2.4242347884778679E-23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>
        <f>BY200*VLOOKUP('Données projet'!$B$12,Paramètres!$A$1:$I$89,3,0)*VLOOKUP('Données projet'!$B$12,Paramètres!$A$1:$I$89,5,0)</f>
        <v>0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0</v>
      </c>
      <c r="CE200" s="59">
        <f t="shared" si="207"/>
        <v>0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0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>
        <f>CT200*VLOOKUP('Données projet'!$B$13,Paramètres!$A$1:$I$89,3,0)*VLOOKUP('Données projet'!$B$13,Paramètres!$A$1:$I$89,5,0)</f>
        <v>0</v>
      </c>
      <c r="CV200" s="13" t="e">
        <f t="shared" si="173"/>
        <v>#NUM!</v>
      </c>
      <c r="CW200" s="20" t="e">
        <f t="shared" si="174"/>
        <v>#NUM!</v>
      </c>
      <c r="CX200" s="59" t="e">
        <f t="shared" si="196"/>
        <v>#NUM!</v>
      </c>
      <c r="CY200" s="59">
        <f ca="1">AVERAGE(OFFSET($CX$3,0,0,'Données projet'!$E$13+1,1))-AVERAGE(OFFSET($H$3,0,0,'Données projet'!$E$13+1,1))</f>
        <v>0</v>
      </c>
      <c r="CZ200" s="59">
        <f t="shared" si="208"/>
        <v>0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</v>
      </c>
      <c r="DG200" s="21">
        <f>EXP(-LN(2)/25)*DG199+(1-EXP(-LN(2)/25))/(LN(2)/25)*Calculateur!DB200*Calculateur!DD200*VLOOKUP('Données projet'!$B$13,Paramètres!$A$1:$I$89,3,0)*0.475*44/12</f>
        <v>0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0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>
        <f>DO200*VLOOKUP('Données projet'!$B$14,Paramètres!$A$1:$I$89,3,0)*VLOOKUP('Données projet'!$B$14,Paramètres!$A$1:$I$89,5,0)</f>
        <v>0</v>
      </c>
      <c r="DQ200" s="13" t="e">
        <f t="shared" si="176"/>
        <v>#NUM!</v>
      </c>
      <c r="DR200" s="20" t="e">
        <f t="shared" si="177"/>
        <v>#NUM!</v>
      </c>
      <c r="DS200" s="59" t="e">
        <f t="shared" si="197"/>
        <v>#NUM!</v>
      </c>
      <c r="DT200" s="59">
        <f ca="1">AVERAGE(OFFSET($DS$3,0,0,'Données projet'!$E$14+1,1))-AVERAGE(OFFSET($H$3,0,0,'Données projet'!$E$14+1,1))</f>
        <v>0</v>
      </c>
      <c r="DU200" s="59">
        <f t="shared" si="209"/>
        <v>0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0</v>
      </c>
      <c r="EB200" s="21">
        <f>EXP(-LN(2)/25)*EB199+(1-EXP(-LN(2)/25))/(LN(2)/25)*Calculateur!DW200*Calculateur!DY200*VLOOKUP('Données projet'!$B$14,Paramètres!$A$1:$I$89,3,0)*0.475*44/12</f>
        <v>0</v>
      </c>
      <c r="EC200" s="21">
        <f>EXP(-LN(2)/2)*EC199+(1-EXP(-LN(2)/2))/(LN(2)/2)*DW200*DZ200*VLOOKUP('Données projet'!$B$14,Paramètres!$A$1:$I$89,3,0)*0.475*44/12</f>
        <v>0</v>
      </c>
      <c r="ED200" s="22">
        <f t="shared" si="178"/>
        <v>0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>
        <f>EJ200*VLOOKUP('Données projet'!$B$15,Paramètres!$A$1:$I$89,3,0)*VLOOKUP('Données projet'!$B$15,Paramètres!$A$1:$I$89,5,0)</f>
        <v>0</v>
      </c>
      <c r="EL200" s="13" t="e">
        <f t="shared" si="179"/>
        <v>#NUM!</v>
      </c>
      <c r="EM200" s="20" t="e">
        <f t="shared" si="180"/>
        <v>#NUM!</v>
      </c>
      <c r="EN200" s="59" t="e">
        <f t="shared" si="198"/>
        <v>#NUM!</v>
      </c>
      <c r="EO200" s="59">
        <f ca="1">AVERAGE(OFFSET($EN$3,0,0,'Données projet'!$E$15+1,1))-AVERAGE(OFFSET($H$3,0,0,'Données projet'!$E$15+1,1))</f>
        <v>0</v>
      </c>
      <c r="EP200" s="59">
        <f t="shared" si="210"/>
        <v>0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>
        <f>EXP(-LN(2)/35)*EV199+(1-EXP(-LN(2)/35))/(LN(2)/35)*ER200*ES200*VLOOKUP('Données projet'!$B$15,Paramètres!$A$1:$I$89,3,0)*0.475*44/12</f>
        <v>0</v>
      </c>
      <c r="EW200" s="21">
        <f>EXP(-LN(2)/25)*EW199+(1-EXP(-LN(2)/25))/(LN(2)/25)*Calculateur!ER200*Calculateur!ET200*VLOOKUP('Données projet'!$B$15,Paramètres!$A$1:$I$89,3,0)*0.475*44/12</f>
        <v>0</v>
      </c>
      <c r="EX200" s="21">
        <f>EXP(-LN(2)/2)*EX199+(1-EXP(-LN(2)/2))/(LN(2)/2)*ER200*EU200*VLOOKUP('Données projet'!$B$15,Paramètres!$A$1:$I$89,3,0)*0.475*44/12</f>
        <v>0</v>
      </c>
      <c r="EY200" s="22">
        <f t="shared" si="181"/>
        <v>0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>
        <f>FE200*VLOOKUP('Données projet'!$B$16,Paramètres!$A$1:$I$89,3,0)*VLOOKUP('Données projet'!$B$16,Paramètres!$A$1:$I$89,5,0)</f>
        <v>0</v>
      </c>
      <c r="FG200" s="13" t="e">
        <f t="shared" si="182"/>
        <v>#NUM!</v>
      </c>
      <c r="FH200" s="20" t="e">
        <f t="shared" si="183"/>
        <v>#NUM!</v>
      </c>
      <c r="FI200" s="59" t="e">
        <f t="shared" si="199"/>
        <v>#NUM!</v>
      </c>
      <c r="FJ200" s="59">
        <f ca="1">AVERAGE(OFFSET($FI$3,0,0,'Données projet'!$E$16+1,1))-AVERAGE(OFFSET($H$3,0,0,'Données projet'!$E$16+1,1))</f>
        <v>0</v>
      </c>
      <c r="FK200" s="59">
        <f t="shared" si="211"/>
        <v>0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>
        <f>EXP(-LN(2)/35)*FQ199+(1-EXP(-LN(2)/35))/(LN(2)/35)*FM200*FN200*VLOOKUP('Données projet'!$B$16,Paramètres!$A$1:$I$89,3,0)*0.475*44/12</f>
        <v>0</v>
      </c>
      <c r="FR200" s="21">
        <f>EXP(-LN(2)/25)*FR199+(1-EXP(-LN(2)/25))/(LN(2)/25)*Calculateur!FM200*Calculateur!FO200*VLOOKUP('Données projet'!$B$16,Paramètres!$A$1:$I$89,3,0)*0.475*44/12</f>
        <v>0</v>
      </c>
      <c r="FS200" s="21">
        <f>EXP(-LN(2)/2)*FS199+(1-EXP(-LN(2)/2))/(LN(2)/2)*FM200*FP200*VLOOKUP('Données projet'!$B$16,Paramètres!$A$1:$I$89,3,0)*0.475*44/12</f>
        <v>0</v>
      </c>
      <c r="FT200" s="22">
        <f t="shared" si="184"/>
        <v>0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192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186.90544184210381</v>
      </c>
      <c r="T201" s="59">
        <f t="shared" si="204"/>
        <v>202.05988514450519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7.7375083923854309</v>
      </c>
      <c r="AA201" s="21">
        <f>EXP(-LN(2)/25)*AA200+(1-EXP(-LN(2)/25))/(LN(2)/25)*Calculateur!V201*Calculateur!X201*VLOOKUP('Données projet'!$B$9,Paramètres!$A$1:$I$89,3,0)*0.475*44/12</f>
        <v>0.47617088462727686</v>
      </c>
      <c r="AB201" s="21">
        <f>EXP(-LN(2)/2)*AB200+(1-EXP(-LN(2)/2))/(LN(2)/2)*V201*Y201*VLOOKUP('Données projet'!$B$9,Paramètres!$A$1:$I$89,3,0)*0.475*44/12</f>
        <v>7.2885123043587644E-20</v>
      </c>
      <c r="AC201" s="22">
        <f t="shared" si="163"/>
        <v>8.2136792770127069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>
        <f>AI201*VLOOKUP('Données projet'!$B$10,Paramètres!$A$1:$I$89,3,0)*VLOOKUP('Données projet'!$B$10,Paramètres!$A$1:$I$89,5,0)</f>
        <v>0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186.90544184210381</v>
      </c>
      <c r="AO201" s="59">
        <f t="shared" si="205"/>
        <v>202.05988514450519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7.7375083923854309</v>
      </c>
      <c r="AV201" s="21">
        <f>EXP(-LN(2)/25)*AV200+(1-EXP(-LN(2)/25))/(LN(2)/25)*Calculateur!AQ201*Calculateur!AS201*VLOOKUP('Données projet'!$B$10,Paramètres!$A$1:$I$89,3,0)*0.475*44/12</f>
        <v>0.47617088462727686</v>
      </c>
      <c r="AW201" s="21">
        <f>EXP(-LN(2)/2)*AW200+(1-EXP(-LN(2)/2))/(LN(2)/2)*AQ201*AT201*VLOOKUP('Données projet'!$B$10,Paramètres!$A$1:$I$89,3,0)*0.475*44/12</f>
        <v>7.2885123043587644E-20</v>
      </c>
      <c r="AX201" s="21">
        <f t="shared" si="166"/>
        <v>8.2136792770127069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-2.8421709430404007E-14</v>
      </c>
      <c r="BE201" s="13">
        <f>BD201*VLOOKUP('Données projet'!$B$11,Paramètres!$A$1:$I$89,3,0)*VLOOKUP('Données projet'!$B$11,Paramètres!$A$1:$I$89,5,0)</f>
        <v>-2.3055690689943732E-14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5.8584049049231908</v>
      </c>
      <c r="BJ201" s="59">
        <f t="shared" si="206"/>
        <v>42.266833200216638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1.7141928581210361E-23</v>
      </c>
      <c r="BS201" s="22">
        <f t="shared" si="169"/>
        <v>1.7141928581210361E-23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>
        <f>BY201*VLOOKUP('Données projet'!$B$12,Paramètres!$A$1:$I$89,3,0)*VLOOKUP('Données projet'!$B$12,Paramètres!$A$1:$I$89,5,0)</f>
        <v>0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0</v>
      </c>
      <c r="CE201" s="59">
        <f t="shared" si="207"/>
        <v>0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0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>
        <f>CT201*VLOOKUP('Données projet'!$B$13,Paramètres!$A$1:$I$89,3,0)*VLOOKUP('Données projet'!$B$13,Paramètres!$A$1:$I$89,5,0)</f>
        <v>0</v>
      </c>
      <c r="CV201" s="13" t="e">
        <f t="shared" si="173"/>
        <v>#NUM!</v>
      </c>
      <c r="CW201" s="20" t="e">
        <f t="shared" si="174"/>
        <v>#NUM!</v>
      </c>
      <c r="CX201" s="59" t="e">
        <f t="shared" si="196"/>
        <v>#NUM!</v>
      </c>
      <c r="CY201" s="59">
        <f ca="1">AVERAGE(OFFSET($CX$3,0,0,'Données projet'!$E$13+1,1))-AVERAGE(OFFSET($H$3,0,0,'Données projet'!$E$13+1,1))</f>
        <v>0</v>
      </c>
      <c r="CZ201" s="59">
        <f t="shared" si="208"/>
        <v>0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</v>
      </c>
      <c r="DG201" s="21">
        <f>EXP(-LN(2)/25)*DG200+(1-EXP(-LN(2)/25))/(LN(2)/25)*Calculateur!DB201*Calculateur!DD201*VLOOKUP('Données projet'!$B$13,Paramètres!$A$1:$I$89,3,0)*0.475*44/12</f>
        <v>0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0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>
        <f>DO201*VLOOKUP('Données projet'!$B$14,Paramètres!$A$1:$I$89,3,0)*VLOOKUP('Données projet'!$B$14,Paramètres!$A$1:$I$89,5,0)</f>
        <v>0</v>
      </c>
      <c r="DQ201" s="13" t="e">
        <f t="shared" si="176"/>
        <v>#NUM!</v>
      </c>
      <c r="DR201" s="20" t="e">
        <f t="shared" si="177"/>
        <v>#NUM!</v>
      </c>
      <c r="DS201" s="59" t="e">
        <f t="shared" si="197"/>
        <v>#NUM!</v>
      </c>
      <c r="DT201" s="59">
        <f ca="1">AVERAGE(OFFSET($DS$3,0,0,'Données projet'!$E$14+1,1))-AVERAGE(OFFSET($H$3,0,0,'Données projet'!$E$14+1,1))</f>
        <v>0</v>
      </c>
      <c r="DU201" s="59">
        <f t="shared" si="209"/>
        <v>0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0</v>
      </c>
      <c r="EB201" s="21">
        <f>EXP(-LN(2)/25)*EB200+(1-EXP(-LN(2)/25))/(LN(2)/25)*Calculateur!DW201*Calculateur!DY201*VLOOKUP('Données projet'!$B$14,Paramètres!$A$1:$I$89,3,0)*0.475*44/12</f>
        <v>0</v>
      </c>
      <c r="EC201" s="21">
        <f>EXP(-LN(2)/2)*EC200+(1-EXP(-LN(2)/2))/(LN(2)/2)*DW201*DZ201*VLOOKUP('Données projet'!$B$14,Paramètres!$A$1:$I$89,3,0)*0.475*44/12</f>
        <v>0</v>
      </c>
      <c r="ED201" s="22">
        <f t="shared" si="178"/>
        <v>0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>
        <f>EJ201*VLOOKUP('Données projet'!$B$15,Paramètres!$A$1:$I$89,3,0)*VLOOKUP('Données projet'!$B$15,Paramètres!$A$1:$I$89,5,0)</f>
        <v>0</v>
      </c>
      <c r="EL201" s="13" t="e">
        <f t="shared" si="179"/>
        <v>#NUM!</v>
      </c>
      <c r="EM201" s="20" t="e">
        <f t="shared" si="180"/>
        <v>#NUM!</v>
      </c>
      <c r="EN201" s="59" t="e">
        <f t="shared" si="198"/>
        <v>#NUM!</v>
      </c>
      <c r="EO201" s="59">
        <f ca="1">AVERAGE(OFFSET($EN$3,0,0,'Données projet'!$E$15+1,1))-AVERAGE(OFFSET($H$3,0,0,'Données projet'!$E$15+1,1))</f>
        <v>0</v>
      </c>
      <c r="EP201" s="59">
        <f t="shared" si="210"/>
        <v>0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>
        <f>EXP(-LN(2)/35)*EV200+(1-EXP(-LN(2)/35))/(LN(2)/35)*ER201*ES201*VLOOKUP('Données projet'!$B$15,Paramètres!$A$1:$I$89,3,0)*0.475*44/12</f>
        <v>0</v>
      </c>
      <c r="EW201" s="21">
        <f>EXP(-LN(2)/25)*EW200+(1-EXP(-LN(2)/25))/(LN(2)/25)*Calculateur!ER201*Calculateur!ET201*VLOOKUP('Données projet'!$B$15,Paramètres!$A$1:$I$89,3,0)*0.475*44/12</f>
        <v>0</v>
      </c>
      <c r="EX201" s="21">
        <f>EXP(-LN(2)/2)*EX200+(1-EXP(-LN(2)/2))/(LN(2)/2)*ER201*EU201*VLOOKUP('Données projet'!$B$15,Paramètres!$A$1:$I$89,3,0)*0.475*44/12</f>
        <v>0</v>
      </c>
      <c r="EY201" s="22">
        <f t="shared" si="181"/>
        <v>0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>
        <f>FE201*VLOOKUP('Données projet'!$B$16,Paramètres!$A$1:$I$89,3,0)*VLOOKUP('Données projet'!$B$16,Paramètres!$A$1:$I$89,5,0)</f>
        <v>0</v>
      </c>
      <c r="FG201" s="13" t="e">
        <f t="shared" si="182"/>
        <v>#NUM!</v>
      </c>
      <c r="FH201" s="20" t="e">
        <f t="shared" si="183"/>
        <v>#NUM!</v>
      </c>
      <c r="FI201" s="59" t="e">
        <f t="shared" si="199"/>
        <v>#NUM!</v>
      </c>
      <c r="FJ201" s="59">
        <f ca="1">AVERAGE(OFFSET($FI$3,0,0,'Données projet'!$E$16+1,1))-AVERAGE(OFFSET($H$3,0,0,'Données projet'!$E$16+1,1))</f>
        <v>0</v>
      </c>
      <c r="FK201" s="59">
        <f t="shared" si="211"/>
        <v>0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>
        <f>EXP(-LN(2)/35)*FQ200+(1-EXP(-LN(2)/35))/(LN(2)/35)*FM201*FN201*VLOOKUP('Données projet'!$B$16,Paramètres!$A$1:$I$89,3,0)*0.475*44/12</f>
        <v>0</v>
      </c>
      <c r="FR201" s="21">
        <f>EXP(-LN(2)/25)*FR200+(1-EXP(-LN(2)/25))/(LN(2)/25)*Calculateur!FM201*Calculateur!FO201*VLOOKUP('Données projet'!$B$16,Paramètres!$A$1:$I$89,3,0)*0.475*44/12</f>
        <v>0</v>
      </c>
      <c r="FS201" s="21">
        <f>EXP(-LN(2)/2)*FS200+(1-EXP(-LN(2)/2))/(LN(2)/2)*FM201*FP201*VLOOKUP('Données projet'!$B$16,Paramètres!$A$1:$I$89,3,0)*0.475*44/12</f>
        <v>0</v>
      </c>
      <c r="FT201" s="22">
        <f t="shared" si="184"/>
        <v>0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192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186.90544184210381</v>
      </c>
      <c r="T202" s="59">
        <f t="shared" si="204"/>
        <v>202.05988514450519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7.5857805722248681</v>
      </c>
      <c r="AA202" s="21">
        <f>EXP(-LN(2)/25)*AA201+(1-EXP(-LN(2)/25))/(LN(2)/25)*Calculateur!V202*Calculateur!X202*VLOOKUP('Données projet'!$B$9,Paramètres!$A$1:$I$89,3,0)*0.475*44/12</f>
        <v>0.46314996674640546</v>
      </c>
      <c r="AB202" s="21">
        <f>EXP(-LN(2)/2)*AB201+(1-EXP(-LN(2)/2))/(LN(2)/2)*V202*Y202*VLOOKUP('Données projet'!$B$9,Paramètres!$A$1:$I$89,3,0)*0.475*44/12</f>
        <v>5.1537564751736722E-20</v>
      </c>
      <c r="AC202" s="22">
        <f t="shared" si="163"/>
        <v>8.0489305389712733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>
        <f>AI202*VLOOKUP('Données projet'!$B$10,Paramètres!$A$1:$I$89,3,0)*VLOOKUP('Données projet'!$B$10,Paramètres!$A$1:$I$89,5,0)</f>
        <v>0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186.90544184210381</v>
      </c>
      <c r="AO202" s="59">
        <f t="shared" si="205"/>
        <v>202.05988514450519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7.5857805722248681</v>
      </c>
      <c r="AV202" s="21">
        <f>EXP(-LN(2)/25)*AV201+(1-EXP(-LN(2)/25))/(LN(2)/25)*Calculateur!AQ202*Calculateur!AS202*VLOOKUP('Données projet'!$B$10,Paramètres!$A$1:$I$89,3,0)*0.475*44/12</f>
        <v>0.46314996674640546</v>
      </c>
      <c r="AW202" s="21">
        <f>EXP(-LN(2)/2)*AW201+(1-EXP(-LN(2)/2))/(LN(2)/2)*AQ202*AT202*VLOOKUP('Données projet'!$B$10,Paramètres!$A$1:$I$89,3,0)*0.475*44/12</f>
        <v>5.1537564751736722E-20</v>
      </c>
      <c r="AX202" s="21">
        <f t="shared" si="166"/>
        <v>8.0489305389712733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-2.8421709430404007E-14</v>
      </c>
      <c r="BE202" s="13">
        <f>BD202*VLOOKUP('Données projet'!$B$11,Paramètres!$A$1:$I$89,3,0)*VLOOKUP('Données projet'!$B$11,Paramètres!$A$1:$I$89,5,0)</f>
        <v>-2.3055690689943732E-14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5.8584049049231908</v>
      </c>
      <c r="BJ202" s="59">
        <f t="shared" si="206"/>
        <v>42.266833200216638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1.212117394238934E-23</v>
      </c>
      <c r="BS202" s="22">
        <f t="shared" si="169"/>
        <v>1.212117394238934E-23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>
        <f>BY202*VLOOKUP('Données projet'!$B$12,Paramètres!$A$1:$I$89,3,0)*VLOOKUP('Données projet'!$B$12,Paramètres!$A$1:$I$89,5,0)</f>
        <v>0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0</v>
      </c>
      <c r="CE202" s="59">
        <f t="shared" si="207"/>
        <v>0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0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>
        <f>CT202*VLOOKUP('Données projet'!$B$13,Paramètres!$A$1:$I$89,3,0)*VLOOKUP('Données projet'!$B$13,Paramètres!$A$1:$I$89,5,0)</f>
        <v>0</v>
      </c>
      <c r="CV202" s="13" t="e">
        <f t="shared" si="173"/>
        <v>#NUM!</v>
      </c>
      <c r="CW202" s="20" t="e">
        <f t="shared" si="174"/>
        <v>#NUM!</v>
      </c>
      <c r="CX202" s="59" t="e">
        <f t="shared" si="196"/>
        <v>#NUM!</v>
      </c>
      <c r="CY202" s="59">
        <f ca="1">AVERAGE(OFFSET($CX$3,0,0,'Données projet'!$E$13+1,1))-AVERAGE(OFFSET($H$3,0,0,'Données projet'!$E$13+1,1))</f>
        <v>0</v>
      </c>
      <c r="CZ202" s="59">
        <f t="shared" si="208"/>
        <v>0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</v>
      </c>
      <c r="DG202" s="21">
        <f>EXP(-LN(2)/25)*DG201+(1-EXP(-LN(2)/25))/(LN(2)/25)*Calculateur!DB202*Calculateur!DD202*VLOOKUP('Données projet'!$B$13,Paramètres!$A$1:$I$89,3,0)*0.475*44/12</f>
        <v>0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0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>
        <f>DO202*VLOOKUP('Données projet'!$B$14,Paramètres!$A$1:$I$89,3,0)*VLOOKUP('Données projet'!$B$14,Paramètres!$A$1:$I$89,5,0)</f>
        <v>0</v>
      </c>
      <c r="DQ202" s="13" t="e">
        <f t="shared" si="176"/>
        <v>#NUM!</v>
      </c>
      <c r="DR202" s="20" t="e">
        <f t="shared" si="177"/>
        <v>#NUM!</v>
      </c>
      <c r="DS202" s="59" t="e">
        <f t="shared" si="197"/>
        <v>#NUM!</v>
      </c>
      <c r="DT202" s="59">
        <f ca="1">AVERAGE(OFFSET($DS$3,0,0,'Données projet'!$E$14+1,1))-AVERAGE(OFFSET($H$3,0,0,'Données projet'!$E$14+1,1))</f>
        <v>0</v>
      </c>
      <c r="DU202" s="59">
        <f t="shared" si="209"/>
        <v>0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0</v>
      </c>
      <c r="EB202" s="21">
        <f>EXP(-LN(2)/25)*EB201+(1-EXP(-LN(2)/25))/(LN(2)/25)*Calculateur!DW202*Calculateur!DY202*VLOOKUP('Données projet'!$B$14,Paramètres!$A$1:$I$89,3,0)*0.475*44/12</f>
        <v>0</v>
      </c>
      <c r="EC202" s="21">
        <f>EXP(-LN(2)/2)*EC201+(1-EXP(-LN(2)/2))/(LN(2)/2)*DW202*DZ202*VLOOKUP('Données projet'!$B$14,Paramètres!$A$1:$I$89,3,0)*0.475*44/12</f>
        <v>0</v>
      </c>
      <c r="ED202" s="22">
        <f t="shared" si="178"/>
        <v>0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>
        <f>EJ202*VLOOKUP('Données projet'!$B$15,Paramètres!$A$1:$I$89,3,0)*VLOOKUP('Données projet'!$B$15,Paramètres!$A$1:$I$89,5,0)</f>
        <v>0</v>
      </c>
      <c r="EL202" s="13" t="e">
        <f t="shared" si="179"/>
        <v>#NUM!</v>
      </c>
      <c r="EM202" s="20" t="e">
        <f t="shared" si="180"/>
        <v>#NUM!</v>
      </c>
      <c r="EN202" s="59" t="e">
        <f t="shared" si="198"/>
        <v>#NUM!</v>
      </c>
      <c r="EO202" s="59">
        <f ca="1">AVERAGE(OFFSET($EN$3,0,0,'Données projet'!$E$15+1,1))-AVERAGE(OFFSET($H$3,0,0,'Données projet'!$E$15+1,1))</f>
        <v>0</v>
      </c>
      <c r="EP202" s="59">
        <f t="shared" si="210"/>
        <v>0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>
        <f>EXP(-LN(2)/35)*EV201+(1-EXP(-LN(2)/35))/(LN(2)/35)*ER202*ES202*VLOOKUP('Données projet'!$B$15,Paramètres!$A$1:$I$89,3,0)*0.475*44/12</f>
        <v>0</v>
      </c>
      <c r="EW202" s="21">
        <f>EXP(-LN(2)/25)*EW201+(1-EXP(-LN(2)/25))/(LN(2)/25)*Calculateur!ER202*Calculateur!ET202*VLOOKUP('Données projet'!$B$15,Paramètres!$A$1:$I$89,3,0)*0.475*44/12</f>
        <v>0</v>
      </c>
      <c r="EX202" s="21">
        <f>EXP(-LN(2)/2)*EX201+(1-EXP(-LN(2)/2))/(LN(2)/2)*ER202*EU202*VLOOKUP('Données projet'!$B$15,Paramètres!$A$1:$I$89,3,0)*0.475*44/12</f>
        <v>0</v>
      </c>
      <c r="EY202" s="22">
        <f t="shared" si="181"/>
        <v>0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>
        <f>FE202*VLOOKUP('Données projet'!$B$16,Paramètres!$A$1:$I$89,3,0)*VLOOKUP('Données projet'!$B$16,Paramètres!$A$1:$I$89,5,0)</f>
        <v>0</v>
      </c>
      <c r="FG202" s="13" t="e">
        <f t="shared" si="182"/>
        <v>#NUM!</v>
      </c>
      <c r="FH202" s="20" t="e">
        <f t="shared" si="183"/>
        <v>#NUM!</v>
      </c>
      <c r="FI202" s="59" t="e">
        <f t="shared" si="199"/>
        <v>#NUM!</v>
      </c>
      <c r="FJ202" s="59">
        <f ca="1">AVERAGE(OFFSET($FI$3,0,0,'Données projet'!$E$16+1,1))-AVERAGE(OFFSET($H$3,0,0,'Données projet'!$E$16+1,1))</f>
        <v>0</v>
      </c>
      <c r="FK202" s="59">
        <f t="shared" si="211"/>
        <v>0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>
        <f>EXP(-LN(2)/35)*FQ201+(1-EXP(-LN(2)/35))/(LN(2)/35)*FM202*FN202*VLOOKUP('Données projet'!$B$16,Paramètres!$A$1:$I$89,3,0)*0.475*44/12</f>
        <v>0</v>
      </c>
      <c r="FR202" s="21">
        <f>EXP(-LN(2)/25)*FR201+(1-EXP(-LN(2)/25))/(LN(2)/25)*Calculateur!FM202*Calculateur!FO202*VLOOKUP('Données projet'!$B$16,Paramètres!$A$1:$I$89,3,0)*0.475*44/12</f>
        <v>0</v>
      </c>
      <c r="FS202" s="21">
        <f>EXP(-LN(2)/2)*FS201+(1-EXP(-LN(2)/2))/(LN(2)/2)*FM202*FP202*VLOOKUP('Données projet'!$B$16,Paramètres!$A$1:$I$89,3,0)*0.475*44/12</f>
        <v>0</v>
      </c>
      <c r="FT202" s="22">
        <f t="shared" si="184"/>
        <v>0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192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186.90544184210381</v>
      </c>
      <c r="T203" s="59">
        <f t="shared" si="204"/>
        <v>202.05988514450519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7.4370280420728223</v>
      </c>
      <c r="AA203" s="21">
        <f>EXP(-LN(2)/25)*AA202+(1-EXP(-LN(2)/25))/(LN(2)/25)*Calculateur!V203*Calculateur!X203*VLOOKUP('Données projet'!$B$9,Paramètres!$A$1:$I$89,3,0)*0.475*44/12</f>
        <v>0.45048510654972679</v>
      </c>
      <c r="AB203" s="21">
        <f>EXP(-LN(2)/2)*AB202+(1-EXP(-LN(2)/2))/(LN(2)/2)*V203*Y203*VLOOKUP('Données projet'!$B$9,Paramètres!$A$1:$I$89,3,0)*0.475*44/12</f>
        <v>3.6442561521793822E-20</v>
      </c>
      <c r="AC203" s="22">
        <f t="shared" si="163"/>
        <v>7.8875131486225492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>
        <f>AI203*VLOOKUP('Données projet'!$B$10,Paramètres!$A$1:$I$89,3,0)*VLOOKUP('Données projet'!$B$10,Paramètres!$A$1:$I$89,5,0)</f>
        <v>0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186.90544184210381</v>
      </c>
      <c r="AO203" s="59">
        <f t="shared" si="205"/>
        <v>202.05988514450519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7.4370280420728223</v>
      </c>
      <c r="AV203" s="21">
        <f>EXP(-LN(2)/25)*AV202+(1-EXP(-LN(2)/25))/(LN(2)/25)*Calculateur!AQ203*Calculateur!AS203*VLOOKUP('Données projet'!$B$10,Paramètres!$A$1:$I$89,3,0)*0.475*44/12</f>
        <v>0.45048510654972679</v>
      </c>
      <c r="AW203" s="21">
        <f>EXP(-LN(2)/2)*AW202+(1-EXP(-LN(2)/2))/(LN(2)/2)*AQ203*AT203*VLOOKUP('Données projet'!$B$10,Paramètres!$A$1:$I$89,3,0)*0.475*44/12</f>
        <v>3.6442561521793822E-20</v>
      </c>
      <c r="AX203" s="21">
        <f t="shared" si="166"/>
        <v>7.8875131486225492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-2.8421709430404007E-14</v>
      </c>
      <c r="BE203" s="13">
        <f>BD203*VLOOKUP('Données projet'!$B$11,Paramètres!$A$1:$I$89,3,0)*VLOOKUP('Données projet'!$B$11,Paramètres!$A$1:$I$89,5,0)</f>
        <v>-2.3055690689943732E-14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5.8584049049231908</v>
      </c>
      <c r="BJ203" s="59">
        <f t="shared" si="206"/>
        <v>42.266833200216638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8.5709642906051803E-24</v>
      </c>
      <c r="BS203" s="22">
        <f t="shared" si="169"/>
        <v>8.5709642906051803E-24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>
        <f>BY203*VLOOKUP('Données projet'!$B$12,Paramètres!$A$1:$I$89,3,0)*VLOOKUP('Données projet'!$B$12,Paramètres!$A$1:$I$89,5,0)</f>
        <v>0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0</v>
      </c>
      <c r="CE203" s="59">
        <f t="shared" si="207"/>
        <v>0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0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>
        <f>CT203*VLOOKUP('Données projet'!$B$13,Paramètres!$A$1:$I$89,3,0)*VLOOKUP('Données projet'!$B$13,Paramètres!$A$1:$I$89,5,0)</f>
        <v>0</v>
      </c>
      <c r="CV203" s="13" t="e">
        <f t="shared" si="173"/>
        <v>#NUM!</v>
      </c>
      <c r="CW203" s="20" t="e">
        <f t="shared" si="174"/>
        <v>#NUM!</v>
      </c>
      <c r="CX203" s="59" t="e">
        <f t="shared" si="196"/>
        <v>#NUM!</v>
      </c>
      <c r="CY203" s="59">
        <f ca="1">AVERAGE(OFFSET($CX$3,0,0,'Données projet'!$E$13+1,1))-AVERAGE(OFFSET($H$3,0,0,'Données projet'!$E$13+1,1))</f>
        <v>0</v>
      </c>
      <c r="CZ203" s="59">
        <f t="shared" si="208"/>
        <v>0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</v>
      </c>
      <c r="DG203" s="21">
        <f>EXP(-LN(2)/25)*DG202+(1-EXP(-LN(2)/25))/(LN(2)/25)*Calculateur!DB203*Calculateur!DD203*VLOOKUP('Données projet'!$B$13,Paramètres!$A$1:$I$89,3,0)*0.475*44/12</f>
        <v>0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0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>
        <f>DO203*VLOOKUP('Données projet'!$B$14,Paramètres!$A$1:$I$89,3,0)*VLOOKUP('Données projet'!$B$14,Paramètres!$A$1:$I$89,5,0)</f>
        <v>0</v>
      </c>
      <c r="DQ203" s="13" t="e">
        <f t="shared" si="176"/>
        <v>#NUM!</v>
      </c>
      <c r="DR203" s="20" t="e">
        <f t="shared" si="177"/>
        <v>#NUM!</v>
      </c>
      <c r="DS203" s="59" t="e">
        <f t="shared" si="197"/>
        <v>#NUM!</v>
      </c>
      <c r="DT203" s="59">
        <f ca="1">AVERAGE(OFFSET($DS$3,0,0,'Données projet'!$E$14+1,1))-AVERAGE(OFFSET($H$3,0,0,'Données projet'!$E$14+1,1))</f>
        <v>0</v>
      </c>
      <c r="DU203" s="59">
        <f t="shared" si="209"/>
        <v>0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0</v>
      </c>
      <c r="EB203" s="21">
        <f>EXP(-LN(2)/25)*EB202+(1-EXP(-LN(2)/25))/(LN(2)/25)*Calculateur!DW203*Calculateur!DY203*VLOOKUP('Données projet'!$B$14,Paramètres!$A$1:$I$89,3,0)*0.475*44/12</f>
        <v>0</v>
      </c>
      <c r="EC203" s="21">
        <f>EXP(-LN(2)/2)*EC202+(1-EXP(-LN(2)/2))/(LN(2)/2)*DW203*DZ203*VLOOKUP('Données projet'!$B$14,Paramètres!$A$1:$I$89,3,0)*0.475*44/12</f>
        <v>0</v>
      </c>
      <c r="ED203" s="22">
        <f t="shared" si="178"/>
        <v>0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>
        <f>EJ203*VLOOKUP('Données projet'!$B$15,Paramètres!$A$1:$I$89,3,0)*VLOOKUP('Données projet'!$B$15,Paramètres!$A$1:$I$89,5,0)</f>
        <v>0</v>
      </c>
      <c r="EL203" s="13" t="e">
        <f t="shared" si="179"/>
        <v>#NUM!</v>
      </c>
      <c r="EM203" s="20" t="e">
        <f t="shared" si="180"/>
        <v>#NUM!</v>
      </c>
      <c r="EN203" s="59" t="e">
        <f t="shared" si="198"/>
        <v>#NUM!</v>
      </c>
      <c r="EO203" s="59">
        <f ca="1">AVERAGE(OFFSET($EN$3,0,0,'Données projet'!$E$15+1,1))-AVERAGE(OFFSET($H$3,0,0,'Données projet'!$E$15+1,1))</f>
        <v>0</v>
      </c>
      <c r="EP203" s="59">
        <f t="shared" si="210"/>
        <v>0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>
        <f>EXP(-LN(2)/35)*EV202+(1-EXP(-LN(2)/35))/(LN(2)/35)*ER203*ES203*VLOOKUP('Données projet'!$B$15,Paramètres!$A$1:$I$89,3,0)*0.475*44/12</f>
        <v>0</v>
      </c>
      <c r="EW203" s="21">
        <f>EXP(-LN(2)/25)*EW202+(1-EXP(-LN(2)/25))/(LN(2)/25)*Calculateur!ER203*Calculateur!ET203*VLOOKUP('Données projet'!$B$15,Paramètres!$A$1:$I$89,3,0)*0.475*44/12</f>
        <v>0</v>
      </c>
      <c r="EX203" s="21">
        <f>EXP(-LN(2)/2)*EX202+(1-EXP(-LN(2)/2))/(LN(2)/2)*ER203*EU203*VLOOKUP('Données projet'!$B$15,Paramètres!$A$1:$I$89,3,0)*0.475*44/12</f>
        <v>0</v>
      </c>
      <c r="EY203" s="22">
        <f t="shared" si="181"/>
        <v>0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>
        <f>FE203*VLOOKUP('Données projet'!$B$16,Paramètres!$A$1:$I$89,3,0)*VLOOKUP('Données projet'!$B$16,Paramètres!$A$1:$I$89,5,0)</f>
        <v>0</v>
      </c>
      <c r="FG203" s="13" t="e">
        <f t="shared" si="182"/>
        <v>#NUM!</v>
      </c>
      <c r="FH203" s="20" t="e">
        <f t="shared" si="183"/>
        <v>#NUM!</v>
      </c>
      <c r="FI203" s="59" t="e">
        <f t="shared" si="199"/>
        <v>#NUM!</v>
      </c>
      <c r="FJ203" s="59">
        <f ca="1">AVERAGE(OFFSET($FI$3,0,0,'Données projet'!$E$16+1,1))-AVERAGE(OFFSET($H$3,0,0,'Données projet'!$E$16+1,1))</f>
        <v>0</v>
      </c>
      <c r="FK203" s="59">
        <f t="shared" si="211"/>
        <v>0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>
        <f>EXP(-LN(2)/35)*FQ202+(1-EXP(-LN(2)/35))/(LN(2)/35)*FM203*FN203*VLOOKUP('Données projet'!$B$16,Paramètres!$A$1:$I$89,3,0)*0.475*44/12</f>
        <v>0</v>
      </c>
      <c r="FR203" s="21">
        <f>EXP(-LN(2)/25)*FR202+(1-EXP(-LN(2)/25))/(LN(2)/25)*Calculateur!FM203*Calculateur!FO203*VLOOKUP('Données projet'!$B$16,Paramètres!$A$1:$I$89,3,0)*0.475*44/12</f>
        <v>0</v>
      </c>
      <c r="FS203" s="21">
        <f>EXP(-LN(2)/2)*FS202+(1-EXP(-LN(2)/2))/(LN(2)/2)*FM203*FP203*VLOOKUP('Données projet'!$B$16,Paramètres!$A$1:$I$89,3,0)*0.475*44/12</f>
        <v>0</v>
      </c>
      <c r="FT203" s="22">
        <f t="shared" si="184"/>
        <v>0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1.3160740129524926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1.3160740129524926</v>
      </c>
      <c r="BA205" s="82">
        <f>EXP(LN('Données projet'!B88)/'Données projet'!A88)</f>
        <v>1.199469418763945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2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3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2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4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4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3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2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3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5" zoomScale="90" zoomScaleNormal="90" workbookViewId="0">
      <selection activeCell="K21" sqref="K21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3" t="s">
        <v>271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47.193599999999996</v>
      </c>
      <c r="C6" s="147">
        <f ca="1">IF(OR('Données projet'!B9="",'Données projet'!C9="",'Données projet'!C9=0%),0,Calculateur!S3)</f>
        <v>186.90544184210381</v>
      </c>
      <c r="D6" s="147">
        <f>IF(OR('Données projet'!B9="",'Données projet'!C9="",'Données projet'!C9=0%),0,Calculateur!T3)</f>
        <v>202.05988514450519</v>
      </c>
      <c r="E6" s="147">
        <f ca="1">MIN(C6,D6)</f>
        <v>186.90544184210381</v>
      </c>
      <c r="F6" s="147">
        <f ca="1">E6*B6</f>
        <v>8820.7406601195089</v>
      </c>
      <c r="G6" s="147">
        <f ca="1">F6*(100%-'Données projet'!$C$24)*(100%-'Données projet'!$C$25)*(100%-'Données projet'!$C$26)*(100%-'Données projet'!$C$27)</f>
        <v>6747.8666049914245</v>
      </c>
      <c r="H6" s="148">
        <f>IF(OR('Données projet'!B9="",'Données projet'!C9="",'Données projet'!C9=0%),0,AVERAGE(Calculateur!$AC$3:$AC$33)*B6)</f>
        <v>345.63123289991466</v>
      </c>
      <c r="I6" s="149">
        <f>H6*(100%-'Données projet'!$C$24)*(100%-'Données projet'!$C$25)*(100%-'Données projet'!$C$26)*(100%-'Données projet'!$C$27)</f>
        <v>264.40789316843473</v>
      </c>
      <c r="J6" s="150">
        <f>IF(OR('Données projet'!B9="",'Données projet'!C9="",'Données projet'!C9=0%),0,SUM(Calculateur!$V$3:$V$33)*VLOOKUP('Données projet'!$B$9,Paramètres!$A$1:$I$89,9,0)*B6)</f>
        <v>2867.9550719999997</v>
      </c>
      <c r="K6" s="151">
        <f>J6*(100%-'Données projet'!$C$24)*(100%-'Données projet'!$C$25)*(100%-'Données projet'!$C$26)*(100%-'Données projet'!$C$27)</f>
        <v>2193.9856300799997</v>
      </c>
      <c r="L6" s="152">
        <f ca="1">G6+I6+K6</f>
        <v>9206.2601282398591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Pin taeda</v>
      </c>
      <c r="B7" s="154">
        <f>'Données projet'!D10</f>
        <v>11.060999999999998</v>
      </c>
      <c r="C7" s="147">
        <f ca="1">IF(OR('Données projet'!B10="",'Données projet'!C10="",'Données projet'!C10=0%),0,Calculateur!AN3)</f>
        <v>186.90544184210381</v>
      </c>
      <c r="D7" s="147">
        <f>IF(OR('Données projet'!B10="",'Données projet'!C10="",'Données projet'!C10=0%),0,Calculateur!AO3)</f>
        <v>202.05988514450519</v>
      </c>
      <c r="E7" s="147">
        <f t="shared" ref="E7:E15" ca="1" si="0">MIN(C7,D7)</f>
        <v>186.90544184210381</v>
      </c>
      <c r="F7" s="147">
        <f t="shared" ref="F7:F15" ca="1" si="1">E7*B7</f>
        <v>2067.3610922155099</v>
      </c>
      <c r="G7" s="147">
        <f ca="1">F7*(100%-'Données projet'!$C$24)*(100%-'Données projet'!$C$25)*(100%-'Données projet'!$C$26)*(100%-'Données projet'!$C$27)</f>
        <v>1581.531235544865</v>
      </c>
      <c r="H7" s="155">
        <f>IF(OR('Données projet'!B10="",'Données projet'!C10="",'Données projet'!C10=0%),0,AVERAGE(Calculateur!$AX$3:$AX$33)*B7)</f>
        <v>81.007320210917499</v>
      </c>
      <c r="I7" s="149">
        <f>H7*(100%-'Données projet'!$C$24)*(100%-'Données projet'!$C$25)*(100%-'Données projet'!$C$26)*(100%-'Données projet'!$C$27)</f>
        <v>61.970599961351887</v>
      </c>
      <c r="J7" s="150">
        <f>IF(OR('Données projet'!B10="",'Données projet'!C10="",'Données projet'!C10=0%),0,SUM(Calculateur!$AQ$3:$AQ$33)*VLOOKUP('Données projet'!$B$10,Paramètres!$A$1:$I$89,9,0)*B7)</f>
        <v>489.89168999999993</v>
      </c>
      <c r="K7" s="151">
        <f>J7*(100%-'Données projet'!$C$24)*(100%-'Données projet'!$C$25)*(100%-'Données projet'!$C$26)*(100%-'Données projet'!$C$27)</f>
        <v>374.76714284999991</v>
      </c>
      <c r="L7" s="152">
        <f t="shared" ref="L7:L15" ca="1" si="2">G7+I7+K7</f>
        <v>2018.2689783562168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Bouleau verruqueux</v>
      </c>
      <c r="B8" s="154">
        <f>'Données projet'!D11</f>
        <v>12.5358</v>
      </c>
      <c r="C8" s="147">
        <f ca="1">IF(OR('Données projet'!B11="",'Données projet'!C11="",'Données projet'!C11=0%),0,Calculateur!BI3)</f>
        <v>5.8584049049231908</v>
      </c>
      <c r="D8" s="147">
        <f>IF(OR('Données projet'!B11="",'Données projet'!C11="",'Données projet'!C11=0%),0,Calculateur!BJ3)</f>
        <v>42.266833200216638</v>
      </c>
      <c r="E8" s="147">
        <f t="shared" ca="1" si="0"/>
        <v>5.8584049049231908</v>
      </c>
      <c r="F8" s="147">
        <f t="shared" ca="1" si="1"/>
        <v>73.439792207136136</v>
      </c>
      <c r="G8" s="147">
        <f ca="1">F8*(100%-'Données projet'!$C$24)*(100%-'Données projet'!$C$25)*(100%-'Données projet'!$C$26)*(100%-'Données projet'!$C$27)</f>
        <v>56.181441038459148</v>
      </c>
      <c r="H8" s="155">
        <f>IF(OR('Données projet'!B11="",'Données projet'!C11="",'Données projet'!C11=0%),0,AVERAGE(Calculateur!$BS$3:$BS$33)*B8)</f>
        <v>12.337568078411888</v>
      </c>
      <c r="I8" s="149">
        <f>H8*(100%-'Données projet'!$C$24)*(100%-'Données projet'!$C$25)*(100%-'Données projet'!$C$26)*(100%-'Données projet'!$C$27)</f>
        <v>9.438239579985094</v>
      </c>
      <c r="J8" s="150">
        <f>IF(OR('Données projet'!B11="",'Données projet'!C11="",'Données projet'!C11=0%),0,SUM(Calculateur!$BL$3:$BL$33)*VLOOKUP('Données projet'!$B$11,Paramètres!$A$1:$I$89,9,0)*B8)</f>
        <v>56.411099999999998</v>
      </c>
      <c r="K8" s="151">
        <f>J8*(100%-'Données projet'!$C$24)*(100%-'Données projet'!$C$25)*(100%-'Données projet'!$C$26)*(100%-'Données projet'!$C$27)</f>
        <v>43.154491499999999</v>
      </c>
      <c r="L8" s="152">
        <f t="shared" ca="1" si="2"/>
        <v>108.77417211844426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>Chêne-liège</v>
      </c>
      <c r="B9" s="154">
        <f>'Données projet'!D12</f>
        <v>0.66365999999999992</v>
      </c>
      <c r="C9" s="147">
        <f ca="1"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ca="1" si="0"/>
        <v>0</v>
      </c>
      <c r="F9" s="147">
        <f t="shared" ca="1" si="1"/>
        <v>0</v>
      </c>
      <c r="G9" s="147">
        <f ca="1"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ca="1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>Chêne vert</v>
      </c>
      <c r="B10" s="154">
        <f>'Données projet'!D13</f>
        <v>0.73739999999999994</v>
      </c>
      <c r="C10" s="147">
        <f ca="1"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ca="1" si="0"/>
        <v>0</v>
      </c>
      <c r="F10" s="147">
        <f t="shared" ca="1" si="1"/>
        <v>0</v>
      </c>
      <c r="G10" s="147">
        <f ca="1"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ca="1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>Chêne rouge d'Amérique</v>
      </c>
      <c r="B11" s="154">
        <f>'Données projet'!D14</f>
        <v>7.374E-2</v>
      </c>
      <c r="C11" s="147">
        <f ca="1"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ca="1" si="0"/>
        <v>0</v>
      </c>
      <c r="F11" s="147">
        <f t="shared" ca="1" si="1"/>
        <v>0</v>
      </c>
      <c r="G11" s="147">
        <f ca="1"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ca="1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>Chêne pubescent</v>
      </c>
      <c r="B12" s="154">
        <f>'Données projet'!D15</f>
        <v>0.73739999999999994</v>
      </c>
      <c r="C12" s="147">
        <f ca="1"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ca="1" si="0"/>
        <v>0</v>
      </c>
      <c r="F12" s="147">
        <f t="shared" ca="1" si="1"/>
        <v>0</v>
      </c>
      <c r="G12" s="147">
        <f ca="1"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ca="1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>Chêne tauzin</v>
      </c>
      <c r="B13" s="154">
        <f>'Données projet'!D16</f>
        <v>0.73739999999999994</v>
      </c>
      <c r="C13" s="147">
        <f ca="1"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ca="1" si="0"/>
        <v>0</v>
      </c>
      <c r="F13" s="147">
        <f t="shared" ca="1" si="1"/>
        <v>0</v>
      </c>
      <c r="G13" s="147">
        <f ca="1"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ca="1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10961.541544542155</v>
      </c>
      <c r="G16" s="166">
        <f t="shared" ca="1" si="3"/>
        <v>8385.57928157475</v>
      </c>
      <c r="H16" s="167">
        <f t="shared" si="3"/>
        <v>438.97612118924405</v>
      </c>
      <c r="I16" s="167">
        <f t="shared" si="3"/>
        <v>335.81673270977171</v>
      </c>
      <c r="J16" s="168">
        <f t="shared" si="3"/>
        <v>3414.2578619999995</v>
      </c>
      <c r="K16" s="168">
        <f t="shared" si="3"/>
        <v>2611.9072644299995</v>
      </c>
      <c r="L16" s="169">
        <f t="shared" ca="1" si="3"/>
        <v>11333.30327871452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5" t="s">
        <v>246</v>
      </c>
      <c r="G17" s="286"/>
      <c r="H17" s="286"/>
      <c r="I17" s="286"/>
      <c r="J17" s="286"/>
      <c r="K17" s="286"/>
      <c r="L17" s="28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2"/>
      <c r="G18" s="272"/>
      <c r="H18" s="272"/>
      <c r="I18" s="272"/>
      <c r="J18" s="272"/>
      <c r="K18" s="272"/>
      <c r="L18" s="27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Bouleau verruqueux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>Chêne-liège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>Chêne vert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>Chêne rouge d'Amérique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>Chêne pubescent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>Chêne tauzin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E86" sqref="E86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3" t="s">
        <v>272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3" t="s">
        <v>315</v>
      </c>
      <c r="I4" s="263"/>
      <c r="K4" s="287" t="s">
        <v>253</v>
      </c>
      <c r="L4" s="288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7" t="s">
        <v>310</v>
      </c>
      <c r="S7" s="298"/>
      <c r="T7" s="298"/>
      <c r="U7" s="298"/>
      <c r="V7" s="299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2355.9053483785128</v>
      </c>
      <c r="U10" s="178">
        <f>'Données projet'!D9</f>
        <v>47.193599999999996</v>
      </c>
      <c r="V10" s="177">
        <f>U10*T10</f>
        <v>111183.65464923618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2135.4624901172956</v>
      </c>
      <c r="U11" s="178">
        <f>'Données projet'!D10</f>
        <v>11.060999999999998</v>
      </c>
      <c r="V11" s="177">
        <f t="shared" ref="V11" si="0">U11*T11</f>
        <v>23620.350603187402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Bouleau verruqueux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-3480.7602275588929</v>
      </c>
      <c r="U12" s="178">
        <f>'Données projet'!D11</f>
        <v>12.5358</v>
      </c>
      <c r="V12" s="177">
        <f t="shared" ref="V12:V19" si="1">U12*T12</f>
        <v>-43634.114060632768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Chêne-liège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-15312</v>
      </c>
      <c r="U13" s="178">
        <f>'Données projet'!D12</f>
        <v>0.66365999999999992</v>
      </c>
      <c r="V13" s="177">
        <f t="shared" si="1"/>
        <v>-10161.961919999998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Chêne vert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-15312</v>
      </c>
      <c r="U14" s="178">
        <f>'Données projet'!D13</f>
        <v>0.73739999999999994</v>
      </c>
      <c r="V14" s="177">
        <f t="shared" si="1"/>
        <v>-11291.068799999999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290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Chêne rouge d'Amérique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-15312</v>
      </c>
      <c r="U15" s="178">
        <f>'Données projet'!D14</f>
        <v>7.374E-2</v>
      </c>
      <c r="V15" s="177">
        <f t="shared" si="1"/>
        <v>-1129.10688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90"/>
      <c r="H16" s="190"/>
      <c r="I16" s="191"/>
      <c r="J16" s="202"/>
      <c r="K16" s="208"/>
      <c r="L16" s="287" t="s">
        <v>254</v>
      </c>
      <c r="M16" s="288"/>
      <c r="N16" s="2">
        <v>62</v>
      </c>
      <c r="O16" s="23"/>
      <c r="P16" s="23"/>
      <c r="Q16" s="234"/>
      <c r="R16" s="23"/>
      <c r="S16" s="36" t="str">
        <f>B200</f>
        <v>Chêne pubescent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-15312</v>
      </c>
      <c r="U16" s="178">
        <f>'Données projet'!D15</f>
        <v>0.73739999999999994</v>
      </c>
      <c r="V16" s="177">
        <f t="shared" si="1"/>
        <v>-11291.068799999999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>
        <v>537</v>
      </c>
      <c r="F17" s="230"/>
      <c r="G17" s="290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61.99999999999995</v>
      </c>
      <c r="O17" s="23"/>
      <c r="P17" s="23"/>
      <c r="Q17" s="234"/>
      <c r="R17" s="23"/>
      <c r="S17" s="36" t="str">
        <f>B231</f>
        <v>Chêne tauzin</v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-15312</v>
      </c>
      <c r="U17" s="178">
        <f>'Données projet'!D16</f>
        <v>0.73739999999999994</v>
      </c>
      <c r="V17" s="177">
        <f t="shared" si="1"/>
        <v>-11291.068799999999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90"/>
      <c r="J18" s="202"/>
      <c r="K18" s="208"/>
      <c r="L18" s="260" t="s">
        <v>255</v>
      </c>
      <c r="M18" s="262"/>
      <c r="N18" s="192">
        <v>15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90"/>
      <c r="H19" s="212" t="s">
        <v>178</v>
      </c>
      <c r="I19" s="212" t="s">
        <v>287</v>
      </c>
      <c r="J19" s="93"/>
      <c r="K19" s="173"/>
      <c r="L19" s="287" t="s">
        <v>288</v>
      </c>
      <c r="M19" s="288"/>
      <c r="N19" s="179">
        <f>N17*N18</f>
        <v>929.9999999999992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90"/>
      <c r="H20" s="190">
        <v>1</v>
      </c>
      <c r="I20" s="191">
        <f>490+22+5</f>
        <v>517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2</v>
      </c>
      <c r="I21" s="191">
        <f>100+22+5</f>
        <v>127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f>100+22+5</f>
        <v>127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16</v>
      </c>
      <c r="B23" s="181">
        <f>'Données projet'!D36</f>
        <v>15</v>
      </c>
      <c r="C23" s="193">
        <v>15</v>
      </c>
      <c r="D23" s="182">
        <f>B23*C23</f>
        <v>225</v>
      </c>
      <c r="E23" s="193"/>
      <c r="F23" s="230"/>
      <c r="H23" s="190">
        <v>4</v>
      </c>
      <c r="I23" s="191">
        <f>55+22+5</f>
        <v>82</v>
      </c>
      <c r="K23" s="208"/>
      <c r="L23" s="289" t="s">
        <v>260</v>
      </c>
      <c r="M23" s="289"/>
      <c r="N23" s="289"/>
      <c r="O23" s="23"/>
      <c r="P23" s="23"/>
      <c r="Q23" s="234"/>
      <c r="R23" s="23"/>
      <c r="S23" s="36" t="s">
        <v>264</v>
      </c>
      <c r="T23" s="302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-51147.991196024625</v>
      </c>
      <c r="U23" s="302"/>
      <c r="V23" s="302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20</v>
      </c>
      <c r="B24" s="181">
        <f>'Données projet'!D37</f>
        <v>22</v>
      </c>
      <c r="C24" s="193">
        <v>20</v>
      </c>
      <c r="D24" s="182">
        <f t="shared" ref="D24:D42" si="2">B24*C24</f>
        <v>440</v>
      </c>
      <c r="E24" s="193"/>
      <c r="F24" s="233"/>
      <c r="H24" s="190">
        <v>5</v>
      </c>
      <c r="I24" s="191">
        <f>22+5</f>
        <v>27</v>
      </c>
      <c r="K24" s="208"/>
      <c r="O24" s="23"/>
      <c r="P24" s="23"/>
      <c r="Q24" s="234"/>
      <c r="R24" s="23"/>
      <c r="S24" s="36" t="s">
        <v>261</v>
      </c>
      <c r="T24" s="303">
        <f ca="1">'Scénario référence'!$B$8*$M$30*'Données projet'!$C$5+('Scénario référence'!B9+'Scénario référence'!B10+'Scénario référence'!F8+'Scénario référence'!F9)*$N$19/(1+M4)^N16*'Données projet'!$C$5</f>
        <v>4476.8863969947852</v>
      </c>
      <c r="U24" s="303"/>
      <c r="V24" s="303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24</v>
      </c>
      <c r="B25" s="181">
        <f>'Données projet'!D38</f>
        <v>31</v>
      </c>
      <c r="C25" s="193">
        <v>25</v>
      </c>
      <c r="D25" s="182">
        <f t="shared" si="2"/>
        <v>775</v>
      </c>
      <c r="E25" s="193"/>
      <c r="F25" s="233"/>
      <c r="H25" s="190">
        <v>6</v>
      </c>
      <c r="I25" s="191">
        <f t="shared" ref="I25:I80" si="3">22+5</f>
        <v>27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4">
        <f ca="1">T23-T24</f>
        <v>-55624.87759301941</v>
      </c>
      <c r="U25" s="304"/>
      <c r="V25" s="30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28</v>
      </c>
      <c r="B26" s="181">
        <f>'Données projet'!D39</f>
        <v>35</v>
      </c>
      <c r="C26" s="193">
        <v>30</v>
      </c>
      <c r="D26" s="182">
        <f t="shared" si="2"/>
        <v>1050</v>
      </c>
      <c r="E26" s="193"/>
      <c r="F26" s="233"/>
      <c r="G26" s="229"/>
      <c r="H26" s="190">
        <v>7</v>
      </c>
      <c r="I26" s="191">
        <f t="shared" si="3"/>
        <v>27</v>
      </c>
      <c r="K26" s="208"/>
      <c r="L26" s="291" t="s">
        <v>258</v>
      </c>
      <c r="M26" s="292"/>
      <c r="N26" s="292"/>
      <c r="O26" s="292"/>
      <c r="P26" s="293"/>
      <c r="Q26" s="234"/>
      <c r="R26" s="23"/>
      <c r="S26" s="186" t="s">
        <v>265</v>
      </c>
      <c r="T26" s="301" t="str">
        <f ca="1">IF(T25&lt;0,"Votre projet est additionnel","Votre projet n'est pas additionnel")</f>
        <v>Votre projet est additionnel</v>
      </c>
      <c r="U26" s="301"/>
      <c r="V26" s="301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34</v>
      </c>
      <c r="B27" s="181">
        <f>'Données projet'!D40</f>
        <v>46</v>
      </c>
      <c r="C27" s="193">
        <v>35</v>
      </c>
      <c r="D27" s="182">
        <f t="shared" si="2"/>
        <v>1610</v>
      </c>
      <c r="E27" s="193"/>
      <c r="F27" s="233"/>
      <c r="G27" s="229"/>
      <c r="H27" s="190">
        <v>8</v>
      </c>
      <c r="I27" s="191">
        <f t="shared" si="3"/>
        <v>27</v>
      </c>
      <c r="K27" s="208"/>
      <c r="L27" s="294"/>
      <c r="M27" s="295"/>
      <c r="N27" s="295"/>
      <c r="O27" s="295"/>
      <c r="P27" s="296"/>
      <c r="Q27" s="234"/>
      <c r="R27" s="23"/>
      <c r="S27" s="300" t="s">
        <v>267</v>
      </c>
      <c r="T27" s="300"/>
      <c r="U27" s="300"/>
      <c r="V27" s="300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40</v>
      </c>
      <c r="B28" s="181">
        <f>'Données projet'!D41</f>
        <v>41</v>
      </c>
      <c r="C28" s="193">
        <v>40</v>
      </c>
      <c r="D28" s="182">
        <f t="shared" si="2"/>
        <v>1640</v>
      </c>
      <c r="E28" s="193"/>
      <c r="F28" s="233"/>
      <c r="G28" s="205"/>
      <c r="H28" s="190">
        <v>9</v>
      </c>
      <c r="I28" s="191">
        <f t="shared" si="3"/>
        <v>27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46</v>
      </c>
      <c r="B29" s="181">
        <f>'Données projet'!D42</f>
        <v>29</v>
      </c>
      <c r="C29" s="193">
        <v>45</v>
      </c>
      <c r="D29" s="182">
        <f t="shared" si="2"/>
        <v>1305</v>
      </c>
      <c r="E29" s="193"/>
      <c r="F29" s="233"/>
      <c r="G29" s="203"/>
      <c r="H29" s="190">
        <v>10</v>
      </c>
      <c r="I29" s="191">
        <f t="shared" si="3"/>
        <v>27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54</v>
      </c>
      <c r="B30" s="181">
        <f>'Données projet'!D43</f>
        <v>16</v>
      </c>
      <c r="C30" s="193">
        <v>50</v>
      </c>
      <c r="D30" s="182">
        <f t="shared" si="2"/>
        <v>800</v>
      </c>
      <c r="E30" s="193"/>
      <c r="F30" s="233"/>
      <c r="G30" s="203"/>
      <c r="H30" s="190">
        <v>11</v>
      </c>
      <c r="I30" s="191">
        <f t="shared" si="3"/>
        <v>27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62</v>
      </c>
      <c r="B31" s="181">
        <f>'Données projet'!D44</f>
        <v>316</v>
      </c>
      <c r="C31" s="193">
        <v>55</v>
      </c>
      <c r="D31" s="182">
        <f t="shared" si="2"/>
        <v>17380</v>
      </c>
      <c r="E31" s="193"/>
      <c r="F31" s="233"/>
      <c r="G31" s="203"/>
      <c r="H31" s="190">
        <v>12</v>
      </c>
      <c r="I31" s="191">
        <f t="shared" si="3"/>
        <v>27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13</v>
      </c>
      <c r="I32" s="191">
        <f t="shared" si="3"/>
        <v>27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14</v>
      </c>
      <c r="I33" s="191">
        <f t="shared" si="3"/>
        <v>27</v>
      </c>
      <c r="K33" s="173"/>
      <c r="L33" s="4"/>
      <c r="M33" s="4"/>
      <c r="N33" s="4"/>
      <c r="O33" s="194">
        <v>0</v>
      </c>
      <c r="P33" s="185">
        <f t="shared" ref="P33:P64" si="4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15</v>
      </c>
      <c r="I34" s="191">
        <f t="shared" si="3"/>
        <v>27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4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16</v>
      </c>
      <c r="I35" s="191">
        <f>22+5+65</f>
        <v>92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4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17</v>
      </c>
      <c r="I36" s="191">
        <f t="shared" si="3"/>
        <v>27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4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18</v>
      </c>
      <c r="I37" s="191">
        <f t="shared" si="3"/>
        <v>27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4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19</v>
      </c>
      <c r="I38" s="191">
        <f t="shared" si="3"/>
        <v>27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4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20</v>
      </c>
      <c r="I39" s="191">
        <f>22+5+65</f>
        <v>92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4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21</v>
      </c>
      <c r="I40" s="191">
        <f t="shared" si="3"/>
        <v>27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4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22</v>
      </c>
      <c r="I41" s="191">
        <f t="shared" si="3"/>
        <v>27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4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23</v>
      </c>
      <c r="I42" s="191">
        <f t="shared" si="3"/>
        <v>27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4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>
        <v>24</v>
      </c>
      <c r="I43" s="191">
        <f>22+5+65</f>
        <v>92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4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>
        <v>25</v>
      </c>
      <c r="I44" s="191">
        <f t="shared" si="3"/>
        <v>27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4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>
        <v>26</v>
      </c>
      <c r="I45" s="191">
        <f t="shared" si="3"/>
        <v>27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4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>
        <v>27</v>
      </c>
      <c r="I46" s="191">
        <f t="shared" si="3"/>
        <v>27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4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28</v>
      </c>
      <c r="I47" s="191">
        <f>22+5+65</f>
        <v>92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4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>
        <v>575</v>
      </c>
      <c r="F48" s="231"/>
      <c r="G48" s="203"/>
      <c r="H48" s="190">
        <v>29</v>
      </c>
      <c r="I48" s="191">
        <f t="shared" si="3"/>
        <v>27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4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30</v>
      </c>
      <c r="I49" s="191">
        <f t="shared" si="3"/>
        <v>27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4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31</v>
      </c>
      <c r="I50" s="191">
        <f t="shared" si="3"/>
        <v>27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4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32</v>
      </c>
      <c r="I51" s="191">
        <f t="shared" si="3"/>
        <v>27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4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33</v>
      </c>
      <c r="I52" s="191">
        <f t="shared" si="3"/>
        <v>27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4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34</v>
      </c>
      <c r="I53" s="191">
        <f>22+5+65</f>
        <v>92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4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16</v>
      </c>
      <c r="B54" s="181">
        <f>'Données projet'!D62</f>
        <v>15</v>
      </c>
      <c r="C54" s="191">
        <v>15</v>
      </c>
      <c r="D54" s="179">
        <f>B54*C54</f>
        <v>225</v>
      </c>
      <c r="E54" s="193"/>
      <c r="F54" s="232"/>
      <c r="G54" s="205"/>
      <c r="H54" s="190">
        <v>35</v>
      </c>
      <c r="I54" s="191">
        <f t="shared" si="3"/>
        <v>27</v>
      </c>
      <c r="J54" s="23"/>
      <c r="K54" s="173"/>
      <c r="L54" s="4"/>
      <c r="M54" s="4"/>
      <c r="N54" s="4"/>
      <c r="O54" s="194" t="str">
        <f>IF(O53+1&lt;=MIN('Données projet'!$E$9:$E$18),O53+1,"STOP")</f>
        <v>STOP</v>
      </c>
      <c r="P54" s="185" t="e">
        <f t="shared" si="4"/>
        <v>#VALUE!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20</v>
      </c>
      <c r="B55" s="181">
        <f>'Données projet'!D63</f>
        <v>22</v>
      </c>
      <c r="C55" s="191">
        <v>20</v>
      </c>
      <c r="D55" s="179">
        <f t="shared" ref="D55:D73" si="5">B55*C55</f>
        <v>440</v>
      </c>
      <c r="E55" s="193"/>
      <c r="F55" s="232"/>
      <c r="G55" s="205"/>
      <c r="H55" s="190">
        <v>36</v>
      </c>
      <c r="I55" s="191">
        <f t="shared" si="3"/>
        <v>27</v>
      </c>
      <c r="J55" s="23"/>
      <c r="K55" s="173"/>
      <c r="L55" s="4"/>
      <c r="M55" s="4"/>
      <c r="N55" s="4"/>
      <c r="O55" s="194" t="e">
        <f>IF(O54+1&lt;=MIN('Données projet'!$E$9:$E$18),O54+1,"STOP")</f>
        <v>#VALUE!</v>
      </c>
      <c r="P55" s="185" t="e">
        <f t="shared" si="4"/>
        <v>#VALUE!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24</v>
      </c>
      <c r="B56" s="181">
        <f>'Données projet'!D64</f>
        <v>31</v>
      </c>
      <c r="C56" s="191">
        <v>25</v>
      </c>
      <c r="D56" s="179">
        <f t="shared" si="5"/>
        <v>775</v>
      </c>
      <c r="E56" s="193"/>
      <c r="F56" s="232"/>
      <c r="G56" s="205"/>
      <c r="H56" s="190">
        <v>37</v>
      </c>
      <c r="I56" s="191">
        <f t="shared" si="3"/>
        <v>27</v>
      </c>
      <c r="J56" s="23"/>
      <c r="K56" s="173"/>
      <c r="L56" s="4"/>
      <c r="M56" s="4"/>
      <c r="N56" s="4"/>
      <c r="O56" s="194" t="e">
        <f>IF(O55+1&lt;=MIN('Données projet'!$E$9:$E$18),O55+1,"STOP")</f>
        <v>#VALUE!</v>
      </c>
      <c r="P56" s="185" t="e">
        <f t="shared" si="4"/>
        <v>#VALUE!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28</v>
      </c>
      <c r="B57" s="181">
        <f>'Données projet'!D65</f>
        <v>35</v>
      </c>
      <c r="C57" s="191">
        <v>30</v>
      </c>
      <c r="D57" s="179">
        <f t="shared" si="5"/>
        <v>1050</v>
      </c>
      <c r="E57" s="193"/>
      <c r="F57" s="232"/>
      <c r="G57" s="205"/>
      <c r="H57" s="190">
        <v>38</v>
      </c>
      <c r="I57" s="191">
        <f t="shared" si="3"/>
        <v>27</v>
      </c>
      <c r="J57" s="23"/>
      <c r="K57" s="173"/>
      <c r="L57" s="4"/>
      <c r="M57" s="4"/>
      <c r="N57" s="4"/>
      <c r="O57" s="194" t="e">
        <f>IF(O56+1&lt;=MIN('Données projet'!$E$9:$E$18),O56+1,"STOP")</f>
        <v>#VALUE!</v>
      </c>
      <c r="P57" s="185" t="e">
        <f t="shared" si="4"/>
        <v>#VALUE!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34</v>
      </c>
      <c r="B58" s="181">
        <f>'Données projet'!D66</f>
        <v>46</v>
      </c>
      <c r="C58" s="191">
        <v>35</v>
      </c>
      <c r="D58" s="179">
        <f t="shared" si="5"/>
        <v>1610</v>
      </c>
      <c r="E58" s="193"/>
      <c r="F58" s="232"/>
      <c r="G58" s="205"/>
      <c r="H58" s="190">
        <v>39</v>
      </c>
      <c r="I58" s="191">
        <f t="shared" si="3"/>
        <v>27</v>
      </c>
      <c r="J58" s="23"/>
      <c r="K58" s="173"/>
      <c r="L58" s="4"/>
      <c r="M58" s="4"/>
      <c r="N58" s="4"/>
      <c r="O58" s="194" t="e">
        <f>IF(O57+1&lt;=MIN('Données projet'!$E$9:$E$18),O57+1,"STOP")</f>
        <v>#VALUE!</v>
      </c>
      <c r="P58" s="185" t="e">
        <f t="shared" si="4"/>
        <v>#VALUE!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40</v>
      </c>
      <c r="B59" s="181">
        <f>'Données projet'!D67</f>
        <v>41</v>
      </c>
      <c r="C59" s="191">
        <v>40</v>
      </c>
      <c r="D59" s="179">
        <f t="shared" si="5"/>
        <v>1640</v>
      </c>
      <c r="E59" s="193"/>
      <c r="F59" s="232"/>
      <c r="G59" s="205"/>
      <c r="H59" s="190">
        <v>40</v>
      </c>
      <c r="I59" s="191">
        <f>22+5+65</f>
        <v>92</v>
      </c>
      <c r="J59" s="23"/>
      <c r="K59" s="173"/>
      <c r="L59" s="4"/>
      <c r="M59" s="4"/>
      <c r="N59" s="4"/>
      <c r="O59" s="194" t="e">
        <f>IF(O58+1&lt;=MIN('Données projet'!$E$9:$E$18),O58+1,"STOP")</f>
        <v>#VALUE!</v>
      </c>
      <c r="P59" s="185" t="e">
        <f t="shared" si="4"/>
        <v>#VALUE!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46</v>
      </c>
      <c r="B60" s="181">
        <f>'Données projet'!D68</f>
        <v>29</v>
      </c>
      <c r="C60" s="191">
        <v>45</v>
      </c>
      <c r="D60" s="179">
        <f t="shared" si="5"/>
        <v>1305</v>
      </c>
      <c r="E60" s="193"/>
      <c r="F60" s="232"/>
      <c r="G60" s="206"/>
      <c r="H60" s="190">
        <v>41</v>
      </c>
      <c r="I60" s="191">
        <f t="shared" si="3"/>
        <v>27</v>
      </c>
      <c r="J60" s="23"/>
      <c r="K60" s="173"/>
      <c r="L60" s="4"/>
      <c r="M60" s="4"/>
      <c r="N60" s="4"/>
      <c r="O60" s="194" t="e">
        <f>IF(O59+1&lt;=MIN('Données projet'!$E$9:$E$18),O59+1,"STOP")</f>
        <v>#VALUE!</v>
      </c>
      <c r="P60" s="185" t="e">
        <f t="shared" si="4"/>
        <v>#VALUE!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54</v>
      </c>
      <c r="B61" s="181">
        <f>'Données projet'!D69</f>
        <v>16</v>
      </c>
      <c r="C61" s="191">
        <v>50</v>
      </c>
      <c r="D61" s="179">
        <f t="shared" si="5"/>
        <v>800</v>
      </c>
      <c r="E61" s="193"/>
      <c r="F61" s="232"/>
      <c r="G61" s="206"/>
      <c r="H61" s="190">
        <v>42</v>
      </c>
      <c r="I61" s="191">
        <f t="shared" si="3"/>
        <v>27</v>
      </c>
      <c r="J61" s="23"/>
      <c r="K61" s="173"/>
      <c r="L61" s="4"/>
      <c r="M61" s="4"/>
      <c r="N61" s="4"/>
      <c r="O61" s="194" t="e">
        <f>IF(O60+1&lt;=MIN('Données projet'!$E$9:$E$18),O60+1,"STOP")</f>
        <v>#VALUE!</v>
      </c>
      <c r="P61" s="185" t="e">
        <f t="shared" si="4"/>
        <v>#VALUE!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62</v>
      </c>
      <c r="B62" s="181">
        <f>'Données projet'!D70</f>
        <v>316</v>
      </c>
      <c r="C62" s="191">
        <v>55</v>
      </c>
      <c r="D62" s="179">
        <f t="shared" si="5"/>
        <v>17380</v>
      </c>
      <c r="E62" s="193"/>
      <c r="F62" s="232"/>
      <c r="G62" s="206"/>
      <c r="H62" s="190">
        <v>43</v>
      </c>
      <c r="I62" s="191">
        <f t="shared" si="3"/>
        <v>27</v>
      </c>
      <c r="J62" s="23"/>
      <c r="K62" s="173"/>
      <c r="L62" s="4"/>
      <c r="M62" s="4"/>
      <c r="N62" s="4"/>
      <c r="O62" s="194" t="e">
        <f>IF(O61+1&lt;=MIN('Données projet'!$E$9:$E$18),O61+1,"STOP")</f>
        <v>#VALUE!</v>
      </c>
      <c r="P62" s="185" t="e">
        <f t="shared" si="4"/>
        <v>#VALUE!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0</v>
      </c>
      <c r="B63" s="181">
        <f>'Données projet'!D71</f>
        <v>0</v>
      </c>
      <c r="C63" s="191"/>
      <c r="D63" s="179">
        <f t="shared" si="5"/>
        <v>0</v>
      </c>
      <c r="E63" s="193"/>
      <c r="F63" s="232"/>
      <c r="G63" s="206"/>
      <c r="H63" s="190">
        <v>44</v>
      </c>
      <c r="I63" s="191">
        <f t="shared" si="3"/>
        <v>27</v>
      </c>
      <c r="J63" s="23"/>
      <c r="K63" s="173"/>
      <c r="L63" s="4"/>
      <c r="M63" s="4"/>
      <c r="N63" s="4"/>
      <c r="O63" s="194" t="e">
        <f>IF(O62+1&lt;=MIN('Données projet'!$E$9:$E$18),O62+1,"STOP")</f>
        <v>#VALUE!</v>
      </c>
      <c r="P63" s="185" t="e">
        <f t="shared" si="4"/>
        <v>#VALUE!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5"/>
        <v>0</v>
      </c>
      <c r="E64" s="193"/>
      <c r="F64" s="232"/>
      <c r="G64" s="206"/>
      <c r="H64" s="190">
        <v>45</v>
      </c>
      <c r="I64" s="191">
        <f t="shared" si="3"/>
        <v>27</v>
      </c>
      <c r="J64" s="207"/>
      <c r="K64" s="173"/>
      <c r="L64" s="4"/>
      <c r="M64" s="4"/>
      <c r="N64" s="4"/>
      <c r="O64" s="194" t="e">
        <f>IF(O63+1&lt;=MIN('Données projet'!$E$9:$E$18),O63+1,"STOP")</f>
        <v>#VALUE!</v>
      </c>
      <c r="P64" s="185" t="e">
        <f t="shared" si="4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5"/>
        <v>0</v>
      </c>
      <c r="E65" s="193"/>
      <c r="F65" s="232"/>
      <c r="G65" s="206"/>
      <c r="H65" s="190">
        <v>46</v>
      </c>
      <c r="I65" s="191">
        <f>22+5+65</f>
        <v>92</v>
      </c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6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5"/>
        <v>0</v>
      </c>
      <c r="E66" s="193"/>
      <c r="F66" s="232"/>
      <c r="G66" s="206"/>
      <c r="H66" s="190">
        <v>47</v>
      </c>
      <c r="I66" s="191">
        <v>27</v>
      </c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6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5"/>
        <v>0</v>
      </c>
      <c r="E67" s="193"/>
      <c r="F67" s="232"/>
      <c r="G67" s="206"/>
      <c r="H67" s="190">
        <v>48</v>
      </c>
      <c r="I67" s="191">
        <f t="shared" si="3"/>
        <v>27</v>
      </c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6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5"/>
        <v>0</v>
      </c>
      <c r="E68" s="193"/>
      <c r="F68" s="232"/>
      <c r="G68" s="206"/>
      <c r="H68" s="190">
        <v>49</v>
      </c>
      <c r="I68" s="191">
        <f t="shared" si="3"/>
        <v>27</v>
      </c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6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5"/>
        <v>0</v>
      </c>
      <c r="E69" s="193"/>
      <c r="F69" s="232"/>
      <c r="G69" s="206"/>
      <c r="H69" s="190">
        <v>50</v>
      </c>
      <c r="I69" s="191">
        <f t="shared" si="3"/>
        <v>27</v>
      </c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6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5"/>
        <v>0</v>
      </c>
      <c r="E70" s="193"/>
      <c r="F70" s="232"/>
      <c r="G70" s="206"/>
      <c r="H70" s="190">
        <v>51</v>
      </c>
      <c r="I70" s="191">
        <f t="shared" si="3"/>
        <v>27</v>
      </c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6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5"/>
        <v>0</v>
      </c>
      <c r="E71" s="193"/>
      <c r="F71" s="232"/>
      <c r="G71" s="206"/>
      <c r="H71" s="190">
        <v>52</v>
      </c>
      <c r="I71" s="191">
        <f t="shared" si="3"/>
        <v>27</v>
      </c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6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5"/>
        <v>0</v>
      </c>
      <c r="E72" s="193"/>
      <c r="F72" s="232"/>
      <c r="G72" s="206"/>
      <c r="H72" s="190">
        <v>53</v>
      </c>
      <c r="I72" s="191">
        <f t="shared" si="3"/>
        <v>27</v>
      </c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6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5"/>
        <v>0</v>
      </c>
      <c r="E73" s="193"/>
      <c r="F73" s="232"/>
      <c r="G73" s="206"/>
      <c r="H73" s="190">
        <v>54</v>
      </c>
      <c r="I73" s="191">
        <f>22+5+65</f>
        <v>92</v>
      </c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6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>
        <v>55</v>
      </c>
      <c r="I74" s="191">
        <f t="shared" si="3"/>
        <v>27</v>
      </c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6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>
        <v>56</v>
      </c>
      <c r="I75" s="191">
        <f t="shared" si="3"/>
        <v>27</v>
      </c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6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Bouleau verruqueux</v>
      </c>
      <c r="C76" s="4"/>
      <c r="D76" s="4"/>
      <c r="E76" s="4"/>
      <c r="F76" s="230"/>
      <c r="G76" s="206"/>
      <c r="H76" s="190">
        <v>57</v>
      </c>
      <c r="I76" s="191">
        <f t="shared" si="3"/>
        <v>27</v>
      </c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6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>
        <v>58</v>
      </c>
      <c r="I77" s="191">
        <f t="shared" si="3"/>
        <v>27</v>
      </c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6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>
        <v>59</v>
      </c>
      <c r="I78" s="191">
        <f t="shared" si="3"/>
        <v>27</v>
      </c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6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v>3087.5</v>
      </c>
      <c r="F79" s="231"/>
      <c r="G79" s="206"/>
      <c r="H79" s="190">
        <v>60</v>
      </c>
      <c r="I79" s="191">
        <f t="shared" si="3"/>
        <v>27</v>
      </c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6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>
        <v>210</v>
      </c>
      <c r="F80" s="231"/>
      <c r="G80" s="23"/>
      <c r="H80" s="190">
        <v>61</v>
      </c>
      <c r="I80" s="191">
        <f t="shared" si="3"/>
        <v>27</v>
      </c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6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>
        <v>210</v>
      </c>
      <c r="F81" s="231"/>
      <c r="G81" s="23"/>
      <c r="H81" s="190">
        <v>62</v>
      </c>
      <c r="I81" s="191">
        <f>22+5+65</f>
        <v>92</v>
      </c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6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6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6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6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20</v>
      </c>
      <c r="B85" s="181">
        <f>'Données projet'!D88</f>
        <v>0</v>
      </c>
      <c r="C85" s="191">
        <v>10</v>
      </c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6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25</v>
      </c>
      <c r="B86" s="181">
        <f>'Données projet'!D89</f>
        <v>11</v>
      </c>
      <c r="C86" s="191"/>
      <c r="D86" s="179">
        <f t="shared" ref="D86:D104" si="7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6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30</v>
      </c>
      <c r="B87" s="181">
        <f>'Données projet'!D90</f>
        <v>7</v>
      </c>
      <c r="C87" s="191"/>
      <c r="D87" s="179">
        <f t="shared" si="7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6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35</v>
      </c>
      <c r="B88" s="181">
        <f>'Données projet'!D91</f>
        <v>75</v>
      </c>
      <c r="C88" s="191"/>
      <c r="D88" s="179">
        <f t="shared" si="7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6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0</v>
      </c>
      <c r="B89" s="181">
        <f>'Données projet'!D92</f>
        <v>0</v>
      </c>
      <c r="C89" s="191"/>
      <c r="D89" s="179">
        <f t="shared" si="7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6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0</v>
      </c>
      <c r="B90" s="181">
        <f>'Données projet'!D93</f>
        <v>0</v>
      </c>
      <c r="C90" s="191"/>
      <c r="D90" s="179">
        <f t="shared" si="7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6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0</v>
      </c>
      <c r="B91" s="181">
        <f>'Données projet'!D94</f>
        <v>0</v>
      </c>
      <c r="C91" s="191"/>
      <c r="D91" s="179">
        <f t="shared" si="7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6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0</v>
      </c>
      <c r="B92" s="181">
        <f>'Données projet'!D95</f>
        <v>0</v>
      </c>
      <c r="C92" s="191"/>
      <c r="D92" s="179">
        <f t="shared" si="7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6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0</v>
      </c>
      <c r="B93" s="181">
        <f>'Données projet'!D96</f>
        <v>0</v>
      </c>
      <c r="C93" s="191"/>
      <c r="D93" s="179">
        <f t="shared" si="7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6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7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6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7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6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7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6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7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8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7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8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7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8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7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8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7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8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7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8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7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8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7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8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8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8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>Chêne-liège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8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8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8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15312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8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8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8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8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8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8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8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9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8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9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8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9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8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9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8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9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8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9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8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9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8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9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8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9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8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9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8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9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8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9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8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9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10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9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10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9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10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9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10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9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9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9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>Chêne vert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15312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1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1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1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1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1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1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1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1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1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1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1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1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1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1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1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1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1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1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1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>Chêne rouge d'Amérique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v>15312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2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2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2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2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2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2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2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2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2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2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2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2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2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2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2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2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2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2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2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>Chêne pubescent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>
        <v>15312</v>
      </c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3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3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3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3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3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3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3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3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3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3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3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3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3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3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3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3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3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3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3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>Chêne tauzin</v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>
        <v>15312</v>
      </c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4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4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4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4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4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4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4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4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4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4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4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4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4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4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4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4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4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4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4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5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5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5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5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5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5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5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5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5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5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5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5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5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5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5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5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5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5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5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6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6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6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6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6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6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6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6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6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6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6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6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6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6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6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6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6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6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6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Clémentine LANDAIS</cp:lastModifiedBy>
  <dcterms:created xsi:type="dcterms:W3CDTF">2021-02-01T08:22:39Z</dcterms:created>
  <dcterms:modified xsi:type="dcterms:W3CDTF">2025-02-12T08:59:49Z</dcterms:modified>
</cp:coreProperties>
</file>