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GF DE LHOSPITAL - LA TESTE DE BUCH 11 BEL2\Dossier à déposer\"/>
    </mc:Choice>
  </mc:AlternateContent>
  <xr:revisionPtr revIDLastSave="0" documentId="13_ncr:1_{103D4AD5-C149-4892-B028-4A0C808E623C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<sst xmlns="http://schemas.openxmlformats.org/spreadsheetml/2006/main" count="1166" uniqueCount="324">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</sst>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1.9269628804625836</c:v>
                </c:pt>
                <c:pt idx="2">
                  <c:v>2.3942745364663698</c:v>
                </c:pt>
                <c:pt idx="3">
                  <c:v>2.9753588455728068</c:v>
                </c:pt>
                <c:pt idx="4">
                  <c:v>3.698017265780404</c:v>
                </c:pt>
                <c:pt idx="5">
                  <c:v>4.5968682174497255</c:v>
                </c:pt>
                <c:pt idx="6">
                  <c:v>5.7150239571249024</c:v>
                </c:pt>
                <c:pt idx="7">
                  <c:v>7.1061811538250064</c:v>
                </c:pt>
                <c:pt idx="8">
                  <c:v>8.8372275083304022</c:v>
                </c:pt>
                <c:pt idx="9">
                  <c:v>10.991492135053365</c:v>
                </c:pt>
                <c:pt idx="10">
                  <c:v>13.672799112874564</c:v>
                </c:pt>
                <c:pt idx="11">
                  <c:v>17.010523176738136</c:v>
                </c:pt>
                <c:pt idx="12">
                  <c:v>21.165895928647302</c:v>
                </c:pt>
                <c:pt idx="13">
                  <c:v>26.339872647679513</c:v>
                </c:pt>
                <c:pt idx="14">
                  <c:v>32.782946838762619</c:v>
                </c:pt>
                <c:pt idx="15">
                  <c:v>40.807395909670674</c:v>
                </c:pt>
                <c:pt idx="16">
                  <c:v>50.802561592342414</c:v>
                </c:pt>
                <c:pt idx="17">
                  <c:v>63.253918911800632</c:v>
                </c:pt>
                <c:pt idx="18">
                  <c:v>78.766875132901632</c:v>
                </c:pt>
                <c:pt idx="19">
                  <c:v>98.096474531132984</c:v>
                </c:pt>
                <c:pt idx="20">
                  <c:v>122.18447772619766</c:v>
                </c:pt>
                <c:pt idx="21">
                  <c:v>152.20565029747607</c:v>
                </c:pt>
                <c:pt idx="22">
                  <c:v>128.36948934023431</c:v>
                </c:pt>
                <c:pt idx="23">
                  <c:v>143.65063924383099</c:v>
                </c:pt>
                <c:pt idx="24">
                  <c:v>158.89285513276243</c:v>
                </c:pt>
                <c:pt idx="25">
                  <c:v>174.10040072649755</c:v>
                </c:pt>
                <c:pt idx="26">
                  <c:v>189.27673263786542</c:v>
                </c:pt>
                <c:pt idx="27">
                  <c:v>204.42470709321393</c:v>
                </c:pt>
                <c:pt idx="28">
                  <c:v>219.54672196983498</c:v>
                </c:pt>
                <c:pt idx="29">
                  <c:v>184.00538175094985</c:v>
                </c:pt>
                <c:pt idx="30">
                  <c:v>197.5929938437981</c:v>
                </c:pt>
                <c:pt idx="31">
                  <c:v>211.15892501458293</c:v>
                </c:pt>
                <c:pt idx="32">
                  <c:v>224.7047649504525</c:v>
                </c:pt>
                <c:pt idx="33">
                  <c:v>238.23189586782055</c:v>
                </c:pt>
                <c:pt idx="34">
                  <c:v>251.74153008738961</c:v>
                </c:pt>
                <c:pt idx="35">
                  <c:v>265.23473910996825</c:v>
                </c:pt>
                <c:pt idx="36">
                  <c:v>278.7124764590701</c:v>
                </c:pt>
                <c:pt idx="37">
                  <c:v>227.85556205190468</c:v>
                </c:pt>
                <c:pt idx="38">
                  <c:v>238.73255770354208</c:v>
                </c:pt>
                <c:pt idx="39">
                  <c:v>249.59826649936761</c:v>
                </c:pt>
                <c:pt idx="40">
                  <c:v>260.45324936356457</c:v>
                </c:pt>
                <c:pt idx="41">
                  <c:v>271.29801661196126</c:v>
                </c:pt>
                <c:pt idx="42">
                  <c:v>282.1330344023217</c:v>
                </c:pt>
                <c:pt idx="43">
                  <c:v>292.9587301411222</c:v>
                </c:pt>
                <c:pt idx="44">
                  <c:v>303.77549704875565</c:v>
                </c:pt>
                <c:pt idx="45">
                  <c:v>314.58369804007623</c:v>
                </c:pt>
                <c:pt idx="46">
                  <c:v>251.99869384485862</c:v>
                </c:pt>
                <c:pt idx="47">
                  <c:v>259.96785362161279</c:v>
                </c:pt>
                <c:pt idx="48">
                  <c:v>267.93149565924278</c:v>
                </c:pt>
                <c:pt idx="49">
                  <c:v>275.88980726802299</c:v>
                </c:pt>
                <c:pt idx="50">
                  <c:v>283.84296405810721</c:v>
                </c:pt>
                <c:pt idx="51">
                  <c:v>291.79113098496731</c:v>
                </c:pt>
                <c:pt idx="52">
                  <c:v>299.7344632748671</c:v>
                </c:pt>
                <c:pt idx="53">
                  <c:v>307.67310724702298</c:v>
                </c:pt>
                <c:pt idx="54">
                  <c:v>315.60720104640683</c:v>
                </c:pt>
                <c:pt idx="55">
                  <c:v>323.53687529895296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J17" sqref="J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5.3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v>114</v>
      </c>
      <c r="C36" s="63">
        <v>1</v>
      </c>
      <c r="D36" s="63">
        <v>30</v>
      </c>
      <c r="E36" s="54"/>
      <c r="F36" s="54"/>
      <c r="G36" s="54">
        <v>1</v>
      </c>
      <c r="H36" s="54"/>
      <c r="I36" s="52">
        <f>IFERROR(B36/A36,"")</f>
        <v>5.4285714285714288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166</v>
      </c>
      <c r="C37" s="63">
        <v>2</v>
      </c>
      <c r="D37" s="63">
        <v>38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11.714285714285714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149</v>
      </c>
      <c r="C38" s="63">
        <v>3</v>
      </c>
      <c r="D38" s="63">
        <v>0</v>
      </c>
      <c r="E38" s="54">
        <v>0.2</v>
      </c>
      <c r="F38" s="54">
        <v>0.2</v>
      </c>
      <c r="G38" s="54">
        <v>0.6</v>
      </c>
      <c r="H38" s="54"/>
      <c r="I38" s="56">
        <f t="shared" si="1"/>
        <v>10.5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36</v>
      </c>
      <c r="B39" s="63">
        <v>212</v>
      </c>
      <c r="C39" s="63">
        <v>4</v>
      </c>
      <c r="D39" s="63">
        <v>48</v>
      </c>
      <c r="E39" s="54">
        <v>0.5</v>
      </c>
      <c r="F39" s="54"/>
      <c r="G39" s="54">
        <v>0.5</v>
      </c>
      <c r="H39" s="54"/>
      <c r="I39" s="52">
        <f t="shared" si="1"/>
        <v>10.5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240</v>
      </c>
      <c r="C40" s="63">
        <v>5</v>
      </c>
      <c r="D40" s="63">
        <v>55</v>
      </c>
      <c r="E40" s="54">
        <v>0.5</v>
      </c>
      <c r="F40" s="54"/>
      <c r="G40" s="54">
        <v>0.5</v>
      </c>
      <c r="H40" s="54"/>
      <c r="I40" s="52">
        <f t="shared" si="1"/>
        <v>8.4444444444444446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55</v>
      </c>
      <c r="B41" s="63">
        <v>247</v>
      </c>
      <c r="C41" s="63">
        <v>6</v>
      </c>
      <c r="D41" s="63">
        <v>247</v>
      </c>
      <c r="E41" s="54">
        <v>0.7</v>
      </c>
      <c r="F41" s="54"/>
      <c r="G41" s="54">
        <v>0.3</v>
      </c>
      <c r="H41" s="54"/>
      <c r="I41" s="56">
        <f t="shared" si="1"/>
        <v>6.2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125.50615549487452</v>
      </c>
      <c r="T3" s="62">
        <f>IF('Données projet'!E9&gt;30,$R$33-$H$33,LOOKUP('Données projet'!$E$9,$A$3:$A$203,R3:R203)-LOOKUP('Données projet'!$E$9,$A$3:$A$203,$H$3:$H$203))</f>
        <v>156.05798578195993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5.4285714285714288</v>
      </c>
      <c r="N4" s="14">
        <f>IF('Données projet'!$A$36&gt;35,N3+M4-V3,IF(A4&lt;'Données projet'!$A$36,$K$205^A4,IF(A4='Données projet'!$A$36,'Données projet'!$B$36,N3+M4-V3)))</f>
        <v>1.2529907072018422</v>
      </c>
      <c r="O4" s="14">
        <f>N4*VLOOKUP('Données projet'!$B$9,Paramètres!$A$1:$I$89,3,0)*VLOOKUP('Données projet'!$B$9,Paramètres!$A$1:$I$89,5,0)</f>
        <v>0.74928844290670171</v>
      </c>
      <c r="P4" s="14">
        <f>EXP(-1.0587+0.8836*LN(O4)+0.284)</f>
        <v>0.35710172769382492</v>
      </c>
      <c r="Q4" s="22">
        <f t="shared" ref="Q4:Q34" si="2">(O4+P4)*0.475*44/12</f>
        <v>1.9269628804625836</v>
      </c>
      <c r="R4" s="62">
        <f t="shared" si="0"/>
        <v>295.26029621379593</v>
      </c>
      <c r="S4" s="62">
        <f ca="1">AVERAGE(OFFSET($R$3,0,0,'Données projet'!$E$9+1,1))-AVERAGE(OFFSET($H$3,0,0,'Données projet'!$E$9+1,1))</f>
        <v>125.50615549487452</v>
      </c>
      <c r="T4" s="62">
        <f>$T$3</f>
        <v>156.05798578195993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5.4285714285714288</v>
      </c>
      <c r="N5" s="14">
        <f>IF('Données projet'!$A$36&gt;35,N4+M5-V4,IF(A5&lt;'Données projet'!$A$36,$K$205^A5,IF(A5='Données projet'!$A$36,'Données projet'!$B$36,N4+M5-V4)))</f>
        <v>1.5699857123341727</v>
      </c>
      <c r="O5" s="14">
        <f>N5*VLOOKUP('Données projet'!$B$9,Paramètres!$A$1:$I$89,3,0)*VLOOKUP('Données projet'!$B$9,Paramètres!$A$1:$I$89,5,0)</f>
        <v>0.93885145597583541</v>
      </c>
      <c r="P5" s="14">
        <f t="shared" ref="P5:P68" si="33">EXP(-1.0587+0.8836*LN(O5)+0.284)</f>
        <v>0.43585162716275028</v>
      </c>
      <c r="Q5" s="22">
        <f t="shared" si="2"/>
        <v>2.3942745364663698</v>
      </c>
      <c r="R5" s="62">
        <f t="shared" si="0"/>
        <v>295.72760786979967</v>
      </c>
      <c r="S5" s="62">
        <f ca="1">AVERAGE(OFFSET($R$3,0,0,'Données projet'!$E$9+1,1))-AVERAGE(OFFSET($H$3,0,0,'Données projet'!$E$9+1,1))</f>
        <v>125.50615549487452</v>
      </c>
      <c r="T5" s="62">
        <f t="shared" ref="T5:T68" si="34">$T$3</f>
        <v>156.05798578195993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5.4285714285714288</v>
      </c>
      <c r="N6" s="14">
        <f>IF('Données projet'!$A$36&gt;35,N5+M6-V5,IF(A6&lt;'Données projet'!$A$36,$K$205^A6,IF(A6='Données projet'!$A$36,'Données projet'!$B$36,N5+M6-V5)))</f>
        <v>1.9671775079943832</v>
      </c>
      <c r="O6" s="14">
        <f>N6*VLOOKUP('Données projet'!$B$9,Paramètres!$A$1:$I$89,3,0)*VLOOKUP('Données projet'!$B$9,Paramètres!$A$1:$I$89,5,0)</f>
        <v>1.1763721497806412</v>
      </c>
      <c r="P6" s="14">
        <f t="shared" si="33"/>
        <v>0.53196785724680784</v>
      </c>
      <c r="Q6" s="22">
        <f t="shared" si="2"/>
        <v>2.9753588455728068</v>
      </c>
      <c r="R6" s="62">
        <f t="shared" si="0"/>
        <v>296.30869217890614</v>
      </c>
      <c r="S6" s="62">
        <f ca="1">AVERAGE(OFFSET($R$3,0,0,'Données projet'!$E$9+1,1))-AVERAGE(OFFSET($H$3,0,0,'Données projet'!$E$9+1,1))</f>
        <v>125.50615549487452</v>
      </c>
      <c r="T6" s="62">
        <f t="shared" si="34"/>
        <v>156.05798578195993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5.4285714285714288</v>
      </c>
      <c r="N7" s="14">
        <f>IF('Données projet'!$A$36&gt;35,N6+M7-V6,IF(A7&lt;'Données projet'!$A$36,$K$205^A7,IF(A7='Données projet'!$A$36,'Données projet'!$B$36,N6+M7-V6)))</f>
        <v>2.4648551369334397</v>
      </c>
      <c r="O7" s="14">
        <f>N7*VLOOKUP('Données projet'!$B$9,Paramètres!$A$1:$I$89,3,0)*VLOOKUP('Données projet'!$B$9,Paramètres!$A$1:$I$89,5,0)</f>
        <v>1.4739833718861972</v>
      </c>
      <c r="P7" s="14">
        <f t="shared" si="33"/>
        <v>0.64928012999728812</v>
      </c>
      <c r="Q7" s="22">
        <f t="shared" si="2"/>
        <v>3.698017265780404</v>
      </c>
      <c r="R7" s="62">
        <f t="shared" si="0"/>
        <v>297.03135059911369</v>
      </c>
      <c r="S7" s="62">
        <f ca="1">AVERAGE(OFFSET($R$3,0,0,'Données projet'!$E$9+1,1))-AVERAGE(OFFSET($H$3,0,0,'Données projet'!$E$9+1,1))</f>
        <v>125.50615549487452</v>
      </c>
      <c r="T7" s="62">
        <f t="shared" si="34"/>
        <v>156.05798578195993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5.4285714285714288</v>
      </c>
      <c r="N8" s="14">
        <f>IF('Données projet'!$A$36&gt;35,N7+M8-V7,IF(A8&lt;'Données projet'!$A$36,$K$205^A8,IF(A8='Données projet'!$A$36,'Données projet'!$B$36,N7+M8-V7)))</f>
        <v>3.0884405811763243</v>
      </c>
      <c r="O8" s="14">
        <f>N8*VLOOKUP('Données projet'!$B$9,Paramètres!$A$1:$I$89,3,0)*VLOOKUP('Données projet'!$B$9,Paramètres!$A$1:$I$89,5,0)</f>
        <v>1.8468874675434421</v>
      </c>
      <c r="P8" s="14">
        <f t="shared" si="33"/>
        <v>0.79246270515496464</v>
      </c>
      <c r="Q8" s="22">
        <f t="shared" si="2"/>
        <v>4.5968682174497255</v>
      </c>
      <c r="R8" s="62">
        <f t="shared" si="0"/>
        <v>297.93020155078307</v>
      </c>
      <c r="S8" s="62">
        <f ca="1">AVERAGE(OFFSET($R$3,0,0,'Données projet'!$E$9+1,1))-AVERAGE(OFFSET($H$3,0,0,'Données projet'!$E$9+1,1))</f>
        <v>125.50615549487452</v>
      </c>
      <c r="T8" s="62">
        <f t="shared" si="34"/>
        <v>156.05798578195993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5.4285714285714288</v>
      </c>
      <c r="N9" s="14">
        <f>IF('Données projet'!$A$36&gt;35,N8+M9-V8,IF(A9&lt;'Données projet'!$A$36,$K$205^A9,IF(A9='Données projet'!$A$36,'Données projet'!$B$36,N8+M9-V8)))</f>
        <v>3.869787347958991</v>
      </c>
      <c r="O9" s="14">
        <f>N9*VLOOKUP('Données projet'!$B$9,Paramètres!$A$1:$I$89,3,0)*VLOOKUP('Données projet'!$B$9,Paramètres!$A$1:$I$89,5,0)</f>
        <v>2.3141328340794769</v>
      </c>
      <c r="P9" s="14">
        <f t="shared" si="33"/>
        <v>0.96722063412620896</v>
      </c>
      <c r="Q9" s="22">
        <f t="shared" si="2"/>
        <v>5.7150239571249024</v>
      </c>
      <c r="R9" s="62">
        <f t="shared" si="0"/>
        <v>299.04835729045823</v>
      </c>
      <c r="S9" s="62">
        <f ca="1">AVERAGE(OFFSET($R$3,0,0,'Données projet'!$E$9+1,1))-AVERAGE(OFFSET($H$3,0,0,'Données projet'!$E$9+1,1))</f>
        <v>125.50615549487452</v>
      </c>
      <c r="T9" s="62">
        <f t="shared" si="34"/>
        <v>156.05798578195993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5.4285714285714288</v>
      </c>
      <c r="N10" s="14">
        <f>IF('Données projet'!$A$36&gt;35,N9+M10-V9,IF(A10&lt;'Données projet'!$A$36,$K$205^A10,IF(A10='Données projet'!$A$36,'Données projet'!$B$36,N9+M10-V9)))</f>
        <v>4.8488075858398778</v>
      </c>
      <c r="O10" s="14">
        <f>N10*VLOOKUP('Données projet'!$B$9,Paramètres!$A$1:$I$89,3,0)*VLOOKUP('Données projet'!$B$9,Paramètres!$A$1:$I$89,5,0)</f>
        <v>2.8995869363322471</v>
      </c>
      <c r="P10" s="14">
        <f t="shared" si="33"/>
        <v>1.180517075433307</v>
      </c>
      <c r="Q10" s="22">
        <f t="shared" si="2"/>
        <v>7.1061811538250064</v>
      </c>
      <c r="R10" s="62">
        <f t="shared" si="0"/>
        <v>300.43951448715831</v>
      </c>
      <c r="S10" s="62">
        <f ca="1">AVERAGE(OFFSET($R$3,0,0,'Données projet'!$E$9+1,1))-AVERAGE(OFFSET($H$3,0,0,'Données projet'!$E$9+1,1))</f>
        <v>125.50615549487452</v>
      </c>
      <c r="T10" s="62">
        <f t="shared" si="34"/>
        <v>156.05798578195993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5.4285714285714288</v>
      </c>
      <c r="N11" s="14">
        <f>IF('Données projet'!$A$36&gt;35,N10+M11-V10,IF(A11&lt;'Données projet'!$A$36,$K$205^A11,IF(A11='Données projet'!$A$36,'Données projet'!$B$36,N10+M11-V10)))</f>
        <v>6.0755108460671661</v>
      </c>
      <c r="O11" s="14">
        <f>N11*VLOOKUP('Données projet'!$B$9,Paramètres!$A$1:$I$89,3,0)*VLOOKUP('Données projet'!$B$9,Paramètres!$A$1:$I$89,5,0)</f>
        <v>3.6331554859481652</v>
      </c>
      <c r="P11" s="14">
        <f t="shared" si="33"/>
        <v>1.4408507389305341</v>
      </c>
      <c r="Q11" s="22">
        <f t="shared" si="2"/>
        <v>8.8372275083304022</v>
      </c>
      <c r="R11" s="62">
        <f t="shared" si="0"/>
        <v>302.1705608416637</v>
      </c>
      <c r="S11" s="62">
        <f ca="1">AVERAGE(OFFSET($R$3,0,0,'Données projet'!$E$9+1,1))-AVERAGE(OFFSET($H$3,0,0,'Données projet'!$E$9+1,1))</f>
        <v>125.50615549487452</v>
      </c>
      <c r="T11" s="62">
        <f t="shared" si="34"/>
        <v>156.05798578195993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5.4285714285714288</v>
      </c>
      <c r="N12" s="14">
        <f>IF('Données projet'!$A$36&gt;35,N11+M12-V11,IF(A12&lt;'Données projet'!$A$36,$K$205^A12,IF(A12='Données projet'!$A$36,'Données projet'!$B$36,N11+M12-V11)))</f>
        <v>7.6125586316261611</v>
      </c>
      <c r="O12" s="14">
        <f>N12*VLOOKUP('Données projet'!$B$9,Paramètres!$A$1:$I$89,3,0)*VLOOKUP('Données projet'!$B$9,Paramètres!$A$1:$I$89,5,0)</f>
        <v>4.5523100617124452</v>
      </c>
      <c r="P12" s="14">
        <f t="shared" si="33"/>
        <v>1.7585945134378136</v>
      </c>
      <c r="Q12" s="22">
        <f t="shared" si="2"/>
        <v>10.991492135053365</v>
      </c>
      <c r="R12" s="62">
        <f t="shared" si="0"/>
        <v>304.32482546838668</v>
      </c>
      <c r="S12" s="62">
        <f ca="1">AVERAGE(OFFSET($R$3,0,0,'Données projet'!$E$9+1,1))-AVERAGE(OFFSET($H$3,0,0,'Données projet'!$E$9+1,1))</f>
        <v>125.50615549487452</v>
      </c>
      <c r="T12" s="62">
        <f t="shared" si="34"/>
        <v>156.05798578195993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5.4285714285714288</v>
      </c>
      <c r="N13" s="14">
        <f>IF('Données projet'!$A$36&gt;35,N12+M13-V12,IF(A13&lt;'Données projet'!$A$36,$K$205^A13,IF(A13='Données projet'!$A$36,'Données projet'!$B$36,N12+M13-V12)))</f>
        <v>9.5384652234567522</v>
      </c>
      <c r="O13" s="14">
        <f>N13*VLOOKUP('Données projet'!$B$9,Paramètres!$A$1:$I$89,3,0)*VLOOKUP('Données projet'!$B$9,Paramètres!$A$1:$I$89,5,0)</f>
        <v>5.7040022036271392</v>
      </c>
      <c r="P13" s="14">
        <f t="shared" si="33"/>
        <v>2.1464087702721311</v>
      </c>
      <c r="Q13" s="22">
        <f t="shared" si="2"/>
        <v>13.672799112874564</v>
      </c>
      <c r="R13" s="62">
        <f t="shared" si="0"/>
        <v>307.00613244620786</v>
      </c>
      <c r="S13" s="62">
        <f ca="1">AVERAGE(OFFSET($R$3,0,0,'Données projet'!$E$9+1,1))-AVERAGE(OFFSET($H$3,0,0,'Données projet'!$E$9+1,1))</f>
        <v>125.50615549487452</v>
      </c>
      <c r="T13" s="62">
        <f t="shared" si="34"/>
        <v>156.05798578195993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5.4285714285714288</v>
      </c>
      <c r="N14" s="14">
        <f>IF('Données projet'!$A$36&gt;35,N13+M14-V13,IF(A14&lt;'Données projet'!$A$36,$K$205^A14,IF(A14='Données projet'!$A$36,'Données projet'!$B$36,N13+M14-V13)))</f>
        <v>11.951608285959255</v>
      </c>
      <c r="O14" s="14">
        <f>N14*VLOOKUP('Données projet'!$B$9,Paramètres!$A$1:$I$89,3,0)*VLOOKUP('Données projet'!$B$9,Paramètres!$A$1:$I$89,5,0)</f>
        <v>7.1470617550036346</v>
      </c>
      <c r="P14" s="14">
        <f t="shared" si="33"/>
        <v>2.6197458105876406</v>
      </c>
      <c r="Q14" s="22">
        <f t="shared" si="2"/>
        <v>17.010523176738136</v>
      </c>
      <c r="R14" s="62">
        <f t="shared" si="0"/>
        <v>310.34385651007148</v>
      </c>
      <c r="S14" s="62">
        <f ca="1">AVERAGE(OFFSET($R$3,0,0,'Données projet'!$E$9+1,1))-AVERAGE(OFFSET($H$3,0,0,'Données projet'!$E$9+1,1))</f>
        <v>125.50615549487452</v>
      </c>
      <c r="T14" s="62">
        <f t="shared" si="34"/>
        <v>156.05798578195993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5.4285714285714288</v>
      </c>
      <c r="N15" s="14">
        <f>IF('Données projet'!$A$36&gt;35,N14+M15-V14,IF(A15&lt;'Données projet'!$A$36,$K$205^A15,IF(A15='Données projet'!$A$36,'Données projet'!$B$36,N14+M15-V14)))</f>
        <v>14.975254118423482</v>
      </c>
      <c r="O15" s="14">
        <f>N15*VLOOKUP('Données projet'!$B$9,Paramètres!$A$1:$I$89,3,0)*VLOOKUP('Données projet'!$B$9,Paramètres!$A$1:$I$89,5,0)</f>
        <v>8.9552019628172435</v>
      </c>
      <c r="P15" s="14">
        <f t="shared" si="33"/>
        <v>3.1974655560233125</v>
      </c>
      <c r="Q15" s="22">
        <f t="shared" si="2"/>
        <v>21.165895928647302</v>
      </c>
      <c r="R15" s="62">
        <f t="shared" si="0"/>
        <v>314.49922926198064</v>
      </c>
      <c r="S15" s="62">
        <f ca="1">AVERAGE(OFFSET($R$3,0,0,'Données projet'!$E$9+1,1))-AVERAGE(OFFSET($H$3,0,0,'Données projet'!$E$9+1,1))</f>
        <v>125.50615549487452</v>
      </c>
      <c r="T15" s="62">
        <f t="shared" si="34"/>
        <v>156.05798578195993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5.4285714285714288</v>
      </c>
      <c r="N16" s="14">
        <f>IF('Données projet'!$A$36&gt;35,N15+M16-V15,IF(A16&lt;'Données projet'!$A$36,$K$205^A16,IF(A16='Données projet'!$A$36,'Données projet'!$B$36,N15+M16-V15)))</f>
        <v>18.763854248370741</v>
      </c>
      <c r="O16" s="14">
        <f>N16*VLOOKUP('Données projet'!$B$9,Paramètres!$A$1:$I$89,3,0)*VLOOKUP('Données projet'!$B$9,Paramètres!$A$1:$I$89,5,0)</f>
        <v>11.220784840525702</v>
      </c>
      <c r="P16" s="14">
        <f t="shared" si="33"/>
        <v>3.9025870146012931</v>
      </c>
      <c r="Q16" s="22">
        <f t="shared" si="2"/>
        <v>26.339872647679513</v>
      </c>
      <c r="R16" s="62">
        <f t="shared" si="0"/>
        <v>319.67320598101281</v>
      </c>
      <c r="S16" s="62">
        <f ca="1">AVERAGE(OFFSET($R$3,0,0,'Données projet'!$E$9+1,1))-AVERAGE(OFFSET($H$3,0,0,'Données projet'!$E$9+1,1))</f>
        <v>125.50615549487452</v>
      </c>
      <c r="T16" s="62">
        <f t="shared" si="34"/>
        <v>156.05798578195993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5.4285714285714288</v>
      </c>
      <c r="N17" s="14">
        <f>IF('Données projet'!$A$36&gt;35,N16+M17-V16,IF(A17&lt;'Données projet'!$A$36,$K$205^A17,IF(A17='Données projet'!$A$36,'Données projet'!$B$36,N16+M17-V16)))</f>
        <v>23.510935004498343</v>
      </c>
      <c r="O17" s="14">
        <f>N17*VLOOKUP('Données projet'!$B$9,Paramètres!$A$1:$I$89,3,0)*VLOOKUP('Données projet'!$B$9,Paramètres!$A$1:$I$89,5,0)</f>
        <v>14.059539132690011</v>
      </c>
      <c r="P17" s="14">
        <f t="shared" si="33"/>
        <v>4.7632054637287231</v>
      </c>
      <c r="Q17" s="22">
        <f t="shared" si="2"/>
        <v>32.782946838762619</v>
      </c>
      <c r="R17" s="62">
        <f t="shared" si="0"/>
        <v>326.11628017209591</v>
      </c>
      <c r="S17" s="62">
        <f ca="1">AVERAGE(OFFSET($R$3,0,0,'Données projet'!$E$9+1,1))-AVERAGE(OFFSET($H$3,0,0,'Données projet'!$E$9+1,1))</f>
        <v>125.50615549487452</v>
      </c>
      <c r="T17" s="62">
        <f t="shared" si="34"/>
        <v>156.05798578195993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5.4285714285714288</v>
      </c>
      <c r="N18" s="14">
        <f>IF('Données projet'!$A$36&gt;35,N17+M18-V17,IF(A18&lt;'Données projet'!$A$36,$K$205^A18,IF(A18='Données projet'!$A$36,'Données projet'!$B$36,N17+M18-V17)))</f>
        <v>29.458983078262929</v>
      </c>
      <c r="O18" s="14">
        <f>N18*VLOOKUP('Données projet'!$B$9,Paramètres!$A$1:$I$89,3,0)*VLOOKUP('Données projet'!$B$9,Paramètres!$A$1:$I$89,5,0)</f>
        <v>17.616471880801232</v>
      </c>
      <c r="P18" s="14">
        <f t="shared" si="33"/>
        <v>5.8136118950862361</v>
      </c>
      <c r="Q18" s="22">
        <f t="shared" si="2"/>
        <v>40.807395909670674</v>
      </c>
      <c r="R18" s="62">
        <f t="shared" si="0"/>
        <v>334.14072924300399</v>
      </c>
      <c r="S18" s="62">
        <f ca="1">AVERAGE(OFFSET($R$3,0,0,'Données projet'!$E$9+1,1))-AVERAGE(OFFSET($H$3,0,0,'Données projet'!$E$9+1,1))</f>
        <v>125.50615549487452</v>
      </c>
      <c r="T18" s="62">
        <f t="shared" si="34"/>
        <v>156.05798578195993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5.4285714285714288</v>
      </c>
      <c r="N19" s="14">
        <f>IF('Données projet'!$A$36&gt;35,N18+M19-V18,IF(A19&lt;'Données projet'!$A$36,$K$205^A19,IF(A19='Données projet'!$A$36,'Données projet'!$B$36,N18+M19-V18)))</f>
        <v>36.911832040679769</v>
      </c>
      <c r="O19" s="14">
        <f>N19*VLOOKUP('Données projet'!$B$9,Paramètres!$A$1:$I$89,3,0)*VLOOKUP('Données projet'!$B$9,Paramètres!$A$1:$I$89,5,0)</f>
        <v>22.073275560326504</v>
      </c>
      <c r="P19" s="14">
        <f t="shared" si="33"/>
        <v>7.0956593252289464</v>
      </c>
      <c r="Q19" s="22">
        <f t="shared" si="2"/>
        <v>50.802561592342414</v>
      </c>
      <c r="R19" s="62">
        <f t="shared" si="0"/>
        <v>344.13589492567576</v>
      </c>
      <c r="S19" s="62">
        <f ca="1">AVERAGE(OFFSET($R$3,0,0,'Données projet'!$E$9+1,1))-AVERAGE(OFFSET($H$3,0,0,'Données projet'!$E$9+1,1))</f>
        <v>125.50615549487452</v>
      </c>
      <c r="T19" s="62">
        <f t="shared" si="34"/>
        <v>156.05798578195993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5.4285714285714288</v>
      </c>
      <c r="N20" s="14">
        <f>IF('Données projet'!$A$36&gt;35,N19+M20-V19,IF(A20&lt;'Données projet'!$A$36,$K$205^A20,IF(A20='Données projet'!$A$36,'Données projet'!$B$36,N19+M20-V19)))</f>
        <v>46.250182532766964</v>
      </c>
      <c r="O20" s="14">
        <f>N20*VLOOKUP('Données projet'!$B$9,Paramètres!$A$1:$I$89,3,0)*VLOOKUP('Données projet'!$B$9,Paramètres!$A$1:$I$89,5,0)</f>
        <v>27.657609154594645</v>
      </c>
      <c r="P20" s="14">
        <f t="shared" si="33"/>
        <v>8.660430411989454</v>
      </c>
      <c r="Q20" s="22">
        <f t="shared" si="2"/>
        <v>63.253918911800632</v>
      </c>
      <c r="R20" s="62">
        <f t="shared" si="0"/>
        <v>356.58725224513393</v>
      </c>
      <c r="S20" s="62">
        <f ca="1">AVERAGE(OFFSET($R$3,0,0,'Données projet'!$E$9+1,1))-AVERAGE(OFFSET($H$3,0,0,'Données projet'!$E$9+1,1))</f>
        <v>125.50615549487452</v>
      </c>
      <c r="T20" s="62">
        <f t="shared" si="34"/>
        <v>156.05798578195993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5.4285714285714288</v>
      </c>
      <c r="N21" s="14">
        <f>IF('Données projet'!$A$36&gt;35,N20+M21-V20,IF(A21&lt;'Données projet'!$A$36,$K$205^A21,IF(A21='Données projet'!$A$36,'Données projet'!$B$36,N20+M21-V20)))</f>
        <v>57.951048919945968</v>
      </c>
      <c r="O21" s="14">
        <f>N21*VLOOKUP('Données projet'!$B$9,Paramètres!$A$1:$I$89,3,0)*VLOOKUP('Données projet'!$B$9,Paramètres!$A$1:$I$89,5,0)</f>
        <v>34.654727254127693</v>
      </c>
      <c r="P21" s="14">
        <f t="shared" si="33"/>
        <v>10.57027282217947</v>
      </c>
      <c r="Q21" s="22">
        <f t="shared" si="2"/>
        <v>78.766875132901632</v>
      </c>
      <c r="R21" s="62">
        <f t="shared" si="0"/>
        <v>372.10020846623496</v>
      </c>
      <c r="S21" s="62">
        <f ca="1">AVERAGE(OFFSET($R$3,0,0,'Données projet'!$E$9+1,1))-AVERAGE(OFFSET($H$3,0,0,'Données projet'!$E$9+1,1))</f>
        <v>125.50615549487452</v>
      </c>
      <c r="T21" s="62">
        <f t="shared" si="34"/>
        <v>156.05798578195993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5.4285714285714288</v>
      </c>
      <c r="N22" s="14">
        <f>IF('Données projet'!$A$36&gt;35,N21+M22-V21,IF(A22&lt;'Données projet'!$A$36,$K$205^A22,IF(A22='Données projet'!$A$36,'Données projet'!$B$36,N21+M22-V21)))</f>
        <v>72.612125769291652</v>
      </c>
      <c r="O22" s="14">
        <f>N22*VLOOKUP('Données projet'!$B$9,Paramètres!$A$1:$I$89,3,0)*VLOOKUP('Données projet'!$B$9,Paramètres!$A$1:$I$89,5,0)</f>
        <v>43.422051210036408</v>
      </c>
      <c r="P22" s="14">
        <f t="shared" si="33"/>
        <v>12.901283448987318</v>
      </c>
      <c r="Q22" s="22">
        <f t="shared" si="2"/>
        <v>98.096474531132984</v>
      </c>
      <c r="R22" s="62">
        <f t="shared" si="0"/>
        <v>391.42980786446628</v>
      </c>
      <c r="S22" s="62">
        <f ca="1">AVERAGE(OFFSET($R$3,0,0,'Données projet'!$E$9+1,1))-AVERAGE(OFFSET($H$3,0,0,'Données projet'!$E$9+1,1))</f>
        <v>125.50615549487452</v>
      </c>
      <c r="T22" s="62">
        <f t="shared" si="34"/>
        <v>156.05798578195993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5.4285714285714288</v>
      </c>
      <c r="N23" s="14">
        <f>IF('Données projet'!$A$36&gt;35,N22+M23-V22,IF(A23&lt;'Données projet'!$A$36,$K$205^A23,IF(A23='Données projet'!$A$36,'Données projet'!$B$36,N22+M23-V22)))</f>
        <v>90.982318819093862</v>
      </c>
      <c r="O23" s="14">
        <f>N23*VLOOKUP('Données projet'!$B$9,Paramètres!$A$1:$I$89,3,0)*VLOOKUP('Données projet'!$B$9,Paramètres!$A$1:$I$89,5,0)</f>
        <v>54.407426653818135</v>
      </c>
      <c r="P23" s="14">
        <f t="shared" si="33"/>
        <v>15.746340461702045</v>
      </c>
      <c r="Q23" s="22">
        <f t="shared" si="2"/>
        <v>122.18447772619766</v>
      </c>
      <c r="R23" s="62">
        <f t="shared" si="0"/>
        <v>415.51781105953097</v>
      </c>
      <c r="S23" s="62">
        <f ca="1">AVERAGE(OFFSET($R$3,0,0,'Données projet'!$E$9+1,1))-AVERAGE(OFFSET($H$3,0,0,'Données projet'!$E$9+1,1))</f>
        <v>125.50615549487452</v>
      </c>
      <c r="T23" s="62">
        <f t="shared" si="34"/>
        <v>156.05798578195993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114</v>
      </c>
      <c r="L24" s="13">
        <f>VLOOKUP(A24,'Données projet'!$A$35:$I$55,9,0)</f>
        <v>5.4285714285714288</v>
      </c>
      <c r="M24" s="13">
        <f t="array" ref="M24">INDEX(L:L,MIN(IF(ISNUMBER(L24:L220),ROW(L24:L220),"")))</f>
        <v>5.4285714285714288</v>
      </c>
      <c r="N24" s="14">
        <f>IF('Données projet'!$A$36&gt;35,N23+M24-V23,IF(A24&lt;'Données projet'!$A$36,$K$205^A24,IF(A24='Données projet'!$A$36,'Données projet'!$B$36,N23+M24-V23)))</f>
        <v>114</v>
      </c>
      <c r="O24" s="14">
        <f>N24*VLOOKUP('Données projet'!$B$9,Paramètres!$A$1:$I$89,3,0)*VLOOKUP('Données projet'!$B$9,Paramètres!$A$1:$I$89,5,0)</f>
        <v>68.172000000000011</v>
      </c>
      <c r="P24" s="14">
        <f t="shared" si="33"/>
        <v>19.21880399855084</v>
      </c>
      <c r="Q24" s="22">
        <f t="shared" si="2"/>
        <v>152.20565029747607</v>
      </c>
      <c r="R24" s="62">
        <f t="shared" si="0"/>
        <v>445.53898363080941</v>
      </c>
      <c r="S24" s="62">
        <f ca="1">AVERAGE(OFFSET($R$3,0,0,'Données projet'!$E$9+1,1))-AVERAGE(OFFSET($H$3,0,0,'Données projet'!$E$9+1,1))</f>
        <v>125.50615549487452</v>
      </c>
      <c r="T24" s="62">
        <f t="shared" si="34"/>
        <v>156.05798578195993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30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1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20.3122474176248</v>
      </c>
      <c r="AC24" s="24">
        <f t="shared" si="3"/>
        <v>20.3122474176248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11.714285714285714</v>
      </c>
      <c r="N25" s="14">
        <f>IF('Données projet'!$A$36&gt;35,N24+M25-V24,IF(A25&lt;'Données projet'!$A$36,$K$205^A25,IF(A25='Données projet'!$A$36,'Données projet'!$B$36,N24+M25-V24)))</f>
        <v>95.714285714285708</v>
      </c>
      <c r="O25" s="14">
        <f>N25*VLOOKUP('Données projet'!$B$9,Paramètres!$A$1:$I$89,3,0)*VLOOKUP('Données projet'!$B$9,Paramètres!$A$1:$I$89,5,0)</f>
        <v>57.237142857142857</v>
      </c>
      <c r="P25" s="14">
        <f t="shared" si="33"/>
        <v>16.467827098972535</v>
      </c>
      <c r="Q25" s="22">
        <f t="shared" si="2"/>
        <v>128.36948934023431</v>
      </c>
      <c r="R25" s="62">
        <f t="shared" si="0"/>
        <v>421.70282267356765</v>
      </c>
      <c r="S25" s="62">
        <f ca="1">AVERAGE(OFFSET($R$3,0,0,'Données projet'!$E$9+1,1))-AVERAGE(OFFSET($H$3,0,0,'Données projet'!$E$9+1,1))</f>
        <v>125.50615549487452</v>
      </c>
      <c r="T25" s="62">
        <f t="shared" si="34"/>
        <v>156.05798578195993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14.362927890141435</v>
      </c>
      <c r="AC25" s="24">
        <f t="shared" si="3"/>
        <v>14.362927890141435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11.714285714285714</v>
      </c>
      <c r="N26" s="14">
        <f>IF('Données projet'!$A$36&gt;35,N25+M26-V25,IF(A26&lt;'Données projet'!$A$36,$K$205^A26,IF(A26='Données projet'!$A$36,'Données projet'!$B$36,N25+M26-V25)))</f>
        <v>107.42857142857142</v>
      </c>
      <c r="O26" s="14">
        <f>N26*VLOOKUP('Données projet'!$B$9,Paramètres!$A$1:$I$89,3,0)*VLOOKUP('Données projet'!$B$9,Paramètres!$A$1:$I$89,5,0)</f>
        <v>64.242285714285714</v>
      </c>
      <c r="P26" s="14">
        <f t="shared" si="33"/>
        <v>18.236550215186625</v>
      </c>
      <c r="Q26" s="22">
        <f t="shared" si="2"/>
        <v>143.65063924383099</v>
      </c>
      <c r="R26" s="62">
        <f t="shared" si="0"/>
        <v>436.98397257716431</v>
      </c>
      <c r="S26" s="62">
        <f ca="1">AVERAGE(OFFSET($R$3,0,0,'Données projet'!$E$9+1,1))-AVERAGE(OFFSET($H$3,0,0,'Données projet'!$E$9+1,1))</f>
        <v>125.50615549487452</v>
      </c>
      <c r="T26" s="62">
        <f t="shared" si="34"/>
        <v>156.05798578195993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10.156123708812402</v>
      </c>
      <c r="AC26" s="24">
        <f t="shared" si="3"/>
        <v>10.156123708812402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11.714285714285714</v>
      </c>
      <c r="N27" s="14">
        <f>IF('Données projet'!$A$36&gt;35,N26+M27-V26,IF(A27&lt;'Données projet'!$A$36,$K$205^A27,IF(A27='Données projet'!$A$36,'Données projet'!$B$36,N26+M27-V26)))</f>
        <v>119.14285714285712</v>
      </c>
      <c r="O27" s="14">
        <f>N27*VLOOKUP('Données projet'!$B$9,Paramètres!$A$1:$I$89,3,0)*VLOOKUP('Données projet'!$B$9,Paramètres!$A$1:$I$89,5,0)</f>
        <v>71.247428571428571</v>
      </c>
      <c r="P27" s="14">
        <f t="shared" si="33"/>
        <v>19.98291887321972</v>
      </c>
      <c r="Q27" s="22">
        <f t="shared" si="2"/>
        <v>158.89285513276243</v>
      </c>
      <c r="R27" s="62">
        <f t="shared" si="0"/>
        <v>452.22618846609578</v>
      </c>
      <c r="S27" s="62">
        <f ca="1">AVERAGE(OFFSET($R$3,0,0,'Données projet'!$E$9+1,1))-AVERAGE(OFFSET($H$3,0,0,'Données projet'!$E$9+1,1))</f>
        <v>125.50615549487452</v>
      </c>
      <c r="T27" s="62">
        <f t="shared" si="34"/>
        <v>156.05798578195993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7.1814639450707185</v>
      </c>
      <c r="AC27" s="24">
        <f t="shared" si="3"/>
        <v>7.1814639450707185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11.714285714285714</v>
      </c>
      <c r="N28" s="14">
        <f>IF('Données projet'!$A$36&gt;35,N27+M28-V27,IF(A28&lt;'Données projet'!$A$36,$K$205^A28,IF(A28='Données projet'!$A$36,'Données projet'!$B$36,N27+M28-V27)))</f>
        <v>130.85714285714283</v>
      </c>
      <c r="O28" s="14">
        <f>N28*VLOOKUP('Données projet'!$B$9,Paramètres!$A$1:$I$89,3,0)*VLOOKUP('Données projet'!$B$9,Paramètres!$A$1:$I$89,5,0)</f>
        <v>78.252571428571414</v>
      </c>
      <c r="P28" s="14">
        <f t="shared" si="33"/>
        <v>21.709381141666423</v>
      </c>
      <c r="Q28" s="22">
        <f t="shared" si="2"/>
        <v>174.10040072649755</v>
      </c>
      <c r="R28" s="62">
        <f t="shared" si="0"/>
        <v>467.43373405983084</v>
      </c>
      <c r="S28" s="62">
        <f ca="1">AVERAGE(OFFSET($R$3,0,0,'Données projet'!$E$9+1,1))-AVERAGE(OFFSET($H$3,0,0,'Données projet'!$E$9+1,1))</f>
        <v>125.50615549487452</v>
      </c>
      <c r="T28" s="62">
        <f t="shared" si="34"/>
        <v>156.05798578195993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5.0780618544062008</v>
      </c>
      <c r="AC28" s="24">
        <f t="shared" si="3"/>
        <v>5.0780618544062008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11.714285714285714</v>
      </c>
      <c r="N29" s="14">
        <f>IF('Données projet'!$A$36&gt;35,N28+M29-V28,IF(A29&lt;'Données projet'!$A$36,$K$205^A29,IF(A29='Données projet'!$A$36,'Données projet'!$B$36,N28+M29-V28)))</f>
        <v>142.57142857142856</v>
      </c>
      <c r="O29" s="14">
        <f>N29*VLOOKUP('Données projet'!$B$9,Paramètres!$A$1:$I$89,3,0)*VLOOKUP('Données projet'!$B$9,Paramètres!$A$1:$I$89,5,0)</f>
        <v>85.257714285714286</v>
      </c>
      <c r="P29" s="14">
        <f t="shared" si="33"/>
        <v>23.417921678610391</v>
      </c>
      <c r="Q29" s="22">
        <f t="shared" si="2"/>
        <v>189.27673263786542</v>
      </c>
      <c r="R29" s="62">
        <f t="shared" si="0"/>
        <v>482.61006597119876</v>
      </c>
      <c r="S29" s="62">
        <f ca="1">AVERAGE(OFFSET($R$3,0,0,'Données projet'!$E$9+1,1))-AVERAGE(OFFSET($H$3,0,0,'Données projet'!$E$9+1,1))</f>
        <v>125.50615549487452</v>
      </c>
      <c r="T29" s="62">
        <f t="shared" si="34"/>
        <v>156.05798578195993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3.5907319725353593</v>
      </c>
      <c r="AC29" s="24">
        <f t="shared" si="3"/>
        <v>3.5907319725353593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11.714285714285714</v>
      </c>
      <c r="N30" s="14">
        <f>IF('Données projet'!$A$36&gt;35,N29+M30-V29,IF(A30&lt;'Données projet'!$A$36,$K$205^A30,IF(A30='Données projet'!$A$36,'Données projet'!$B$36,N29+M30-V29)))</f>
        <v>154.28571428571428</v>
      </c>
      <c r="O30" s="14">
        <f>N30*VLOOKUP('Données projet'!$B$9,Paramètres!$A$1:$I$89,3,0)*VLOOKUP('Données projet'!$B$9,Paramètres!$A$1:$I$89,5,0)</f>
        <v>92.262857142857158</v>
      </c>
      <c r="P30" s="14">
        <f t="shared" si="33"/>
        <v>25.110180422624538</v>
      </c>
      <c r="Q30" s="22">
        <f t="shared" si="2"/>
        <v>204.42470709321393</v>
      </c>
      <c r="R30" s="62">
        <f t="shared" si="0"/>
        <v>497.75804042654727</v>
      </c>
      <c r="S30" s="62">
        <f ca="1">AVERAGE(OFFSET($R$3,0,0,'Données projet'!$E$9+1,1))-AVERAGE(OFFSET($H$3,0,0,'Données projet'!$E$9+1,1))</f>
        <v>125.50615549487452</v>
      </c>
      <c r="T30" s="62">
        <f t="shared" si="34"/>
        <v>156.05798578195993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2.5390309272031004</v>
      </c>
      <c r="AC30" s="24">
        <f t="shared" si="3"/>
        <v>2.5390309272031004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166</v>
      </c>
      <c r="L31" s="13">
        <f>VLOOKUP(A31,'Données projet'!$A$35:$I$55,9,0)</f>
        <v>11.714285714285714</v>
      </c>
      <c r="M31" s="13">
        <f t="array" ref="M31">INDEX(L:L,MIN(IF(ISNUMBER(L31:L227),ROW(L31:L227),"")))</f>
        <v>11.714285714285714</v>
      </c>
      <c r="N31" s="14">
        <f>IF('Données projet'!$A$36&gt;35,N30+M31-V30,IF(A31&lt;'Données projet'!$A$36,$K$205^A31,IF(A31='Données projet'!$A$36,'Données projet'!$B$36,N30+M31-V30)))</f>
        <v>166</v>
      </c>
      <c r="O31" s="14">
        <f>N31*VLOOKUP('Données projet'!$B$9,Paramètres!$A$1:$I$89,3,0)*VLOOKUP('Données projet'!$B$9,Paramètres!$A$1:$I$89,5,0)</f>
        <v>99.268000000000001</v>
      </c>
      <c r="P31" s="14">
        <f t="shared" si="33"/>
        <v>26.78753414535981</v>
      </c>
      <c r="Q31" s="22">
        <f t="shared" si="2"/>
        <v>219.54672196983498</v>
      </c>
      <c r="R31" s="62">
        <f t="shared" si="0"/>
        <v>512.88005530316832</v>
      </c>
      <c r="S31" s="62">
        <f ca="1">AVERAGE(OFFSET($R$3,0,0,'Données projet'!$E$9+1,1))-AVERAGE(OFFSET($H$3,0,0,'Données projet'!$E$9+1,1))</f>
        <v>125.50615549487452</v>
      </c>
      <c r="T31" s="62">
        <f t="shared" si="34"/>
        <v>156.05798578195993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38</v>
      </c>
      <c r="W31" s="17">
        <f>IF(ISNA(VLOOKUP(A31,'Données projet'!$A$35:$I$55,5,0)),0%,VLOOKUP(A31,'Données projet'!$A$35:$I$55,5,0)*VLOOKUP('Données projet'!$B$9,Paramètres!$A$1:$I$89,7,0))</f>
        <v>9.0000000000000011E-2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0.8</v>
      </c>
      <c r="Z31" s="23">
        <f>EXP(-LN(2)/35)*Z30+(1-EXP(-LN(2)/35))/(LN(2)/35)*V31*W31*VLOOKUP('Données projet'!$B$9,Paramètres!$A$1:$I$89,3,0)*0.475*44/12</f>
        <v>2.7130365616867302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22.378443369460808</v>
      </c>
      <c r="AC31" s="24">
        <f t="shared" si="3"/>
        <v>25.091479931147539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10.5</v>
      </c>
      <c r="N32" s="14">
        <f>IF('Données projet'!$A$36&gt;35,N31+M32-V31,IF(A32&lt;'Données projet'!$A$36,$K$205^A32,IF(A32='Données projet'!$A$36,'Données projet'!$B$36,N31+M32-V31)))</f>
        <v>138.5</v>
      </c>
      <c r="O32" s="14">
        <f>N32*VLOOKUP('Données projet'!$B$9,Paramètres!$A$1:$I$89,3,0)*VLOOKUP('Données projet'!$B$9,Paramètres!$A$1:$I$89,5,0)</f>
        <v>82.823000000000008</v>
      </c>
      <c r="P32" s="14">
        <f t="shared" si="33"/>
        <v>22.826023014899445</v>
      </c>
      <c r="Q32" s="22">
        <f t="shared" si="2"/>
        <v>184.00538175094985</v>
      </c>
      <c r="R32" s="62">
        <f t="shared" si="0"/>
        <v>477.33871508428319</v>
      </c>
      <c r="S32" s="62">
        <f ca="1">AVERAGE(OFFSET($R$3,0,0,'Données projet'!$E$9+1,1))-AVERAGE(OFFSET($H$3,0,0,'Données projet'!$E$9+1,1))</f>
        <v>125.50615549487452</v>
      </c>
      <c r="T32" s="62">
        <f t="shared" si="34"/>
        <v>156.05798578195993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2.6598355695009595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15.823949058944869</v>
      </c>
      <c r="AC32" s="24">
        <f t="shared" si="3"/>
        <v>18.483784628445829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149</v>
      </c>
      <c r="L33" s="13">
        <f>VLOOKUP(A33,'Données projet'!$A$35:$I$55,9,0)</f>
        <v>10.5</v>
      </c>
      <c r="M33" s="13">
        <f t="array" ref="M33">INDEX(L:L,MIN(IF(ISNUMBER(L33:L229),ROW(L33:L229),"")))</f>
        <v>10.5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89.102000000000018</v>
      </c>
      <c r="P33" s="14">
        <f t="shared" si="33"/>
        <v>24.348522781128082</v>
      </c>
      <c r="Q33" s="22">
        <f t="shared" si="2"/>
        <v>197.5929938437981</v>
      </c>
      <c r="R33" s="62">
        <f t="shared" si="0"/>
        <v>490.92632717713138</v>
      </c>
      <c r="S33" s="62">
        <f ca="1">AVERAGE(OFFSET($R$3,0,0,'Données projet'!$E$9+1,1))-AVERAGE(OFFSET($H$3,0,0,'Données projet'!$E$9+1,1))</f>
        <v>125.50615549487452</v>
      </c>
      <c r="T33" s="62">
        <f t="shared" si="34"/>
        <v>156.05798578195993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9.0000000000000011E-2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0.6</v>
      </c>
      <c r="Z33" s="23">
        <f>EXP(-LN(2)/35)*Z32+(1-EXP(-LN(2)/35))/(LN(2)/35)*V33*W33*VLOOKUP('Données projet'!$B$9,Paramètres!$A$1:$I$89,3,0)*0.475*44/12</f>
        <v>2.6076778163225502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11.189221684730406</v>
      </c>
      <c r="AC33" s="24">
        <f t="shared" si="3"/>
        <v>13.796899501052955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10.5</v>
      </c>
      <c r="N34" s="14">
        <f>IF('Données projet'!$A$36&gt;35,N33+M34-V33,IF(A34&lt;'Données projet'!$A$36,$K$205^A34,IF(A34='Données projet'!$A$36,'Données projet'!$B$36,N33+M34-V33)))</f>
        <v>159.5</v>
      </c>
      <c r="O34" s="14">
        <f>N34*VLOOKUP('Données projet'!$B$9,Paramètres!$A$1:$I$89,3,0)*VLOOKUP('Données projet'!$B$9,Paramètres!$A$1:$I$89,5,0)</f>
        <v>95.381000000000014</v>
      </c>
      <c r="P34" s="14">
        <f t="shared" si="33"/>
        <v>25.858574171052403</v>
      </c>
      <c r="Q34" s="22">
        <f t="shared" si="2"/>
        <v>211.15892501458293</v>
      </c>
      <c r="R34" s="62">
        <f t="shared" si="0"/>
        <v>504.49225834791628</v>
      </c>
      <c r="S34" s="62">
        <f ca="1">AVERAGE(OFFSET($R$3,0,0,'Données projet'!$E$9+1,1))-AVERAGE(OFFSET($H$3,0,0,'Données projet'!$E$9+1,1))</f>
        <v>125.50615549487452</v>
      </c>
      <c r="T34" s="62">
        <f t="shared" si="34"/>
        <v>156.05798578195993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2.5565428448708816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7.9119745294724364</v>
      </c>
      <c r="AC34" s="24">
        <f t="shared" si="3"/>
        <v>10.468517374343318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10.5</v>
      </c>
      <c r="N35" s="14">
        <f>IF('Données projet'!$A$36&gt;35,N34+M35-V34,IF(A35&lt;'Données projet'!$A$36,$K$205^A35,IF(A35='Données projet'!$A$36,'Données projet'!$B$36,N34+M35-V34)))</f>
        <v>170</v>
      </c>
      <c r="O35" s="14">
        <f>N35*VLOOKUP('Données projet'!$B$9,Paramètres!$A$1:$I$89,3,0)*VLOOKUP('Données projet'!$B$9,Paramètres!$A$1:$I$89,5,0)</f>
        <v>101.66000000000001</v>
      </c>
      <c r="P35" s="14">
        <f t="shared" si="33"/>
        <v>27.35708992370477</v>
      </c>
      <c r="Q35" s="22">
        <f t="shared" ref="Q35:Q66" si="53">(O35+P35)*0.475*44/12</f>
        <v>224.7047649504525</v>
      </c>
      <c r="R35" s="62">
        <f t="shared" si="0"/>
        <v>518.03809828378576</v>
      </c>
      <c r="S35" s="62">
        <f ca="1">AVERAGE(OFFSET($R$3,0,0,'Données projet'!$E$9+1,1))-AVERAGE(OFFSET($H$3,0,0,'Données projet'!$E$9+1,1))</f>
        <v>125.50615549487452</v>
      </c>
      <c r="T35" s="62">
        <f t="shared" si="34"/>
        <v>156.05798578195993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2.5064105990201271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5.5946108423652037</v>
      </c>
      <c r="AC35" s="24">
        <f t="shared" si="3"/>
        <v>8.1010214413853312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10.5</v>
      </c>
      <c r="N36" s="14">
        <f>IF('Données projet'!$A$36&gt;35,N35+M36-V35,IF(A36&lt;'Données projet'!$A$36,$K$205^A36,IF(A36='Données projet'!$A$36,'Données projet'!$B$36,N35+M36-V35)))</f>
        <v>180.5</v>
      </c>
      <c r="O36" s="14">
        <f>N36*VLOOKUP('Données projet'!$B$9,Paramètres!$A$1:$I$89,3,0)*VLOOKUP('Données projet'!$B$9,Paramètres!$A$1:$I$89,5,0)</f>
        <v>107.93900000000001</v>
      </c>
      <c r="P36" s="14">
        <f t="shared" si="33"/>
        <v>28.844863656164922</v>
      </c>
      <c r="Q36" s="22">
        <f t="shared" si="53"/>
        <v>238.23189586782055</v>
      </c>
      <c r="R36" s="62">
        <f t="shared" si="0"/>
        <v>531.5652292011539</v>
      </c>
      <c r="S36" s="62">
        <f ca="1">AVERAGE(OFFSET($R$3,0,0,'Données projet'!$E$9+1,1))-AVERAGE(OFFSET($H$3,0,0,'Données projet'!$E$9+1,1))</f>
        <v>125.50615549487452</v>
      </c>
      <c r="T36" s="62">
        <f t="shared" si="34"/>
        <v>156.05798578195993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2.4572614159328552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3.9559872647362186</v>
      </c>
      <c r="AC36" s="24">
        <f t="shared" si="3"/>
        <v>6.4132486806690743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10.5</v>
      </c>
      <c r="N37" s="14">
        <f>IF('Données projet'!$A$36&gt;35,N36+M37-V36,IF(A37&lt;'Données projet'!$A$36,$K$205^A37,IF(A37='Données projet'!$A$36,'Données projet'!$B$36,N36+M37-V36)))</f>
        <v>191</v>
      </c>
      <c r="O37" s="14">
        <f>N37*VLOOKUP('Données projet'!$B$9,Paramètres!$A$1:$I$89,3,0)*VLOOKUP('Données projet'!$B$9,Paramètres!$A$1:$I$89,5,0)</f>
        <v>114.218</v>
      </c>
      <c r="P37" s="14">
        <f t="shared" si="33"/>
        <v>30.322591437735639</v>
      </c>
      <c r="Q37" s="22">
        <f t="shared" si="53"/>
        <v>251.74153008738961</v>
      </c>
      <c r="R37" s="62">
        <f t="shared" si="0"/>
        <v>545.07486342072298</v>
      </c>
      <c r="S37" s="62">
        <f ca="1">AVERAGE(OFFSET($R$3,0,0,'Données projet'!$E$9+1,1))-AVERAGE(OFFSET($H$3,0,0,'Données projet'!$E$9+1,1))</f>
        <v>125.50615549487452</v>
      </c>
      <c r="T37" s="62">
        <f t="shared" si="34"/>
        <v>156.05798578195993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2.4090760183478834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2.7973054211826023</v>
      </c>
      <c r="AC37" s="24">
        <f t="shared" si="3"/>
        <v>5.2063814395304853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10.5</v>
      </c>
      <c r="N38" s="14">
        <f>IF('Données projet'!$A$36&gt;35,N37+M38-V37,IF(A38&lt;'Données projet'!$A$36,$K$205^A38,IF(A38='Données projet'!$A$36,'Données projet'!$B$36,N37+M38-V37)))</f>
        <v>201.5</v>
      </c>
      <c r="O38" s="14">
        <f>N38*VLOOKUP('Données projet'!$B$9,Paramètres!$A$1:$I$89,3,0)*VLOOKUP('Données projet'!$B$9,Paramètres!$A$1:$I$89,5,0)</f>
        <v>120.497</v>
      </c>
      <c r="P38" s="14">
        <f t="shared" si="33"/>
        <v>31.790888484192322</v>
      </c>
      <c r="Q38" s="22">
        <f t="shared" si="53"/>
        <v>265.23473910996825</v>
      </c>
      <c r="R38" s="62">
        <f t="shared" si="0"/>
        <v>558.56807244330162</v>
      </c>
      <c r="S38" s="62">
        <f ca="1">AVERAGE(OFFSET($R$3,0,0,'Données projet'!$E$9+1,1))-AVERAGE(OFFSET($H$3,0,0,'Données projet'!$E$9+1,1))</f>
        <v>125.50615549487452</v>
      </c>
      <c r="T38" s="62">
        <f t="shared" si="34"/>
        <v>156.05798578195993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2.3618355070193622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1.9779936323681095</v>
      </c>
      <c r="AC38" s="24">
        <f t="shared" si="3"/>
        <v>4.3398291393874722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212</v>
      </c>
      <c r="L39" s="13">
        <f>VLOOKUP(A39,'Données projet'!$A$35:$I$55,9,0)</f>
        <v>10.5</v>
      </c>
      <c r="M39" s="13">
        <f t="array" ref="M39">INDEX(L:L,MIN(IF(ISNUMBER(L39:L235),ROW(L39:L235),"")))</f>
        <v>10.5</v>
      </c>
      <c r="N39" s="14">
        <f>IF('Données projet'!$A$36&gt;35,N38+M39-V38,IF(A39&lt;'Données projet'!$A$36,$K$205^A39,IF(A39='Données projet'!$A$36,'Données projet'!$B$36,N38+M39-V38)))</f>
        <v>212</v>
      </c>
      <c r="O39" s="14">
        <f>N39*VLOOKUP('Données projet'!$B$9,Paramètres!$A$1:$I$89,3,0)*VLOOKUP('Données projet'!$B$9,Paramètres!$A$1:$I$89,5,0)</f>
        <v>126.77600000000002</v>
      </c>
      <c r="P39" s="14">
        <f t="shared" si="33"/>
        <v>33.250302273150254</v>
      </c>
      <c r="Q39" s="22">
        <f t="shared" si="53"/>
        <v>278.7124764590701</v>
      </c>
      <c r="R39" s="62">
        <f t="shared" si="0"/>
        <v>572.04580979240336</v>
      </c>
      <c r="S39" s="62">
        <f ca="1">AVERAGE(OFFSET($R$3,0,0,'Données projet'!$E$9+1,1))-AVERAGE(OFFSET($H$3,0,0,'Données projet'!$E$9+1,1))</f>
        <v>125.50615549487452</v>
      </c>
      <c r="T39" s="62">
        <f t="shared" si="34"/>
        <v>156.05798578195993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48</v>
      </c>
      <c r="W39" s="17">
        <f>IF(ISNA(VLOOKUP(A39,'Données projet'!$A$35:$I$55,5,0)),0%,VLOOKUP(A39,'Données projet'!$A$35:$I$55,5,0)*VLOOKUP('Données projet'!$B$9,Paramètres!$A$1:$I$89,7,0))</f>
        <v>0.22500000000000001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0.5</v>
      </c>
      <c r="Z39" s="23">
        <f>EXP(-LN(2)/35)*Z38+(1-EXP(-LN(2)/35))/(LN(2)/35)*V39*W39*VLOOKUP('Données projet'!$B$9,Paramètres!$A$1:$I$89,3,0)*0.475*44/12</f>
        <v>10.883005232314854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17.648450644691138</v>
      </c>
      <c r="AC39" s="24">
        <f t="shared" si="3"/>
        <v>28.531455877005993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8.4444444444444446</v>
      </c>
      <c r="N40" s="14">
        <f>IF('Données projet'!$A$36&gt;35,N39+M40-V39,IF(A40&lt;'Données projet'!$A$36,$K$205^A40,IF(A40='Données projet'!$A$36,'Données projet'!$B$36,N39+M40-V39)))</f>
        <v>172.44444444444446</v>
      </c>
      <c r="O40" s="14">
        <f>N40*VLOOKUP('Données projet'!$B$9,Paramètres!$A$1:$I$89,3,0)*VLOOKUP('Données projet'!$B$9,Paramètres!$A$1:$I$89,5,0)</f>
        <v>103.12177777777779</v>
      </c>
      <c r="P40" s="14">
        <f t="shared" si="33"/>
        <v>27.704382252023944</v>
      </c>
      <c r="Q40" s="22">
        <f t="shared" si="53"/>
        <v>227.85556205190468</v>
      </c>
      <c r="R40" s="62">
        <f t="shared" si="0"/>
        <v>521.18889538523797</v>
      </c>
      <c r="S40" s="62">
        <f ca="1">AVERAGE(OFFSET($R$3,0,0,'Données projet'!$E$9+1,1))-AVERAGE(OFFSET($H$3,0,0,'Données projet'!$E$9+1,1))</f>
        <v>125.50615549487452</v>
      </c>
      <c r="T40" s="62">
        <f t="shared" si="34"/>
        <v>156.05798578195993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10.669596137686906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12.479339128297202</v>
      </c>
      <c r="AC40" s="24">
        <f t="shared" si="3"/>
        <v>23.148935265984107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8.4444444444444446</v>
      </c>
      <c r="N41" s="14">
        <f>IF('Données projet'!$A$36&gt;35,N40+M41-V40,IF(A41&lt;'Données projet'!$A$36,$K$205^A41,IF(A41='Données projet'!$A$36,'Données projet'!$B$36,N40+M41-V40)))</f>
        <v>180.88888888888891</v>
      </c>
      <c r="O41" s="14">
        <f>N41*VLOOKUP('Données projet'!$B$9,Paramètres!$A$1:$I$89,3,0)*VLOOKUP('Données projet'!$B$9,Paramètres!$A$1:$I$89,5,0)</f>
        <v>108.17155555555559</v>
      </c>
      <c r="P41" s="14">
        <f t="shared" si="33"/>
        <v>28.899769441693479</v>
      </c>
      <c r="Q41" s="22">
        <f t="shared" si="53"/>
        <v>238.73255770354208</v>
      </c>
      <c r="R41" s="62">
        <f t="shared" si="0"/>
        <v>532.06589103687543</v>
      </c>
      <c r="S41" s="62">
        <f ca="1">AVERAGE(OFFSET($R$3,0,0,'Données projet'!$E$9+1,1))-AVERAGE(OFFSET($H$3,0,0,'Données projet'!$E$9+1,1))</f>
        <v>125.50615549487452</v>
      </c>
      <c r="T41" s="62">
        <f t="shared" si="34"/>
        <v>156.05798578195993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10.460371865237917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8.8242253223455709</v>
      </c>
      <c r="AC41" s="24">
        <f t="shared" si="3"/>
        <v>19.284597187583486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8.4444444444444446</v>
      </c>
      <c r="N42" s="14">
        <f>IF('Données projet'!$A$36&gt;35,N41+M42-V41,IF(A42&lt;'Données projet'!$A$36,$K$205^A42,IF(A42='Données projet'!$A$36,'Données projet'!$B$36,N41+M42-V41)))</f>
        <v>189.33333333333337</v>
      </c>
      <c r="O42" s="14">
        <f>N42*VLOOKUP('Données projet'!$B$9,Paramètres!$A$1:$I$89,3,0)*VLOOKUP('Données projet'!$B$9,Paramètres!$A$1:$I$89,5,0)</f>
        <v>113.22133333333336</v>
      </c>
      <c r="P42" s="14">
        <f t="shared" si="33"/>
        <v>30.088676139987797</v>
      </c>
      <c r="Q42" s="22">
        <f t="shared" si="53"/>
        <v>249.59826649936761</v>
      </c>
      <c r="R42" s="62">
        <f t="shared" si="0"/>
        <v>542.93159983270095</v>
      </c>
      <c r="S42" s="62">
        <f ca="1">AVERAGE(OFFSET($R$3,0,0,'Données projet'!$E$9+1,1))-AVERAGE(OFFSET($H$3,0,0,'Données projet'!$E$9+1,1))</f>
        <v>125.50615549487452</v>
      </c>
      <c r="T42" s="62">
        <f t="shared" si="34"/>
        <v>156.05798578195993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10.255250353157447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6.2396695641486017</v>
      </c>
      <c r="AC42" s="24">
        <f t="shared" si="3"/>
        <v>16.494919917306049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8.4444444444444446</v>
      </c>
      <c r="N43" s="14">
        <f>IF('Données projet'!$A$36&gt;35,N42+M43-V42,IF(A43&lt;'Données projet'!$A$36,$K$205^A43,IF(A43='Données projet'!$A$36,'Données projet'!$B$36,N42+M43-V42)))</f>
        <v>197.77777777777783</v>
      </c>
      <c r="O43" s="14">
        <f>N43*VLOOKUP('Données projet'!$B$9,Paramètres!$A$1:$I$89,3,0)*VLOOKUP('Données projet'!$B$9,Paramètres!$A$1:$I$89,5,0)</f>
        <v>118.27111111111115</v>
      </c>
      <c r="P43" s="14">
        <f t="shared" si="33"/>
        <v>31.271424408638829</v>
      </c>
      <c r="Q43" s="22">
        <f t="shared" si="53"/>
        <v>260.45324936356457</v>
      </c>
      <c r="R43" s="62">
        <f t="shared" si="0"/>
        <v>553.78658269689788</v>
      </c>
      <c r="S43" s="62">
        <f ca="1">AVERAGE(OFFSET($R$3,0,0,'Données projet'!$E$9+1,1))-AVERAGE(OFFSET($H$3,0,0,'Données projet'!$E$9+1,1))</f>
        <v>125.50615549487452</v>
      </c>
      <c r="T43" s="62">
        <f t="shared" si="34"/>
        <v>156.05798578195993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10.054151148817105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4.4121126611727863</v>
      </c>
      <c r="AC43" s="24">
        <f t="shared" si="3"/>
        <v>14.466263809989892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8.4444444444444446</v>
      </c>
      <c r="N44" s="14">
        <f>IF('Données projet'!$A$36&gt;35,N43+M44-V43,IF(A44&lt;'Données projet'!$A$36,$K$205^A44,IF(A44='Données projet'!$A$36,'Données projet'!$B$36,N43+M44-V43)))</f>
        <v>206.22222222222229</v>
      </c>
      <c r="O44" s="14">
        <f>N44*VLOOKUP('Données projet'!$B$9,Paramètres!$A$1:$I$89,3,0)*VLOOKUP('Données projet'!$B$9,Paramètres!$A$1:$I$89,5,0)</f>
        <v>123.32088888888894</v>
      </c>
      <c r="P44" s="14">
        <f t="shared" si="33"/>
        <v>32.448307251950084</v>
      </c>
      <c r="Q44" s="22">
        <f t="shared" si="53"/>
        <v>271.29801661196126</v>
      </c>
      <c r="R44" s="62">
        <f t="shared" si="0"/>
        <v>564.63134994529457</v>
      </c>
      <c r="S44" s="62">
        <f ca="1">AVERAGE(OFFSET($R$3,0,0,'Données projet'!$E$9+1,1))-AVERAGE(OFFSET($H$3,0,0,'Données projet'!$E$9+1,1))</f>
        <v>125.50615549487452</v>
      </c>
      <c r="T44" s="62">
        <f t="shared" si="34"/>
        <v>156.05798578195993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9.8569953772154761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3.1198347820743013</v>
      </c>
      <c r="AC44" s="24">
        <f t="shared" si="3"/>
        <v>12.976830159289777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8.4444444444444446</v>
      </c>
      <c r="N45" s="14">
        <f>IF('Données projet'!$A$36&gt;35,N44+M45-V44,IF(A45&lt;'Données projet'!$A$36,$K$205^A45,IF(A45='Données projet'!$A$36,'Données projet'!$B$36,N44+M45-V44)))</f>
        <v>214.66666666666674</v>
      </c>
      <c r="O45" s="14">
        <f>N45*VLOOKUP('Données projet'!$B$9,Paramètres!$A$1:$I$89,3,0)*VLOOKUP('Données projet'!$B$9,Paramètres!$A$1:$I$89,5,0)</f>
        <v>128.37066666666672</v>
      </c>
      <c r="P45" s="14">
        <f t="shared" si="33"/>
        <v>33.619592320312243</v>
      </c>
      <c r="Q45" s="22">
        <f t="shared" si="53"/>
        <v>282.1330344023217</v>
      </c>
      <c r="R45" s="62">
        <f t="shared" si="0"/>
        <v>575.46636773565501</v>
      </c>
      <c r="S45" s="62">
        <f ca="1">AVERAGE(OFFSET($R$3,0,0,'Données projet'!$E$9+1,1))-AVERAGE(OFFSET($H$3,0,0,'Données projet'!$E$9+1,1))</f>
        <v>125.50615549487452</v>
      </c>
      <c r="T45" s="62">
        <f t="shared" si="34"/>
        <v>156.05798578195993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9.6637057100418087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2.2060563305863932</v>
      </c>
      <c r="AC45" s="24">
        <f t="shared" si="3"/>
        <v>11.869762040628203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8.4444444444444446</v>
      </c>
      <c r="N46" s="14">
        <f>IF('Données projet'!$A$36&gt;35,N45+M46-V45,IF(A46&lt;'Données projet'!$A$36,$K$205^A46,IF(A46='Données projet'!$A$36,'Données projet'!$B$36,N45+M46-V45)))</f>
        <v>223.1111111111112</v>
      </c>
      <c r="O46" s="14">
        <f>N46*VLOOKUP('Données projet'!$B$9,Paramètres!$A$1:$I$89,3,0)*VLOOKUP('Données projet'!$B$9,Paramètres!$A$1:$I$89,5,0)</f>
        <v>133.42044444444451</v>
      </c>
      <c r="P46" s="14">
        <f t="shared" si="33"/>
        <v>34.785525014573047</v>
      </c>
      <c r="Q46" s="22">
        <f t="shared" si="53"/>
        <v>292.9587301411222</v>
      </c>
      <c r="R46" s="62">
        <f t="shared" si="0"/>
        <v>586.29206347445552</v>
      </c>
      <c r="S46" s="62">
        <f ca="1">AVERAGE(OFFSET($R$3,0,0,'Données projet'!$E$9+1,1))-AVERAGE(OFFSET($H$3,0,0,'Données projet'!$E$9+1,1))</f>
        <v>125.50615549487452</v>
      </c>
      <c r="T46" s="62">
        <f t="shared" si="34"/>
        <v>156.05798578195993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9.474206335346361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1.5599173910371507</v>
      </c>
      <c r="AC46" s="24">
        <f t="shared" si="3"/>
        <v>11.034123726383513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8.4444444444444446</v>
      </c>
      <c r="N47" s="14">
        <f>IF('Données projet'!$A$36&gt;35,N46+M47-V46,IF(A47&lt;'Données projet'!$A$36,$K$205^A47,IF(A47='Données projet'!$A$36,'Données projet'!$B$36,N46+M47-V46)))</f>
        <v>231.55555555555566</v>
      </c>
      <c r="O47" s="14">
        <f>N47*VLOOKUP('Données projet'!$B$9,Paramètres!$A$1:$I$89,3,0)*VLOOKUP('Données projet'!$B$9,Paramètres!$A$1:$I$89,5,0)</f>
        <v>138.4702222222223</v>
      </c>
      <c r="P47" s="14">
        <f t="shared" si="33"/>
        <v>35.946331107206781</v>
      </c>
      <c r="Q47" s="22">
        <f t="shared" si="53"/>
        <v>303.77549704875565</v>
      </c>
      <c r="R47" s="62">
        <f t="shared" si="0"/>
        <v>597.10883038208897</v>
      </c>
      <c r="S47" s="62">
        <f ca="1">AVERAGE(OFFSET($R$3,0,0,'Données projet'!$E$9+1,1))-AVERAGE(OFFSET($H$3,0,0,'Données projet'!$E$9+1,1))</f>
        <v>125.50615549487452</v>
      </c>
      <c r="T47" s="62">
        <f t="shared" si="34"/>
        <v>156.05798578195993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9.2884229278054846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1.1030281652931966</v>
      </c>
      <c r="AC47" s="24">
        <f t="shared" si="3"/>
        <v>10.391451093098681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240</v>
      </c>
      <c r="L48" s="13">
        <f>VLOOKUP(A48,'Données projet'!$A$35:$I$55,9,0)</f>
        <v>8.4444444444444446</v>
      </c>
      <c r="M48" s="13">
        <f t="array" ref="M48">INDEX(L:L,MIN(IF(ISNUMBER(L48:L244),ROW(L48:L244),"")))</f>
        <v>8.4444444444444446</v>
      </c>
      <c r="N48" s="14">
        <f>IF('Données projet'!$A$36&gt;35,N47+M48-V47,IF(A48&lt;'Données projet'!$A$36,$K$205^A48,IF(A48='Données projet'!$A$36,'Données projet'!$B$36,N47+M48-V47)))</f>
        <v>240.00000000000011</v>
      </c>
      <c r="O48" s="14">
        <f>N48*VLOOKUP('Données projet'!$B$9,Paramètres!$A$1:$I$89,3,0)*VLOOKUP('Données projet'!$B$9,Paramètres!$A$1:$I$89,5,0)</f>
        <v>143.5200000000001</v>
      </c>
      <c r="P48" s="14">
        <f t="shared" si="33"/>
        <v>37.102218970378601</v>
      </c>
      <c r="Q48" s="22">
        <f t="shared" si="53"/>
        <v>314.58369804007623</v>
      </c>
      <c r="R48" s="62">
        <f t="shared" si="0"/>
        <v>607.9170313734096</v>
      </c>
      <c r="S48" s="62">
        <f ca="1">AVERAGE(OFFSET($R$3,0,0,'Données projet'!$E$9+1,1))-AVERAGE(OFFSET($H$3,0,0,'Données projet'!$E$9+1,1))</f>
        <v>125.50615549487452</v>
      </c>
      <c r="T48" s="62">
        <f t="shared" si="34"/>
        <v>156.05798578195993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55</v>
      </c>
      <c r="W48" s="17">
        <f>IF(ISNA(VLOOKUP(A48,'Données projet'!$A$35:$I$55,5,0)),0%,VLOOKUP(A48,'Données projet'!$A$35:$I$55,5,0)*VLOOKUP('Données projet'!$B$9,Paramètres!$A$1:$I$89,7,0))</f>
        <v>0.22500000000000001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0.5</v>
      </c>
      <c r="Z48" s="23">
        <f>EXP(-LN(2)/35)*Z47+(1-EXP(-LN(2)/35))/(LN(2)/35)*V48*W48*VLOOKUP('Données projet'!$B$9,Paramètres!$A$1:$I$89,3,0)*0.475*44/12</f>
        <v>18.923191230936254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19.399518828341311</v>
      </c>
      <c r="AC48" s="24">
        <f t="shared" si="3"/>
        <v>38.322710059277568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6.2</v>
      </c>
      <c r="N49" s="14">
        <f>IF('Données projet'!$A$36&gt;35,N48+M49-V48,IF(A49&lt;'Données projet'!$A$36,$K$205^A49,IF(A49='Données projet'!$A$36,'Données projet'!$B$36,N48+M49-V48)))</f>
        <v>191.2000000000001</v>
      </c>
      <c r="O49" s="14">
        <f>N49*VLOOKUP('Données projet'!$B$9,Paramètres!$A$1:$I$89,3,0)*VLOOKUP('Données projet'!$B$9,Paramètres!$A$1:$I$89,5,0)</f>
        <v>114.33760000000008</v>
      </c>
      <c r="P49" s="14">
        <f t="shared" si="33"/>
        <v>30.350645269775214</v>
      </c>
      <c r="Q49" s="22">
        <f t="shared" si="53"/>
        <v>251.99869384485862</v>
      </c>
      <c r="R49" s="62">
        <f t="shared" si="0"/>
        <v>545.33202717819199</v>
      </c>
      <c r="S49" s="62">
        <f ca="1">AVERAGE(OFFSET($R$3,0,0,'Données projet'!$E$9+1,1))-AVERAGE(OFFSET($H$3,0,0,'Données projet'!$E$9+1,1))</f>
        <v>125.50615549487452</v>
      </c>
      <c r="T49" s="62">
        <f t="shared" si="34"/>
        <v>156.05798578195993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18.552118992904568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13.717531315276249</v>
      </c>
      <c r="AC49" s="24">
        <f t="shared" si="3"/>
        <v>32.269650308180815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6.2</v>
      </c>
      <c r="N50" s="14">
        <f>IF('Données projet'!$A$36&gt;35,N49+M50-V49,IF(A50&lt;'Données projet'!$A$36,$K$205^A50,IF(A50='Données projet'!$A$36,'Données projet'!$B$36,N49+M50-V49)))</f>
        <v>197.40000000000009</v>
      </c>
      <c r="O50" s="14">
        <f>N50*VLOOKUP('Données projet'!$B$9,Paramètres!$A$1:$I$89,3,0)*VLOOKUP('Données projet'!$B$9,Paramètres!$A$1:$I$89,5,0)</f>
        <v>118.04520000000007</v>
      </c>
      <c r="P50" s="14">
        <f t="shared" si="33"/>
        <v>31.218639399969017</v>
      </c>
      <c r="Q50" s="22">
        <f t="shared" si="53"/>
        <v>259.96785362161279</v>
      </c>
      <c r="R50" s="62">
        <f t="shared" si="0"/>
        <v>553.30118695494616</v>
      </c>
      <c r="S50" s="62">
        <f ca="1">AVERAGE(OFFSET($R$3,0,0,'Données projet'!$E$9+1,1))-AVERAGE(OFFSET($H$3,0,0,'Données projet'!$E$9+1,1))</f>
        <v>125.50615549487452</v>
      </c>
      <c r="T50" s="62">
        <f t="shared" si="34"/>
        <v>156.05798578195993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18.188323255128964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9.6997594141706571</v>
      </c>
      <c r="AC50" s="24">
        <f t="shared" si="3"/>
        <v>27.888082669299621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6.2</v>
      </c>
      <c r="N51" s="14">
        <f>IF('Données projet'!$A$36&gt;35,N50+M51-V50,IF(A51&lt;'Données projet'!$A$36,$K$205^A51,IF(A51='Données projet'!$A$36,'Données projet'!$B$36,N50+M51-V50)))</f>
        <v>203.60000000000008</v>
      </c>
      <c r="O51" s="14">
        <f>N51*VLOOKUP('Données projet'!$B$9,Paramètres!$A$1:$I$89,3,0)*VLOOKUP('Données projet'!$B$9,Paramètres!$A$1:$I$89,5,0)</f>
        <v>121.75280000000005</v>
      </c>
      <c r="P51" s="14">
        <f t="shared" si="33"/>
        <v>32.083465450282908</v>
      </c>
      <c r="Q51" s="22">
        <f t="shared" si="53"/>
        <v>267.93149565924278</v>
      </c>
      <c r="R51" s="62">
        <f t="shared" si="0"/>
        <v>561.2648289925761</v>
      </c>
      <c r="S51" s="62">
        <f ca="1">AVERAGE(OFFSET($R$3,0,0,'Données projet'!$E$9+1,1))-AVERAGE(OFFSET($H$3,0,0,'Données projet'!$E$9+1,1))</f>
        <v>125.50615549487452</v>
      </c>
      <c r="T51" s="62">
        <f t="shared" si="34"/>
        <v>156.05798578195993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17.831661329877651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6.8587656576381253</v>
      </c>
      <c r="AC51" s="24">
        <f t="shared" si="3"/>
        <v>24.690426987515778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6.2</v>
      </c>
      <c r="N52" s="14">
        <f>IF('Données projet'!$A$36&gt;35,N51+M52-V51,IF(A52&lt;'Données projet'!$A$36,$K$205^A52,IF(A52='Données projet'!$A$36,'Données projet'!$B$36,N51+M52-V51)))</f>
        <v>209.80000000000007</v>
      </c>
      <c r="O52" s="14">
        <f>N52*VLOOKUP('Données projet'!$B$9,Paramètres!$A$1:$I$89,3,0)*VLOOKUP('Données projet'!$B$9,Paramètres!$A$1:$I$89,5,0)</f>
        <v>125.46040000000005</v>
      </c>
      <c r="P52" s="14">
        <f t="shared" si="33"/>
        <v>32.94523096728588</v>
      </c>
      <c r="Q52" s="22">
        <f t="shared" si="53"/>
        <v>275.88980726802299</v>
      </c>
      <c r="R52" s="62">
        <f t="shared" si="0"/>
        <v>569.22314060135636</v>
      </c>
      <c r="S52" s="62">
        <f ca="1">AVERAGE(OFFSET($R$3,0,0,'Données projet'!$E$9+1,1))-AVERAGE(OFFSET($H$3,0,0,'Données projet'!$E$9+1,1))</f>
        <v>125.50615549487452</v>
      </c>
      <c r="T52" s="62">
        <f t="shared" si="34"/>
        <v>156.05798578195993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17.481993327438222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4.8498797070853286</v>
      </c>
      <c r="AC52" s="24">
        <f t="shared" si="3"/>
        <v>22.33187303452355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6.2</v>
      </c>
      <c r="N53" s="14">
        <f>IF('Données projet'!$A$36&gt;35,N52+M53-V52,IF(A53&lt;'Données projet'!$A$36,$K$205^A53,IF(A53='Données projet'!$A$36,'Données projet'!$B$36,N52+M53-V52)))</f>
        <v>216.00000000000006</v>
      </c>
      <c r="O53" s="14">
        <f>N53*VLOOKUP('Données projet'!$B$9,Paramètres!$A$1:$I$89,3,0)*VLOOKUP('Données projet'!$B$9,Paramètres!$A$1:$I$89,5,0)</f>
        <v>129.16800000000003</v>
      </c>
      <c r="P53" s="14">
        <f t="shared" si="33"/>
        <v>33.804036779774435</v>
      </c>
      <c r="Q53" s="22">
        <f t="shared" si="53"/>
        <v>283.84296405810721</v>
      </c>
      <c r="R53" s="62">
        <f t="shared" si="0"/>
        <v>577.17629739144058</v>
      </c>
      <c r="S53" s="62">
        <f ca="1">AVERAGE(OFFSET($R$3,0,0,'Données projet'!$E$9+1,1))-AVERAGE(OFFSET($H$3,0,0,'Données projet'!$E$9+1,1))</f>
        <v>125.50615549487452</v>
      </c>
      <c r="T53" s="62">
        <f t="shared" si="34"/>
        <v>156.05798578195993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17.139182101250206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3.4293828288190626</v>
      </c>
      <c r="AC53" s="24">
        <f t="shared" si="3"/>
        <v>20.568564930069268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6.2</v>
      </c>
      <c r="N54" s="14">
        <f>IF('Données projet'!$A$36&gt;35,N53+M54-V53,IF(A54&lt;'Données projet'!$A$36,$K$205^A54,IF(A54='Données projet'!$A$36,'Données projet'!$B$36,N53+M54-V53)))</f>
        <v>222.20000000000005</v>
      </c>
      <c r="O54" s="14">
        <f>N54*VLOOKUP('Données projet'!$B$9,Paramètres!$A$1:$I$89,3,0)*VLOOKUP('Données projet'!$B$9,Paramètres!$A$1:$I$89,5,0)</f>
        <v>132.87560000000005</v>
      </c>
      <c r="P54" s="14">
        <f t="shared" si="33"/>
        <v>34.659977599024245</v>
      </c>
      <c r="Q54" s="22">
        <f t="shared" si="53"/>
        <v>291.79113098496731</v>
      </c>
      <c r="R54" s="62">
        <f t="shared" si="0"/>
        <v>585.12446431830062</v>
      </c>
      <c r="S54" s="62">
        <f ca="1">AVERAGE(OFFSET($R$3,0,0,'Données projet'!$E$9+1,1))-AVERAGE(OFFSET($H$3,0,0,'Données projet'!$E$9+1,1))</f>
        <v>125.50615549487452</v>
      </c>
      <c r="T54" s="62">
        <f t="shared" si="34"/>
        <v>156.05798578195993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16.803093194113536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2.4249398535426643</v>
      </c>
      <c r="AC54" s="24">
        <f t="shared" si="3"/>
        <v>19.228033047656201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6.2</v>
      </c>
      <c r="N55" s="14">
        <f>IF('Données projet'!$A$36&gt;35,N54+M55-V54,IF(A55&lt;'Données projet'!$A$36,$K$205^A55,IF(A55='Données projet'!$A$36,'Données projet'!$B$36,N54+M55-V54)))</f>
        <v>228.40000000000003</v>
      </c>
      <c r="O55" s="14">
        <f>N55*VLOOKUP('Données projet'!$B$9,Paramètres!$A$1:$I$89,3,0)*VLOOKUP('Données projet'!$B$9,Paramètres!$A$1:$I$89,5,0)</f>
        <v>136.58320000000003</v>
      </c>
      <c r="P55" s="14">
        <f t="shared" si="33"/>
        <v>35.513142550162883</v>
      </c>
      <c r="Q55" s="22">
        <f t="shared" si="53"/>
        <v>299.7344632748671</v>
      </c>
      <c r="R55" s="62">
        <f t="shared" si="0"/>
        <v>593.06779660820041</v>
      </c>
      <c r="S55" s="62">
        <f ca="1">AVERAGE(OFFSET($R$3,0,0,'Données projet'!$E$9+1,1))-AVERAGE(OFFSET($H$3,0,0,'Données projet'!$E$9+1,1))</f>
        <v>125.50615549487452</v>
      </c>
      <c r="T55" s="62">
        <f t="shared" si="34"/>
        <v>156.05798578195993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16.473594785451827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1.7146914144095313</v>
      </c>
      <c r="AC55" s="24">
        <f t="shared" si="3"/>
        <v>18.188286199861359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6.2</v>
      </c>
      <c r="N56" s="14">
        <f>IF('Données projet'!$A$36&gt;35,N55+M56-V55,IF(A56&lt;'Données projet'!$A$36,$K$205^A56,IF(A56='Données projet'!$A$36,'Données projet'!$B$36,N55+M56-V55)))</f>
        <v>234.60000000000002</v>
      </c>
      <c r="O56" s="14">
        <f>N56*VLOOKUP('Données projet'!$B$9,Paramètres!$A$1:$I$89,3,0)*VLOOKUP('Données projet'!$B$9,Paramètres!$A$1:$I$89,5,0)</f>
        <v>140.29080000000002</v>
      </c>
      <c r="P56" s="14">
        <f t="shared" si="33"/>
        <v>36.363615644223728</v>
      </c>
      <c r="Q56" s="22">
        <f t="shared" si="53"/>
        <v>307.67310724702298</v>
      </c>
      <c r="R56" s="62">
        <f t="shared" si="0"/>
        <v>601.0064405803563</v>
      </c>
      <c r="S56" s="62">
        <f ca="1">AVERAGE(OFFSET($R$3,0,0,'Données projet'!$E$9+1,1))-AVERAGE(OFFSET($H$3,0,0,'Données projet'!$E$9+1,1))</f>
        <v>125.50615549487452</v>
      </c>
      <c r="T56" s="62">
        <f t="shared" si="34"/>
        <v>156.05798578195993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16.150557639609787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1.2124699267713321</v>
      </c>
      <c r="AC56" s="24">
        <f t="shared" si="3"/>
        <v>17.36302756638112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6.2</v>
      </c>
      <c r="N57" s="14">
        <f>IF('Données projet'!$A$36&gt;35,N56+M57-V56,IF(A57&lt;'Données projet'!$A$36,$K$205^A57,IF(A57='Données projet'!$A$36,'Données projet'!$B$36,N56+M57-V56)))</f>
        <v>240.8</v>
      </c>
      <c r="O57" s="14">
        <f>N57*VLOOKUP('Données projet'!$B$9,Paramètres!$A$1:$I$89,3,0)*VLOOKUP('Données projet'!$B$9,Paramètres!$A$1:$I$89,5,0)</f>
        <v>143.99840000000003</v>
      </c>
      <c r="P57" s="14">
        <f t="shared" si="33"/>
        <v>37.21147619889382</v>
      </c>
      <c r="Q57" s="22">
        <f t="shared" si="53"/>
        <v>315.60720104640683</v>
      </c>
      <c r="R57" s="62">
        <f t="shared" si="0"/>
        <v>608.94053437974014</v>
      </c>
      <c r="S57" s="62">
        <f ca="1">AVERAGE(OFFSET($R$3,0,0,'Données projet'!$E$9+1,1))-AVERAGE(OFFSET($H$3,0,0,'Données projet'!$E$9+1,1))</f>
        <v>125.50615549487452</v>
      </c>
      <c r="T57" s="62">
        <f t="shared" si="34"/>
        <v>156.05798578195993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15.833855055164506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0.85734570720476566</v>
      </c>
      <c r="AC57" s="24">
        <f t="shared" si="3"/>
        <v>16.69120076236927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247</v>
      </c>
      <c r="L58" s="13">
        <f>VLOOKUP(A58,'Données projet'!$A$35:$I$55,9,0)</f>
        <v>6.2</v>
      </c>
      <c r="M58" s="13">
        <f t="array" ref="M58">INDEX(L:L,MIN(IF(ISNUMBER(L58:L254),ROW(L58:L254),"")))</f>
        <v>6.2</v>
      </c>
      <c r="N58" s="14">
        <f>IF('Données projet'!$A$36&gt;35,N57+M58-V57,IF(A58&lt;'Données projet'!$A$36,$K$205^A58,IF(A58='Données projet'!$A$36,'Données projet'!$B$36,N57+M58-V57)))</f>
        <v>247</v>
      </c>
      <c r="O58" s="14">
        <f>N58*VLOOKUP('Données projet'!$B$9,Paramètres!$A$1:$I$89,3,0)*VLOOKUP('Données projet'!$B$9,Paramètres!$A$1:$I$89,5,0)</f>
        <v>147.70600000000002</v>
      </c>
      <c r="P58" s="14">
        <f t="shared" si="33"/>
        <v>38.056799214709841</v>
      </c>
      <c r="Q58" s="22">
        <f t="shared" si="53"/>
        <v>323.53687529895296</v>
      </c>
      <c r="R58" s="62">
        <f t="shared" si="0"/>
        <v>616.87020863228622</v>
      </c>
      <c r="S58" s="62">
        <f ca="1">AVERAGE(OFFSET($R$3,0,0,'Données projet'!$E$9+1,1))-AVERAGE(OFFSET($H$3,0,0,'Données projet'!$E$9+1,1))</f>
        <v>125.50615549487452</v>
      </c>
      <c r="T58" s="62">
        <f t="shared" si="34"/>
        <v>156.05798578195993</v>
      </c>
      <c r="U58" s="16">
        <f>IF(ISNA(VLOOKUP(A58,'Données projet'!$A$35:$I$55,3,0)),0,VLOOKUP(A58,'Données projet'!$A$35:$I$55,3,0))</f>
        <v>6</v>
      </c>
      <c r="V58" s="16">
        <f>IF(ISNA(VLOOKUP(A58,'Données projet'!$A$35:$I$55,4,0)),0,VLOOKUP(A58,'Données projet'!$A$35:$I$55,4,0))</f>
        <v>247</v>
      </c>
      <c r="W58" s="17">
        <f>IF(ISNA(VLOOKUP(A58,'Données projet'!$A$35:$I$55,5,0)),0%,VLOOKUP(A58,'Données projet'!$A$35:$I$55,5,0)*VLOOKUP('Données projet'!$B$9,Paramètres!$A$1:$I$89,7,0))</f>
        <v>0.315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0.3</v>
      </c>
      <c r="Z58" s="23">
        <f>EXP(-LN(2)/35)*Z57+(1-EXP(-LN(2)/35))/(LN(2)/35)*V58*W58*VLOOKUP('Données projet'!$B$9,Paramètres!$A$1:$I$89,3,0)*0.475*44/12</f>
        <v>77.24494459360379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50.77748608491892</v>
      </c>
      <c r="AC58" s="24">
        <f t="shared" si="3"/>
        <v>128.02243067852271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125.50615549487452</v>
      </c>
      <c r="T59" s="62">
        <f t="shared" si="34"/>
        <v>156.05798578195993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75.73021834488722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35.90510474225173</v>
      </c>
      <c r="AC59" s="24">
        <f t="shared" si="3"/>
        <v>111.63532308713894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125.50615549487452</v>
      </c>
      <c r="T60" s="62">
        <f t="shared" si="34"/>
        <v>156.05798578195993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74.245194954016199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25.388743042459467</v>
      </c>
      <c r="AC60" s="24">
        <f t="shared" si="3"/>
        <v>99.633937996475666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125.50615549487452</v>
      </c>
      <c r="T61" s="62">
        <f t="shared" si="34"/>
        <v>156.05798578195993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72.789291966065335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17.952552371125869</v>
      </c>
      <c r="AC61" s="24">
        <f t="shared" si="3"/>
        <v>90.741844337191196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125.50615549487452</v>
      </c>
      <c r="T62" s="62">
        <f t="shared" si="34"/>
        <v>156.05798578195993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71.361938347695045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12.694371521229735</v>
      </c>
      <c r="AC62" s="24">
        <f t="shared" si="3"/>
        <v>84.056309868924785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125.50615549487452</v>
      </c>
      <c r="T63" s="62">
        <f t="shared" si="34"/>
        <v>156.05798578195993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69.962574263181253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8.976276185562936</v>
      </c>
      <c r="AC63" s="24">
        <f t="shared" si="3"/>
        <v>78.938850448744191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125.50615549487452</v>
      </c>
      <c r="T64" s="62">
        <f t="shared" si="34"/>
        <v>156.05798578195993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68.590650854836966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6.3471857606148685</v>
      </c>
      <c r="AC64" s="24">
        <f t="shared" si="3"/>
        <v>74.937836615451829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125.50615549487452</v>
      </c>
      <c r="T65" s="62">
        <f t="shared" si="34"/>
        <v>156.05798578195993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67.245630027739651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4.488138092781468</v>
      </c>
      <c r="AC65" s="24">
        <f t="shared" si="3"/>
        <v>71.73376812052112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125.50615549487452</v>
      </c>
      <c r="T66" s="62">
        <f t="shared" si="34"/>
        <v>156.05798578195993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65.926984238680021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3.1735928803074342</v>
      </c>
      <c r="AC66" s="24">
        <f t="shared" si="3"/>
        <v>69.100577118987459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125.50615549487452</v>
      </c>
      <c r="T67" s="62">
        <f t="shared" si="34"/>
        <v>156.05798578195993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64.634196289249331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2.244069046390734</v>
      </c>
      <c r="AC67" s="24">
        <f t="shared" si="3"/>
        <v>66.878265335640066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125.50615549487452</v>
      </c>
      <c r="T68" s="62">
        <f t="shared" si="34"/>
        <v>156.05798578195993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63.366759122984192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1.5867964401537171</v>
      </c>
      <c r="AC68" s="24">
        <f t="shared" ref="AC68:AC131" si="57">SUM(Z68:AB68)</f>
        <v>64.953555563137911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125.50615549487452</v>
      </c>
      <c r="T69" s="62">
        <f t="shared" ref="T69:T132" si="88">$T$3</f>
        <v>156.05798578195993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62.124175626489176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1.122034523195367</v>
      </c>
      <c r="AC69" s="24">
        <f t="shared" si="57"/>
        <v>63.246210149684543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125.50615549487452</v>
      </c>
      <c r="T70" s="62">
        <f t="shared" si="88"/>
        <v>156.05798578195993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60.905958434459329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0.79339822007685856</v>
      </c>
      <c r="AC70" s="24">
        <f t="shared" si="57"/>
        <v>61.699356654536189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125.50615549487452</v>
      </c>
      <c r="T71" s="62">
        <f t="shared" si="88"/>
        <v>156.05798578195993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59.711629738526071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0.5610172615976835</v>
      </c>
      <c r="AC71" s="24">
        <f t="shared" si="57"/>
        <v>60.272647000123754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125.50615549487452</v>
      </c>
      <c r="T72" s="62">
        <f t="shared" si="88"/>
        <v>156.05798578195993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58.540721099851488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0.39669911003842928</v>
      </c>
      <c r="AC72" s="24">
        <f t="shared" si="57"/>
        <v>58.937420209889915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125.50615549487452</v>
      </c>
      <c r="T73" s="62">
        <f t="shared" si="88"/>
        <v>156.05798578195993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57.392773265397565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0.28050863079884175</v>
      </c>
      <c r="AC73" s="24">
        <f t="shared" si="57"/>
        <v>57.673281896196407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125.50615549487452</v>
      </c>
      <c r="T74" s="62">
        <f t="shared" si="88"/>
        <v>156.05798578195993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56.267335987798241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0.19834955501921464</v>
      </c>
      <c r="AC74" s="24">
        <f t="shared" si="57"/>
        <v>56.465685542817454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125.50615549487452</v>
      </c>
      <c r="T75" s="62">
        <f t="shared" si="88"/>
        <v>156.05798578195993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55.163967848763683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0.14025431539942088</v>
      </c>
      <c r="AC75" s="24">
        <f t="shared" si="57"/>
        <v>55.3042221641631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125.50615549487452</v>
      </c>
      <c r="T76" s="62">
        <f t="shared" si="88"/>
        <v>156.05798578195993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54.082236085947478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9.917477750960732E-2</v>
      </c>
      <c r="AC76" s="24">
        <f t="shared" si="57"/>
        <v>54.181410863457089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125.50615549487452</v>
      </c>
      <c r="T77" s="62">
        <f t="shared" si="88"/>
        <v>156.05798578195993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53.021716423208872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7.0127157699710438E-2</v>
      </c>
      <c r="AC77" s="24">
        <f t="shared" si="57"/>
        <v>53.091843580908581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125.50615549487452</v>
      </c>
      <c r="T78" s="62">
        <f t="shared" si="88"/>
        <v>156.05798578195993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51.981992904203452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4.958738875480366E-2</v>
      </c>
      <c r="AC78" s="24">
        <f t="shared" si="57"/>
        <v>52.031580292958253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125.50615549487452</v>
      </c>
      <c r="T79" s="62">
        <f t="shared" si="88"/>
        <v>156.05798578195993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50.962657729236994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3.5063578849855219E-2</v>
      </c>
      <c r="AC79" s="24">
        <f t="shared" si="57"/>
        <v>50.997721308086852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125.50615549487452</v>
      </c>
      <c r="T80" s="62">
        <f t="shared" si="88"/>
        <v>156.05798578195993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49.963311095318566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2.479369437740183E-2</v>
      </c>
      <c r="AC80" s="24">
        <f t="shared" si="57"/>
        <v>49.988104789695967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125.50615549487452</v>
      </c>
      <c r="T81" s="62">
        <f t="shared" si="88"/>
        <v>156.05798578195993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48.983561039350022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1.7531789424927609E-2</v>
      </c>
      <c r="AC81" s="24">
        <f t="shared" si="57"/>
        <v>49.001092828774951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125.50615549487452</v>
      </c>
      <c r="T82" s="62">
        <f t="shared" si="88"/>
        <v>156.05798578195993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48.02302328439049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1.2396847188700915E-2</v>
      </c>
      <c r="AC82" s="24">
        <f t="shared" si="57"/>
        <v>48.035420131579194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125.50615549487452</v>
      </c>
      <c r="T83" s="62">
        <f t="shared" si="88"/>
        <v>156.05798578195993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47.081321088935532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8.7658947124638047E-3</v>
      </c>
      <c r="AC83" s="24">
        <f t="shared" si="57"/>
        <v>47.090086983647993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125.50615549487452</v>
      </c>
      <c r="T84" s="62">
        <f t="shared" si="88"/>
        <v>156.05798578195993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46.158085099151826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6.1984235943504575E-3</v>
      </c>
      <c r="AC84" s="24">
        <f t="shared" si="57"/>
        <v>46.164283522746175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125.50615549487452</v>
      </c>
      <c r="T85" s="62">
        <f t="shared" si="88"/>
        <v>156.05798578195993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45.25295320400943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4.3829473562319024E-3</v>
      </c>
      <c r="AC85" s="24">
        <f t="shared" si="57"/>
        <v>45.257336151365664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125.50615549487452</v>
      </c>
      <c r="T86" s="62">
        <f t="shared" si="88"/>
        <v>156.05798578195993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44.365570393254828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3.0992117971752288E-3</v>
      </c>
      <c r="AC86" s="24">
        <f t="shared" si="57"/>
        <v>44.368669605052006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125.50615549487452</v>
      </c>
      <c r="T87" s="62">
        <f t="shared" si="88"/>
        <v>156.05798578195993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43.495588618169059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2.1914736781159512E-3</v>
      </c>
      <c r="AC87" s="24">
        <f t="shared" si="57"/>
        <v>43.497780091847176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125.50615549487452</v>
      </c>
      <c r="T88" s="62">
        <f t="shared" si="88"/>
        <v>156.05798578195993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42.642666655056232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1.5496058985876144E-3</v>
      </c>
      <c r="AC88" s="24">
        <f t="shared" si="57"/>
        <v>42.644216260954821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125.50615549487452</v>
      </c>
      <c r="T89" s="62">
        <f t="shared" si="88"/>
        <v>156.05798578195993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41.806469971409015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1.0957368390579756E-3</v>
      </c>
      <c r="AC89" s="24">
        <f t="shared" si="57"/>
        <v>41.80756570824807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125.50615549487452</v>
      </c>
      <c r="T90" s="62">
        <f t="shared" si="88"/>
        <v>156.05798578195993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40.986670594698509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7.7480294929380719E-4</v>
      </c>
      <c r="AC90" s="24">
        <f t="shared" si="57"/>
        <v>40.987445397647804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125.50615549487452</v>
      </c>
      <c r="T91" s="62">
        <f t="shared" si="88"/>
        <v>156.05798578195993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40.182946983737047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5.478684195289878E-4</v>
      </c>
      <c r="AC91" s="24">
        <f t="shared" si="57"/>
        <v>40.183494852156578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125.50615549487452</v>
      </c>
      <c r="T92" s="62">
        <f t="shared" si="88"/>
        <v>156.05798578195993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39.394983902563546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3.8740147464690359E-4</v>
      </c>
      <c r="AC92" s="24">
        <f t="shared" si="57"/>
        <v>39.395371304038193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125.50615549487452</v>
      </c>
      <c r="T93" s="62">
        <f t="shared" si="88"/>
        <v>156.05798578195993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38.622472296801831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2.739342097644939E-4</v>
      </c>
      <c r="AC93" s="24">
        <f t="shared" si="57"/>
        <v>38.622746231011597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125.50615549487452</v>
      </c>
      <c r="T94" s="62">
        <f t="shared" si="88"/>
        <v>156.05798578195993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37.865109172443553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1.937007373234518E-4</v>
      </c>
      <c r="AC94" s="24">
        <f t="shared" si="57"/>
        <v>37.865302873180873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125.50615549487452</v>
      </c>
      <c r="T95" s="62">
        <f t="shared" si="88"/>
        <v>156.05798578195993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37.122597477008043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1.3696710488224695E-4</v>
      </c>
      <c r="AC95" s="24">
        <f t="shared" si="57"/>
        <v>37.122734444112922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125.50615549487452</v>
      </c>
      <c r="T96" s="62">
        <f t="shared" si="88"/>
        <v>156.05798578195993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36.394645983032611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9.6850368661725899E-5</v>
      </c>
      <c r="AC96" s="24">
        <f t="shared" si="57"/>
        <v>36.394742833401274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125.50615549487452</v>
      </c>
      <c r="T97" s="62">
        <f t="shared" si="88"/>
        <v>156.05798578195993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35.680969173847465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6.8483552441123475E-5</v>
      </c>
      <c r="AC97" s="24">
        <f t="shared" si="57"/>
        <v>35.681037657399905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125.50615549487452</v>
      </c>
      <c r="T98" s="62">
        <f t="shared" si="88"/>
        <v>156.05798578195993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34.98128713159057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4.8425184330862949E-5</v>
      </c>
      <c r="AC98" s="24">
        <f t="shared" si="57"/>
        <v>34.981335556774901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125.50615549487452</v>
      </c>
      <c r="T99" s="62">
        <f t="shared" si="88"/>
        <v>156.05798578195993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34.295325427418426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3.4241776220561737E-5</v>
      </c>
      <c r="AC99" s="24">
        <f t="shared" si="57"/>
        <v>34.295359669194646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125.50615549487452</v>
      </c>
      <c r="T100" s="62">
        <f t="shared" si="88"/>
        <v>156.05798578195993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33.622815013869776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2.4212592165431475E-5</v>
      </c>
      <c r="AC100" s="24">
        <f t="shared" si="57"/>
        <v>33.622839226461942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125.50615549487452</v>
      </c>
      <c r="T101" s="62">
        <f t="shared" si="88"/>
        <v>156.05798578195993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32.963492119339961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1.7120888110280869E-5</v>
      </c>
      <c r="AC101" s="24">
        <f t="shared" si="57"/>
        <v>32.96350924022807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125.50615549487452</v>
      </c>
      <c r="T102" s="62">
        <f t="shared" si="88"/>
        <v>156.05798578195993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32.317098144624616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1.2106296082715737E-5</v>
      </c>
      <c r="AC102" s="24">
        <f t="shared" si="57"/>
        <v>32.317110250920699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125.50615549487452</v>
      </c>
      <c r="T103" s="62">
        <f t="shared" si="88"/>
        <v>156.05798578195993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31.68337956149205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8.5604440551404343E-6</v>
      </c>
      <c r="AC103" s="24">
        <f t="shared" si="57"/>
        <v>31.683388121936105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125.50615549487452</v>
      </c>
      <c r="T104" s="62">
        <f t="shared" si="88"/>
        <v>156.05798578195993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31.062087813244542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6.0531480413578687E-6</v>
      </c>
      <c r="AC104" s="24">
        <f t="shared" si="57"/>
        <v>31.062093866392583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125.50615549487452</v>
      </c>
      <c r="T105" s="62">
        <f t="shared" si="88"/>
        <v>156.05798578195993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30.452979217229622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4.2802220275702172E-6</v>
      </c>
      <c r="AC105" s="24">
        <f t="shared" si="57"/>
        <v>30.452983497451651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125.50615549487452</v>
      </c>
      <c r="T106" s="62">
        <f t="shared" si="88"/>
        <v>156.05798578195993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29.855814869262993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3.0265740206789343E-6</v>
      </c>
      <c r="AC106" s="24">
        <f t="shared" si="57"/>
        <v>29.855817895837014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125.50615549487452</v>
      </c>
      <c r="T107" s="62">
        <f t="shared" si="88"/>
        <v>156.05798578195993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29.270360549925702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2.1401110137851086E-6</v>
      </c>
      <c r="AC107" s="24">
        <f t="shared" si="57"/>
        <v>29.270362690036716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125.50615549487452</v>
      </c>
      <c r="T108" s="62">
        <f t="shared" si="88"/>
        <v>156.05798578195993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28.69638663269874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1.5132870103394672E-6</v>
      </c>
      <c r="AC108" s="24">
        <f t="shared" si="57"/>
        <v>28.69638814598575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125.50615549487452</v>
      </c>
      <c r="T109" s="62">
        <f t="shared" si="88"/>
        <v>156.05798578195993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28.133667993899078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1.0700555068925543E-6</v>
      </c>
      <c r="AC109" s="24">
        <f t="shared" si="57"/>
        <v>28.133669063954585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125.50615549487452</v>
      </c>
      <c r="T110" s="62">
        <f t="shared" si="88"/>
        <v>156.05798578195993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27.581983924381799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7.5664350516973358E-7</v>
      </c>
      <c r="AC110" s="24">
        <f t="shared" si="57"/>
        <v>27.581984681025304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125.50615549487452</v>
      </c>
      <c r="T111" s="62">
        <f t="shared" si="88"/>
        <v>156.05798578195993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27.041118042973697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5.3502775344627714E-7</v>
      </c>
      <c r="AC111" s="24">
        <f t="shared" si="57"/>
        <v>27.041118578001448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125.50615549487452</v>
      </c>
      <c r="T112" s="62">
        <f t="shared" si="88"/>
        <v>156.05798578195993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26.510858211604397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3.7832175258486679E-7</v>
      </c>
      <c r="AC112" s="24">
        <f t="shared" si="57"/>
        <v>26.510858589926148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125.50615549487452</v>
      </c>
      <c r="T113" s="62">
        <f t="shared" si="88"/>
        <v>156.05798578195993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25.990996452101687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2.6751387672313857E-7</v>
      </c>
      <c r="AC113" s="24">
        <f t="shared" si="57"/>
        <v>25.990996719615563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125.50615549487452</v>
      </c>
      <c r="T114" s="62">
        <f t="shared" si="88"/>
        <v>156.05798578195993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25.481328864618462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1.891608762924334E-7</v>
      </c>
      <c r="AC114" s="24">
        <f t="shared" si="57"/>
        <v>25.481329053779337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125.50615549487452</v>
      </c>
      <c r="T115" s="62">
        <f t="shared" si="88"/>
        <v>156.05798578195993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24.981655547659248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1.3375693836156929E-7</v>
      </c>
      <c r="AC115" s="24">
        <f t="shared" si="57"/>
        <v>24.981655681416186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125.50615549487452</v>
      </c>
      <c r="T116" s="62">
        <f t="shared" si="88"/>
        <v>156.05798578195993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24.491780519674975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9.4580438146216698E-8</v>
      </c>
      <c r="AC116" s="24">
        <f t="shared" si="57"/>
        <v>24.491780614255415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125.50615549487452</v>
      </c>
      <c r="T117" s="62">
        <f t="shared" si="88"/>
        <v>156.05798578195993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24.01151164219521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6.6878469180784643E-8</v>
      </c>
      <c r="AC117" s="24">
        <f t="shared" si="57"/>
        <v>24.01151170907368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125.50615549487452</v>
      </c>
      <c r="T118" s="62">
        <f t="shared" si="88"/>
        <v>156.05798578195993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23.540660544467734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4.7290219073108349E-8</v>
      </c>
      <c r="AC118" s="24">
        <f t="shared" si="57"/>
        <v>23.540660591757952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125.50615549487452</v>
      </c>
      <c r="T119" s="62">
        <f t="shared" si="88"/>
        <v>156.05798578195993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23.079042549575881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3.3439234590392322E-8</v>
      </c>
      <c r="AC119" s="24">
        <f t="shared" si="57"/>
        <v>23.079042583015116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125.50615549487452</v>
      </c>
      <c r="T120" s="62">
        <f t="shared" si="88"/>
        <v>156.05798578195993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22.626476602004683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2.3645109536554174E-8</v>
      </c>
      <c r="AC120" s="24">
        <f t="shared" si="57"/>
        <v>22.626476625649794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125.50615549487452</v>
      </c>
      <c r="T121" s="62">
        <f t="shared" si="88"/>
        <v>156.05798578195993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22.182785196627382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1.6719617295196161E-8</v>
      </c>
      <c r="AC121" s="24">
        <f t="shared" si="57"/>
        <v>22.182785213347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125.50615549487452</v>
      </c>
      <c r="T122" s="62">
        <f t="shared" si="88"/>
        <v>156.05798578195993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21.747794309084497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1.1822554768277087E-8</v>
      </c>
      <c r="AC122" s="24">
        <f t="shared" si="57"/>
        <v>21.747794320907051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125.50615549487452</v>
      </c>
      <c r="T123" s="62">
        <f t="shared" si="88"/>
        <v>156.05798578195993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21.321333327528084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8.3598086475980804E-9</v>
      </c>
      <c r="AC123" s="24">
        <f t="shared" si="57"/>
        <v>21.321333335887893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125.50615549487452</v>
      </c>
      <c r="T124" s="62">
        <f t="shared" si="88"/>
        <v>156.05798578195993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20.903234985704479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5.9112773841385436E-9</v>
      </c>
      <c r="AC124" s="24">
        <f t="shared" si="57"/>
        <v>20.903234991615758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125.50615549487452</v>
      </c>
      <c r="T125" s="62">
        <f t="shared" si="88"/>
        <v>156.05798578195993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20.493335297349226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4.1799043237990402E-9</v>
      </c>
      <c r="AC125" s="24">
        <f t="shared" si="57"/>
        <v>20.493335301529129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125.50615549487452</v>
      </c>
      <c r="T126" s="62">
        <f t="shared" si="88"/>
        <v>156.05798578195993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20.091473491868495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2.9556386920692718E-9</v>
      </c>
      <c r="AC126" s="24">
        <f t="shared" si="57"/>
        <v>20.091473494824132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125.50615549487452</v>
      </c>
      <c r="T127" s="62">
        <f t="shared" si="88"/>
        <v>156.05798578195993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19.697491951281744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2.0899521618995201E-9</v>
      </c>
      <c r="AC127" s="24">
        <f t="shared" si="57"/>
        <v>19.697491953371696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125.50615549487452</v>
      </c>
      <c r="T128" s="62">
        <f t="shared" si="88"/>
        <v>156.05798578195993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19.311236148400887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1.4778193460346359E-9</v>
      </c>
      <c r="AC128" s="24">
        <f t="shared" si="57"/>
        <v>19.311236149878706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125.50615549487452</v>
      </c>
      <c r="T129" s="62">
        <f t="shared" si="88"/>
        <v>156.05798578195993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18.932554586221748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1.04497608094976E-9</v>
      </c>
      <c r="AC129" s="24">
        <f t="shared" si="57"/>
        <v>18.932554587266726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125.50615549487452</v>
      </c>
      <c r="T130" s="62">
        <f t="shared" si="88"/>
        <v>156.05798578195993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18.561298738503996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7.3890967301731795E-10</v>
      </c>
      <c r="AC130" s="24">
        <f t="shared" si="57"/>
        <v>18.561298739242908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125.50615549487452</v>
      </c>
      <c r="T131" s="62">
        <f t="shared" si="88"/>
        <v>156.05798578195993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18.19732299151628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5.2248804047488002E-10</v>
      </c>
      <c r="AC131" s="24">
        <f t="shared" si="57"/>
        <v>18.197322992038767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125.50615549487452</v>
      </c>
      <c r="T132" s="62">
        <f t="shared" si="88"/>
        <v>156.05798578195993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17.840484586923708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3.6945483650865898E-10</v>
      </c>
      <c r="AC132" s="24">
        <f t="shared" ref="AC132:AC153" si="111">SUM(Z132:AB132)</f>
        <v>17.840484587293162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125.50615549487452</v>
      </c>
      <c r="T133" s="62">
        <f t="shared" ref="T133:T196" si="142">$T$3</f>
        <v>156.05798578195993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17.49064356579526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2.6124402023744001E-10</v>
      </c>
      <c r="AC133" s="24">
        <f t="shared" si="111"/>
        <v>17.490643566056505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125.50615549487452</v>
      </c>
      <c r="T134" s="62">
        <f t="shared" si="142"/>
        <v>156.05798578195993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17.147662713709188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1.8472741825432949E-10</v>
      </c>
      <c r="AC134" s="24">
        <f t="shared" si="111"/>
        <v>17.147662713893915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125.50615549487452</v>
      </c>
      <c r="T135" s="62">
        <f t="shared" si="142"/>
        <v>156.05798578195993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16.811407506934863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1.3062201011872001E-10</v>
      </c>
      <c r="AC135" s="24">
        <f t="shared" si="111"/>
        <v>16.811407507065486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125.50615549487452</v>
      </c>
      <c r="T136" s="62">
        <f t="shared" si="142"/>
        <v>156.05798578195993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16.481746059669955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9.2363709127164744E-11</v>
      </c>
      <c r="AC136" s="24">
        <f t="shared" si="111"/>
        <v>16.481746059762319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125.50615549487452</v>
      </c>
      <c r="T137" s="62">
        <f t="shared" si="142"/>
        <v>156.05798578195993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16.158549072312287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6.5311005059360003E-11</v>
      </c>
      <c r="AC137" s="24">
        <f t="shared" si="111"/>
        <v>16.158549072377596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125.50615549487452</v>
      </c>
      <c r="T138" s="62">
        <f t="shared" si="142"/>
        <v>156.05798578195993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15.841689780746004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4.6181854563582372E-11</v>
      </c>
      <c r="AC138" s="24">
        <f t="shared" si="111"/>
        <v>15.841689780792185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125.50615549487452</v>
      </c>
      <c r="T139" s="62">
        <f t="shared" si="142"/>
        <v>156.05798578195993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15.53104390662225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3.2655502529680001E-11</v>
      </c>
      <c r="AC139" s="24">
        <f t="shared" si="111"/>
        <v>15.531043906654904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125.50615549487452</v>
      </c>
      <c r="T140" s="62">
        <f t="shared" si="142"/>
        <v>156.05798578195993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15.22648960861479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2.3090927281791186E-11</v>
      </c>
      <c r="AC140" s="24">
        <f t="shared" si="111"/>
        <v>15.22648960863788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125.50615549487452</v>
      </c>
      <c r="T141" s="62">
        <f t="shared" si="142"/>
        <v>156.05798578195993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14.927907434631475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1.6327751264840001E-11</v>
      </c>
      <c r="AC141" s="24">
        <f t="shared" si="111"/>
        <v>14.927907434647803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125.50615549487452</v>
      </c>
      <c r="T142" s="62">
        <f t="shared" si="142"/>
        <v>156.05798578195993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14.635180274962831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1.1545463640895593E-11</v>
      </c>
      <c r="AC142" s="24">
        <f t="shared" si="111"/>
        <v>14.635180274974378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125.50615549487452</v>
      </c>
      <c r="T143" s="62">
        <f t="shared" si="142"/>
        <v>156.05798578195993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14.348193316349352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8.1638756324200004E-12</v>
      </c>
      <c r="AC143" s="24">
        <f t="shared" si="111"/>
        <v>14.348193316357516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125.50615549487452</v>
      </c>
      <c r="T144" s="62">
        <f t="shared" si="142"/>
        <v>156.05798578195993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14.066833996949523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5.7727318204477965E-12</v>
      </c>
      <c r="AC144" s="24">
        <f t="shared" si="111"/>
        <v>14.066833996955296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125.50615549487452</v>
      </c>
      <c r="T145" s="62">
        <f t="shared" si="142"/>
        <v>156.05798578195993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13.790991962190883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4.0819378162100002E-12</v>
      </c>
      <c r="AC145" s="24">
        <f t="shared" si="111"/>
        <v>13.790991962194965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125.50615549487452</v>
      </c>
      <c r="T146" s="62">
        <f t="shared" si="142"/>
        <v>156.05798578195993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13.520559021486834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2.8863659102238983E-12</v>
      </c>
      <c r="AC146" s="24">
        <f t="shared" si="111"/>
        <v>13.520559021489721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125.50615549487452</v>
      </c>
      <c r="T147" s="62">
        <f t="shared" si="142"/>
        <v>156.05798578195993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13.255429105802184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2.0409689081050001E-12</v>
      </c>
      <c r="AC147" s="24">
        <f t="shared" si="111"/>
        <v>13.255429105804225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125.50615549487452</v>
      </c>
      <c r="T148" s="62">
        <f t="shared" si="142"/>
        <v>156.05798578195993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12.995498226050829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1.4431829551119491E-12</v>
      </c>
      <c r="AC148" s="24">
        <f t="shared" si="111"/>
        <v>12.995498226052272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125.50615549487452</v>
      </c>
      <c r="T149" s="62">
        <f t="shared" si="142"/>
        <v>156.05798578195993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12.740664432309217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1.0204844540525E-12</v>
      </c>
      <c r="AC149" s="24">
        <f t="shared" si="111"/>
        <v>12.740664432310236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125.50615549487452</v>
      </c>
      <c r="T150" s="62">
        <f t="shared" si="142"/>
        <v>156.05798578195993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12.49082777382961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7.2159147755597456E-13</v>
      </c>
      <c r="AC150" s="24">
        <f t="shared" si="111"/>
        <v>12.490827773830331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125.50615549487452</v>
      </c>
      <c r="T151" s="62">
        <f t="shared" si="142"/>
        <v>156.05798578195993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12.245890259837473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5.1024222702625002E-13</v>
      </c>
      <c r="AC151" s="24">
        <f t="shared" si="111"/>
        <v>12.245890259837983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125.50615549487452</v>
      </c>
      <c r="T152" s="62">
        <f t="shared" si="142"/>
        <v>156.05798578195993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12.005755821097591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3.6079573877798728E-13</v>
      </c>
      <c r="AC152" s="24">
        <f t="shared" si="111"/>
        <v>12.005755821097951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125.50615549487452</v>
      </c>
      <c r="T153" s="62">
        <f t="shared" si="142"/>
        <v>156.05798578195993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11.770330272233853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2.5512111351312501E-13</v>
      </c>
      <c r="AC153" s="24">
        <f t="shared" si="111"/>
        <v>11.770330272234109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125.50615549487452</v>
      </c>
      <c r="T154" s="62">
        <f t="shared" si="142"/>
        <v>156.05798578195993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11.539521274787926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1.8039786938899364E-13</v>
      </c>
      <c r="AC154" s="24">
        <f t="shared" ref="AC154:AC203" si="163">SUM(Z154:AB154)</f>
        <v>11.539521274788108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125.50615549487452</v>
      </c>
      <c r="T155" s="62">
        <f t="shared" si="142"/>
        <v>156.05798578195993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11.313238301002327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1.2756055675656251E-13</v>
      </c>
      <c r="AC155" s="24">
        <f t="shared" si="163"/>
        <v>11.313238301002455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125.50615549487452</v>
      </c>
      <c r="T156" s="62">
        <f t="shared" si="142"/>
        <v>156.05798578195993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11.091392598313679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9.019893469449682E-14</v>
      </c>
      <c r="AC156" s="24">
        <f t="shared" si="163"/>
        <v>11.091392598313769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125.50615549487452</v>
      </c>
      <c r="T157" s="62">
        <f t="shared" si="142"/>
        <v>156.05798578195993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10.873897154542236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6.3780278378281253E-14</v>
      </c>
      <c r="AC157" s="24">
        <f t="shared" si="163"/>
        <v>10.8738971545423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125.50615549487452</v>
      </c>
      <c r="T158" s="62">
        <f t="shared" si="142"/>
        <v>156.05798578195993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10.660666663764029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4.509946734724841E-14</v>
      </c>
      <c r="AC158" s="24">
        <f t="shared" si="163"/>
        <v>10.660666663764074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125.50615549487452</v>
      </c>
      <c r="T159" s="62">
        <f t="shared" si="142"/>
        <v>156.05798578195993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10.451617492852227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3.1890139189140626E-14</v>
      </c>
      <c r="AC159" s="24">
        <f t="shared" si="163"/>
        <v>10.451617492852259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125.50615549487452</v>
      </c>
      <c r="T160" s="62">
        <f t="shared" si="142"/>
        <v>156.05798578195993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10.246667648674601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2.2549733673624205E-14</v>
      </c>
      <c r="AC160" s="24">
        <f t="shared" si="163"/>
        <v>10.246667648674624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125.50615549487452</v>
      </c>
      <c r="T161" s="62">
        <f t="shared" si="142"/>
        <v>156.05798578195993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10.045736745934237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1.5945069594570313E-14</v>
      </c>
      <c r="AC161" s="24">
        <f t="shared" si="163"/>
        <v>10.045736745934253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125.50615549487452</v>
      </c>
      <c r="T162" s="62">
        <f t="shared" si="142"/>
        <v>156.05798578195993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9.8487459756408615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1.1274866836812103E-14</v>
      </c>
      <c r="AC162" s="24">
        <f t="shared" si="163"/>
        <v>9.8487459756408722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125.50615549487452</v>
      </c>
      <c r="T163" s="62">
        <f t="shared" si="142"/>
        <v>156.05798578195993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9.6556180742004329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7.9725347972851566E-15</v>
      </c>
      <c r="AC163" s="24">
        <f t="shared" si="163"/>
        <v>9.65561807420044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125.50615549487452</v>
      </c>
      <c r="T164" s="62">
        <f t="shared" si="142"/>
        <v>156.05798578195993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9.4662772931108634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5.6374334184060513E-15</v>
      </c>
      <c r="AC164" s="24">
        <f t="shared" si="163"/>
        <v>9.4662772931108687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125.50615549487452</v>
      </c>
      <c r="T165" s="62">
        <f t="shared" si="142"/>
        <v>156.05798578195993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9.2806493692519876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3.9862673986425783E-15</v>
      </c>
      <c r="AC165" s="24">
        <f t="shared" si="163"/>
        <v>9.2806493692519911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125.50615549487452</v>
      </c>
      <c r="T166" s="62">
        <f t="shared" si="142"/>
        <v>156.05798578195993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9.0986614957581295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2.8187167092030256E-15</v>
      </c>
      <c r="AC166" s="24">
        <f t="shared" si="163"/>
        <v>9.0986614957581331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125.50615549487452</v>
      </c>
      <c r="T167" s="62">
        <f t="shared" si="142"/>
        <v>156.05798578195993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8.9202422934618433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1.9931336993212892E-15</v>
      </c>
      <c r="AC167" s="24">
        <f t="shared" si="163"/>
        <v>8.9202422934618451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125.50615549487452</v>
      </c>
      <c r="T168" s="62">
        <f t="shared" si="142"/>
        <v>156.05798578195993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8.7453217828976193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1.4093583546015128E-15</v>
      </c>
      <c r="AC168" s="24">
        <f t="shared" si="163"/>
        <v>8.7453217828976211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125.50615549487452</v>
      </c>
      <c r="T169" s="62">
        <f t="shared" si="142"/>
        <v>156.05798578195993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8.5738313568545834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9.9656684966064458E-16</v>
      </c>
      <c r="AC169" s="24">
        <f t="shared" si="163"/>
        <v>8.5738313568545852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125.50615549487452</v>
      </c>
      <c r="T170" s="62">
        <f t="shared" si="142"/>
        <v>156.05798578195993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8.4057037534674208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7.0467917730075641E-16</v>
      </c>
      <c r="AC170" s="24">
        <f t="shared" si="163"/>
        <v>8.4057037534674208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125.50615549487452</v>
      </c>
      <c r="T171" s="62">
        <f t="shared" si="142"/>
        <v>156.05798578195993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8.2408730298349671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4.9828342483032229E-16</v>
      </c>
      <c r="AC171" s="24">
        <f t="shared" si="163"/>
        <v>8.2408730298349671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125.50615549487452</v>
      </c>
      <c r="T172" s="62">
        <f t="shared" si="142"/>
        <v>156.05798578195993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8.0792745361561327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3.523395886503782E-16</v>
      </c>
      <c r="AC172" s="24">
        <f t="shared" si="163"/>
        <v>8.0792745361561327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125.50615549487452</v>
      </c>
      <c r="T173" s="62">
        <f t="shared" si="142"/>
        <v>156.05798578195993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7.9208448903729911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2.4914171241516114E-16</v>
      </c>
      <c r="AC173" s="24">
        <f t="shared" si="163"/>
        <v>7.9208448903729911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125.50615549487452</v>
      </c>
      <c r="T174" s="62">
        <f t="shared" si="142"/>
        <v>156.05798578195993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7.7655219533111151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1.761697943251891E-16</v>
      </c>
      <c r="AC174" s="24">
        <f t="shared" si="163"/>
        <v>7.7655219533111151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125.50615549487452</v>
      </c>
      <c r="T175" s="62">
        <f t="shared" si="142"/>
        <v>156.05798578195993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7.613244804307385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1.2457085620758057E-16</v>
      </c>
      <c r="AC175" s="24">
        <f t="shared" si="163"/>
        <v>7.613244804307385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125.50615549487452</v>
      </c>
      <c r="T176" s="62">
        <f t="shared" si="142"/>
        <v>156.05798578195993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7.4639537173157287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8.8084897162594551E-17</v>
      </c>
      <c r="AC176" s="24">
        <f t="shared" si="163"/>
        <v>7.4639537173157287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125.50615549487452</v>
      </c>
      <c r="T177" s="62">
        <f t="shared" si="142"/>
        <v>156.05798578195993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7.3175901374814067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6.2285428103790286E-17</v>
      </c>
      <c r="AC177" s="24">
        <f t="shared" si="163"/>
        <v>7.3175901374814067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125.50615549487452</v>
      </c>
      <c r="T178" s="62">
        <f t="shared" si="142"/>
        <v>156.05798578195993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7.1740966581746672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4.4042448581297276E-17</v>
      </c>
      <c r="AC178" s="24">
        <f t="shared" si="163"/>
        <v>7.1740966581746672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125.50615549487452</v>
      </c>
      <c r="T179" s="62">
        <f t="shared" si="142"/>
        <v>156.05798578195993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7.0334169984747525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3.1142714051895143E-17</v>
      </c>
      <c r="AC179" s="24">
        <f t="shared" si="163"/>
        <v>7.0334169984747525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125.50615549487452</v>
      </c>
      <c r="T180" s="62">
        <f t="shared" si="142"/>
        <v>156.05798578195993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6.8954959810954337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2.2021224290648638E-17</v>
      </c>
      <c r="AC180" s="24">
        <f t="shared" si="163"/>
        <v>6.8954959810954337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125.50615549487452</v>
      </c>
      <c r="T181" s="62">
        <f t="shared" si="142"/>
        <v>156.05798578195993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6.760279510743409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1.5571357025947572E-17</v>
      </c>
      <c r="AC181" s="24">
        <f t="shared" si="163"/>
        <v>6.760279510743409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125.50615549487452</v>
      </c>
      <c r="T182" s="62">
        <f t="shared" si="142"/>
        <v>156.05798578195993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6.6277145529010841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1.1010612145324319E-17</v>
      </c>
      <c r="AC182" s="24">
        <f t="shared" si="163"/>
        <v>6.6277145529010841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125.50615549487452</v>
      </c>
      <c r="T183" s="62">
        <f t="shared" si="142"/>
        <v>156.05798578195993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6.4977491130254066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7.7856785129737858E-18</v>
      </c>
      <c r="AC183" s="24">
        <f t="shared" si="163"/>
        <v>6.4977491130254066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125.50615549487452</v>
      </c>
      <c r="T184" s="62">
        <f t="shared" si="142"/>
        <v>156.05798578195993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6.3703322161546003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5.5053060726621595E-18</v>
      </c>
      <c r="AC184" s="24">
        <f t="shared" si="163"/>
        <v>6.3703322161546003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125.50615549487452</v>
      </c>
      <c r="T185" s="62">
        <f t="shared" si="142"/>
        <v>156.05798578195993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6.2454138869147977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3.8928392564868929E-18</v>
      </c>
      <c r="AC185" s="24">
        <f t="shared" si="163"/>
        <v>6.2454138869147977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125.50615549487452</v>
      </c>
      <c r="T186" s="62">
        <f t="shared" si="142"/>
        <v>156.05798578195993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6.1229451299187296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2.7526530363310797E-18</v>
      </c>
      <c r="AC186" s="24">
        <f t="shared" si="163"/>
        <v>6.1229451299187296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125.50615549487452</v>
      </c>
      <c r="T187" s="62">
        <f t="shared" si="142"/>
        <v>156.05798578195993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6.0028779105487891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1.9464196282434464E-18</v>
      </c>
      <c r="AC187" s="24">
        <f t="shared" si="163"/>
        <v>6.0028779105487891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125.50615549487452</v>
      </c>
      <c r="T188" s="62">
        <f t="shared" si="142"/>
        <v>156.05798578195993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5.8851651361169202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1.3763265181655399E-18</v>
      </c>
      <c r="AC188" s="24">
        <f t="shared" si="163"/>
        <v>5.8851651361169202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125.50615549487452</v>
      </c>
      <c r="T189" s="62">
        <f t="shared" si="142"/>
        <v>156.05798578195993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5.7697606373939569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9.7320981412172322E-19</v>
      </c>
      <c r="AC189" s="24">
        <f t="shared" si="163"/>
        <v>5.7697606373939569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125.50615549487452</v>
      </c>
      <c r="T190" s="62">
        <f t="shared" si="142"/>
        <v>156.05798578195993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5.6566191505011574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6.8816325908276993E-19</v>
      </c>
      <c r="AC190" s="24">
        <f t="shared" si="163"/>
        <v>5.6566191505011574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125.50615549487452</v>
      </c>
      <c r="T191" s="62">
        <f t="shared" si="142"/>
        <v>156.05798578195993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5.545696299156833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4.8660490706086161E-19</v>
      </c>
      <c r="AC191" s="24">
        <f t="shared" si="163"/>
        <v>5.545696299156833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125.50615549487452</v>
      </c>
      <c r="T192" s="62">
        <f t="shared" si="142"/>
        <v>156.05798578195993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5.4369485772711119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3.4408162954138497E-19</v>
      </c>
      <c r="AC192" s="24">
        <f t="shared" si="163"/>
        <v>5.4369485772711119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125.50615549487452</v>
      </c>
      <c r="T193" s="62">
        <f t="shared" si="142"/>
        <v>156.05798578195993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5.3303333318820085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2.433024535304308E-19</v>
      </c>
      <c r="AC193" s="24">
        <f t="shared" si="163"/>
        <v>5.3303333318820085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125.50615549487452</v>
      </c>
      <c r="T194" s="62">
        <f t="shared" si="142"/>
        <v>156.05798578195993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5.2258087464261074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1.7204081477069248E-19</v>
      </c>
      <c r="AC194" s="24">
        <f t="shared" si="163"/>
        <v>5.2258087464261074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125.50615549487452</v>
      </c>
      <c r="T195" s="62">
        <f t="shared" si="142"/>
        <v>156.05798578195993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5.1233338243372941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1.216512267652154E-19</v>
      </c>
      <c r="AC195" s="24">
        <f t="shared" si="163"/>
        <v>5.1233338243372941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125.50615549487452</v>
      </c>
      <c r="T196" s="62">
        <f t="shared" si="142"/>
        <v>156.05798578195993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5.0228683729671122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8.6020407385346241E-20</v>
      </c>
      <c r="AC196" s="24">
        <f t="shared" si="163"/>
        <v>5.0228683729671122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125.50615549487452</v>
      </c>
      <c r="T197" s="62">
        <f t="shared" ref="T197:T203" si="204">$T$3</f>
        <v>156.05798578195993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4.9243729878204245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6.0825613382607701E-20</v>
      </c>
      <c r="AC197" s="24">
        <f t="shared" si="163"/>
        <v>4.9243729878204245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125.50615549487452</v>
      </c>
      <c r="T198" s="62">
        <f t="shared" si="204"/>
        <v>156.05798578195993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4.8278090371002103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4.3010203692673121E-20</v>
      </c>
      <c r="AC198" s="24">
        <f t="shared" si="163"/>
        <v>4.8278090371002103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125.50615549487452</v>
      </c>
      <c r="T199" s="62">
        <f t="shared" si="204"/>
        <v>156.05798578195993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4.7331386465554255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3.0412806691303851E-20</v>
      </c>
      <c r="AC199" s="24">
        <f t="shared" si="163"/>
        <v>4.7331386465554255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125.50615549487452</v>
      </c>
      <c r="T200" s="62">
        <f t="shared" si="204"/>
        <v>156.05798578195993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4.6403246846259876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2.150510184633656E-20</v>
      </c>
      <c r="AC200" s="24">
        <f t="shared" si="163"/>
        <v>4.6403246846259876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125.50615549487452</v>
      </c>
      <c r="T201" s="62">
        <f t="shared" si="204"/>
        <v>156.05798578195993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4.5493307478790586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1.5206403345651925E-20</v>
      </c>
      <c r="AC201" s="24">
        <f t="shared" si="163"/>
        <v>4.5493307478790586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125.50615549487452</v>
      </c>
      <c r="T202" s="62">
        <f t="shared" si="204"/>
        <v>156.05798578195993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4.4601211467309163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1.075255092316828E-20</v>
      </c>
      <c r="AC202" s="24">
        <f t="shared" si="163"/>
        <v>4.4601211467309163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125.50615549487452</v>
      </c>
      <c r="T203" s="62">
        <f t="shared" si="204"/>
        <v>156.05798578195993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4.3726608914488052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7.6032016728259627E-21</v>
      </c>
      <c r="AC203" s="24">
        <f t="shared" si="163"/>
        <v>4.3726608914488052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1.2529907072018422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5.3</v>
      </c>
      <c r="C6" s="156">
        <f ca="1">IF(OR('Données projet'!B9="",'Données projet'!C9="",'Données projet'!C9=0%),0,Calculateur!S3)</f>
        <v>125.50615549487452</v>
      </c>
      <c r="D6" s="156">
        <f>IF(OR('Données projet'!B9="",'Données projet'!C9="",'Données projet'!C9=0%),0,Calculateur!T3)</f>
        <v>156.05798578195993</v>
      </c>
      <c r="E6" s="156">
        <f ca="1">MIN(C6,D6)</f>
        <v>125.50615549487452</v>
      </c>
      <c r="F6" s="156">
        <f ca="1">E6*B6</f>
        <v>665.18262412283491</v>
      </c>
      <c r="G6" s="156">
        <f ca="1">F6*(100%-'Données projet'!$C$24)*(100%-'Données projet'!$C$25)*(100%-'Données projet'!$C$26)*(100%-'Données projet'!$C$27)</f>
        <v>508.86470745396872</v>
      </c>
      <c r="H6" s="157">
        <f>IF(OR('Données projet'!B9="",'Données projet'!C9="",'Données projet'!C9=0%),0,AVERAGE(Calculateur!$AC$3:$AC$33)*B6)</f>
        <v>20.617470465004317</v>
      </c>
      <c r="I6" s="158">
        <f>H6*(100%-'Données projet'!$C$24)*(100%-'Données projet'!$C$25)*(100%-'Données projet'!$C$26)*(100%-'Données projet'!$C$27)</f>
        <v>15.772364905728301</v>
      </c>
      <c r="J6" s="159">
        <f>IF(OR('Données projet'!B9="",'Données projet'!C9="",'Données projet'!C9=0%),0,SUM(Calculateur!$V$3:$V$33)*VLOOKUP('Données projet'!$B$9,Paramètres!$A$1:$I$89,9,0)*B6)</f>
        <v>212.63599999999997</v>
      </c>
      <c r="K6" s="160">
        <f>J6*(100%-'Données projet'!$C$24)*(100%-'Données projet'!$C$25)*(100%-'Données projet'!$C$26)*(100%-'Données projet'!$C$27)</f>
        <v>162.66653999999997</v>
      </c>
      <c r="L6" s="161">
        <f ca="1">G6+I6+K6</f>
        <v>687.30361235969701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665.18262412283491</v>
      </c>
      <c r="G16" s="175">
        <f t="shared" ca="1" si="3"/>
        <v>508.86470745396872</v>
      </c>
      <c r="H16" s="176">
        <f t="shared" si="3"/>
        <v>20.617470465004317</v>
      </c>
      <c r="I16" s="176">
        <f t="shared" si="3"/>
        <v>15.772364905728301</v>
      </c>
      <c r="J16" s="177">
        <f t="shared" si="3"/>
        <v>212.63599999999997</v>
      </c>
      <c r="K16" s="177">
        <f t="shared" si="3"/>
        <v>162.66653999999997</v>
      </c>
      <c r="L16" s="178">
        <f t="shared" ca="1" si="3"/>
        <v>687.30361235969701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7" zoomScale="90" zoomScaleNormal="90" workbookViewId="0">
      <selection activeCell="L16" sqref="L16:M1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2200.6780063771821</v>
      </c>
      <c r="U10" s="190">
        <f>'Données projet'!D9</f>
        <v>5.3</v>
      </c>
      <c r="V10" s="189">
        <f>U10*T10</f>
        <v>11663.593433799064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69.999999999999929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2799.9999999999973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2050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200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250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30</v>
      </c>
      <c r="C23" s="206">
        <v>15</v>
      </c>
      <c r="D23" s="194">
        <f>B23*C23</f>
        <v>450</v>
      </c>
      <c r="E23" s="206"/>
      <c r="F23" s="261"/>
      <c r="H23" s="203">
        <v>3</v>
      </c>
      <c r="I23" s="204">
        <v>1136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-6705.1094122699087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38</v>
      </c>
      <c r="C24" s="206">
        <v>25</v>
      </c>
      <c r="D24" s="194">
        <f t="shared" ref="D24:D42" si="2">B24*C24</f>
        <v>950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681.22969330953003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6">
        <v>30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-7386.3391055794391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36</v>
      </c>
      <c r="B26" s="193">
        <f>'Données projet'!D39</f>
        <v>48</v>
      </c>
      <c r="C26" s="206">
        <v>35</v>
      </c>
      <c r="D26" s="194">
        <f t="shared" si="2"/>
        <v>1680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55</v>
      </c>
      <c r="C27" s="206">
        <v>40</v>
      </c>
      <c r="D27" s="194">
        <f t="shared" si="2"/>
        <v>2200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55</v>
      </c>
      <c r="B28" s="193">
        <f>'Données projet'!D41</f>
        <v>247</v>
      </c>
      <c r="C28" s="206">
        <v>50</v>
      </c>
      <c r="D28" s="194">
        <f t="shared" si="2"/>
        <v>12350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2024-11-06T09:04:28Z</dcterms:modified>
</cp:coreProperties>
</file>