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Naudet_Misson (40)\Dossier d_instruction\"/>
    </mc:Choice>
  </mc:AlternateContent>
  <xr:revisionPtr revIDLastSave="0" documentId="13_ncr:1_{875AB7D1-5F81-43C6-AE48-A5A48A01EF60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AN187" i="2" l="1"/>
  <c r="FE163" i="2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AN100" i="2" l="1"/>
  <c r="AN101" i="2"/>
  <c r="AN43" i="2"/>
  <c r="AN142" i="2"/>
  <c r="AN51" i="2"/>
  <c r="AN92" i="2"/>
  <c r="AN56" i="2"/>
  <c r="AN155" i="2"/>
  <c r="AN18" i="2"/>
  <c r="AN114" i="2"/>
  <c r="AN138" i="2"/>
  <c r="AN31" i="2"/>
  <c r="AN140" i="2"/>
  <c r="AN162" i="2"/>
  <c r="AN68" i="2"/>
  <c r="AN184" i="2"/>
  <c r="AN79" i="2"/>
  <c r="AN173" i="2"/>
  <c r="AN145" i="2"/>
  <c r="AN143" i="2"/>
  <c r="AN147" i="2"/>
  <c r="AN136" i="2"/>
  <c r="AN122" i="2"/>
  <c r="AN175" i="2"/>
  <c r="AN169" i="2"/>
  <c r="AN161" i="2"/>
  <c r="AN11" i="2"/>
  <c r="AN93" i="2"/>
  <c r="AN26" i="2"/>
  <c r="AN160" i="2"/>
  <c r="AN99" i="2"/>
  <c r="AN65" i="2"/>
  <c r="AN197" i="2"/>
  <c r="AN17" i="2"/>
  <c r="AN77" i="2"/>
  <c r="AN78" i="2"/>
  <c r="AN159" i="2"/>
  <c r="AN191" i="2"/>
  <c r="AN203" i="2"/>
  <c r="AN55" i="2"/>
  <c r="AN13" i="2"/>
  <c r="AN104" i="2"/>
  <c r="AN194" i="2"/>
  <c r="AN37" i="2"/>
  <c r="AN131" i="2"/>
  <c r="AN153" i="2"/>
  <c r="AN149" i="2"/>
  <c r="AN106" i="2"/>
  <c r="AN32" i="2"/>
  <c r="AN86" i="2"/>
  <c r="AN152" i="2"/>
  <c r="AN15" i="2"/>
  <c r="AN73" i="2"/>
  <c r="AN42" i="2"/>
  <c r="AN20" i="2"/>
  <c r="AN186" i="2"/>
  <c r="AN198" i="2"/>
  <c r="AN59" i="2"/>
  <c r="AN7" i="2"/>
  <c r="AN167" i="2"/>
  <c r="AN154" i="2"/>
  <c r="AN39" i="2"/>
  <c r="AN132" i="2"/>
  <c r="AN189" i="2"/>
  <c r="AN58" i="2"/>
  <c r="AN102" i="2"/>
  <c r="AN19" i="2"/>
  <c r="AN69" i="2"/>
  <c r="AN200" i="2"/>
  <c r="AN166" i="2"/>
  <c r="AN47" i="2"/>
  <c r="AN12" i="2"/>
  <c r="AN16" i="2"/>
  <c r="AN150" i="2"/>
  <c r="AN50" i="2"/>
  <c r="AN119" i="2"/>
  <c r="AN34" i="2"/>
  <c r="AN111" i="2"/>
  <c r="AN71" i="2"/>
  <c r="AN85" i="2"/>
  <c r="AN108" i="2"/>
  <c r="AN48" i="2"/>
  <c r="AN96" i="2"/>
  <c r="AN107" i="2"/>
  <c r="AN190" i="2"/>
  <c r="AN124" i="2"/>
  <c r="AN141" i="2"/>
  <c r="AN80" i="2"/>
  <c r="AN90" i="2"/>
  <c r="AN82" i="2"/>
  <c r="AN127" i="2"/>
  <c r="AN41" i="2"/>
  <c r="AN62" i="2"/>
  <c r="AN22" i="2"/>
  <c r="AN21" i="2"/>
  <c r="AN75" i="2"/>
  <c r="AN103" i="2"/>
  <c r="AN40" i="2"/>
  <c r="AN83" i="2"/>
  <c r="AN165" i="2"/>
  <c r="AN97" i="2"/>
  <c r="AN89" i="2"/>
  <c r="AN10" i="2"/>
  <c r="AN53" i="2"/>
  <c r="AN57" i="2"/>
  <c r="AN156" i="2"/>
  <c r="AN168" i="2"/>
  <c r="AN38" i="2"/>
  <c r="AN128" i="2"/>
  <c r="AN91" i="2"/>
  <c r="AN60" i="2"/>
  <c r="AN3" i="2"/>
  <c r="C7" i="4" s="1"/>
  <c r="E7" i="4" s="1"/>
  <c r="F7" i="4" s="1"/>
  <c r="G7" i="4" s="1"/>
  <c r="L7" i="4" s="1"/>
  <c r="AN25" i="2"/>
  <c r="AN45" i="2"/>
  <c r="AN5" i="2"/>
  <c r="AN72" i="2"/>
  <c r="AN144" i="2"/>
  <c r="AN129" i="2"/>
  <c r="AN188" i="2"/>
  <c r="AN176" i="2"/>
  <c r="AN134" i="2"/>
  <c r="AN130" i="2"/>
  <c r="AN146" i="2"/>
  <c r="AN61" i="2"/>
  <c r="AN120" i="2"/>
  <c r="AN113" i="2"/>
  <c r="AN115" i="2"/>
  <c r="AN94" i="2"/>
  <c r="AN151" i="2"/>
  <c r="AN64" i="2"/>
  <c r="AN195" i="2"/>
  <c r="AN76" i="2"/>
  <c r="AN121" i="2"/>
  <c r="AN67" i="2"/>
  <c r="AN117" i="2"/>
  <c r="AN182" i="2"/>
  <c r="AN164" i="2"/>
  <c r="AN202" i="2"/>
  <c r="AN177" i="2"/>
  <c r="AN88" i="2"/>
  <c r="AN98" i="2"/>
  <c r="AN163" i="2"/>
  <c r="AN157" i="2"/>
  <c r="AN196" i="2"/>
  <c r="AN139" i="2"/>
  <c r="AN8" i="2"/>
  <c r="AN172" i="2"/>
  <c r="AN33" i="2"/>
  <c r="AN179" i="2"/>
  <c r="AN110" i="2"/>
  <c r="AN36" i="2"/>
  <c r="AN109" i="2"/>
  <c r="AN126" i="2"/>
  <c r="AN174" i="2"/>
  <c r="AN54" i="2"/>
  <c r="AN14" i="2"/>
  <c r="AN148" i="2"/>
  <c r="AN66" i="2"/>
  <c r="AN27" i="2"/>
  <c r="AN6" i="2"/>
  <c r="AN178" i="2"/>
  <c r="AN118" i="2"/>
  <c r="AN170" i="2"/>
  <c r="AN28" i="2"/>
  <c r="AN116" i="2"/>
  <c r="AN95" i="2"/>
  <c r="AN180" i="2"/>
  <c r="AN105" i="2"/>
  <c r="AN87" i="2"/>
  <c r="AN199" i="2"/>
  <c r="AN201" i="2"/>
  <c r="AN52" i="2"/>
  <c r="AN74" i="2"/>
  <c r="AN81" i="2"/>
  <c r="AN137" i="2"/>
  <c r="AN49" i="2"/>
  <c r="AN63" i="2"/>
  <c r="AN44" i="2"/>
  <c r="AN30" i="2"/>
  <c r="AN23" i="2"/>
  <c r="AN135" i="2"/>
  <c r="AN171" i="2"/>
  <c r="AN158" i="2"/>
  <c r="AN125" i="2"/>
  <c r="AN70" i="2"/>
  <c r="AN133" i="2"/>
  <c r="AN192" i="2"/>
  <c r="AN183" i="2"/>
  <c r="AN112" i="2"/>
  <c r="AN4" i="2"/>
  <c r="AN24" i="2"/>
  <c r="AN123" i="2"/>
  <c r="AN29" i="2"/>
  <c r="AN35" i="2"/>
  <c r="AN84" i="2"/>
  <c r="AN9" i="2"/>
  <c r="AN193" i="2"/>
  <c r="AN185" i="2"/>
  <c r="AN46" i="2"/>
  <c r="AN181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<sst xmlns="http://schemas.openxmlformats.org/spreadsheetml/2006/main" count="1173" uniqueCount="325">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</sst>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2.6857443894469211</c:v>
                </c:pt>
                <c:pt idx="2">
                  <c:v>3.122034130234951</c:v>
                </c:pt>
                <c:pt idx="3">
                  <c:v>3.6294543058913398</c:v>
                </c:pt>
                <c:pt idx="4">
                  <c:v>4.219641194607795</c:v>
                </c:pt>
                <c:pt idx="5">
                  <c:v>4.9061407294163786</c:v>
                </c:pt>
                <c:pt idx="6">
                  <c:v>5.7047228238476988</c:v>
                </c:pt>
                <c:pt idx="7">
                  <c:v>6.6337475765053417</c:v>
                </c:pt>
                <c:pt idx="8">
                  <c:v>7.7145919385922284</c:v>
                </c:pt>
                <c:pt idx="9">
                  <c:v>8.9721468520246077</c:v>
                </c:pt>
                <c:pt idx="10">
                  <c:v>10.435396525956238</c:v>
                </c:pt>
                <c:pt idx="11">
                  <c:v>12.138093455701485</c:v>
                </c:pt>
                <c:pt idx="12">
                  <c:v>14.119545046154242</c:v>
                </c:pt>
                <c:pt idx="13">
                  <c:v>16.425530335480399</c:v>
                </c:pt>
                <c:pt idx="14">
                  <c:v>19.109368386693976</c:v>
                </c:pt>
                <c:pt idx="15">
                  <c:v>22.233163497734726</c:v>
                </c:pt>
                <c:pt idx="16">
                  <c:v>25.86925656006137</c:v>
                </c:pt>
                <c:pt idx="17">
                  <c:v>30.101916771000322</c:v>
                </c:pt>
                <c:pt idx="18">
                  <c:v>35.029313592193489</c:v>
                </c:pt>
                <c:pt idx="19">
                  <c:v>40.765815480900322</c:v>
                </c:pt>
                <c:pt idx="20">
                  <c:v>47.444669660689108</c:v>
                </c:pt>
                <c:pt idx="21">
                  <c:v>55.221126227665629</c:v>
                </c:pt>
                <c:pt idx="22">
                  <c:v>64.27608042313831</c:v>
                </c:pt>
                <c:pt idx="23">
                  <c:v>74.820319194790898</c:v>
                </c:pt>
                <c:pt idx="24">
                  <c:v>87.099472509337545</c:v>
                </c:pt>
                <c:pt idx="25">
                  <c:v>101.399786612615</c:v>
                </c:pt>
                <c:pt idx="26">
                  <c:v>118.05485595773911</c:v>
                </c:pt>
                <c:pt idx="27">
                  <c:v>137.45347330477486</c:v>
                </c:pt>
                <c:pt idx="28">
                  <c:v>160.04878408084764</c:v>
                </c:pt>
                <c:pt idx="29">
                  <c:v>186.3689621133814</c:v>
                </c:pt>
                <c:pt idx="30">
                  <c:v>217.02966005320079</c:v>
                </c:pt>
                <c:pt idx="31">
                  <c:v>248.51475186126243</c:v>
                </c:pt>
                <c:pt idx="32">
                  <c:v>279.90926914169262</c:v>
                </c:pt>
                <c:pt idx="33">
                  <c:v>311.22479577806126</c:v>
                </c:pt>
                <c:pt idx="34">
                  <c:v>342.47039160511548</c:v>
                </c:pt>
                <c:pt idx="35">
                  <c:v>300.58416421224229</c:v>
                </c:pt>
                <c:pt idx="36">
                  <c:v>327.30479284170019</c:v>
                </c:pt>
                <c:pt idx="37">
                  <c:v>353.97726243685491</c:v>
                </c:pt>
                <c:pt idx="38">
                  <c:v>380.6057087655667</c:v>
                </c:pt>
                <c:pt idx="39">
                  <c:v>407.19364188215781</c:v>
                </c:pt>
                <c:pt idx="40">
                  <c:v>433.74407631419825</c:v>
                </c:pt>
                <c:pt idx="41">
                  <c:v>460.25962768938712</c:v>
                </c:pt>
                <c:pt idx="42">
                  <c:v>486.74258592712107</c:v>
                </c:pt>
                <c:pt idx="43">
                  <c:v>407.21770337500584</c:v>
                </c:pt>
                <c:pt idx="44">
                  <c:v>434.17658984458558</c:v>
                </c:pt>
                <c:pt idx="45">
                  <c:v>461.09955102666845</c:v>
                </c:pt>
                <c:pt idx="46">
                  <c:v>487.98897707021132</c:v>
                </c:pt>
                <c:pt idx="47">
                  <c:v>514.8469734791023</c:v>
                </c:pt>
                <c:pt idx="48">
                  <c:v>541.67540838982075</c:v>
                </c:pt>
                <c:pt idx="49">
                  <c:v>568.47594999773617</c:v>
                </c:pt>
                <c:pt idx="50">
                  <c:v>595.25009656142754</c:v>
                </c:pt>
                <c:pt idx="51">
                  <c:v>493.74067911671705</c:v>
                </c:pt>
                <c:pt idx="52">
                  <c:v>519.72092525120149</c:v>
                </c:pt>
                <c:pt idx="53">
                  <c:v>545.67379571805805</c:v>
                </c:pt>
                <c:pt idx="54">
                  <c:v>571.60077407490223</c:v>
                </c:pt>
                <c:pt idx="55">
                  <c:v>597.5031984733813</c:v>
                </c:pt>
                <c:pt idx="56">
                  <c:v>623.38228172182801</c:v>
                </c:pt>
                <c:pt idx="57">
                  <c:v>649.23912784550669</c:v>
                </c:pt>
                <c:pt idx="58">
                  <c:v>675.07474587368438</c:v>
                </c:pt>
                <c:pt idx="59">
                  <c:v>581.42684221806064</c:v>
                </c:pt>
                <c:pt idx="60">
                  <c:v>606.37069099648488</c:v>
                </c:pt>
                <c:pt idx="61">
                  <c:v>631.29324211857431</c:v>
                </c:pt>
                <c:pt idx="62">
                  <c:v>656.19545361617304</c:v>
                </c:pt>
                <c:pt idx="63">
                  <c:v>681.07820496995589</c:v>
                </c:pt>
                <c:pt idx="64">
                  <c:v>705.94230624147656</c:v>
                </c:pt>
                <c:pt idx="65">
                  <c:v>730.78850585304974</c:v>
                </c:pt>
                <c:pt idx="66">
                  <c:v>755.61749725572361</c:v>
                </c:pt>
                <c:pt idx="67">
                  <c:v>642.97235445101421</c:v>
                </c:pt>
                <c:pt idx="68">
                  <c:v>666.13179210898409</c:v>
                </c:pt>
                <c:pt idx="69">
                  <c:v>689.27467392298729</c:v>
                </c:pt>
                <c:pt idx="70">
                  <c:v>712.4016333156037</c:v>
                </c:pt>
                <c:pt idx="71">
                  <c:v>735.51325928166182</c:v>
                </c:pt>
                <c:pt idx="72">
                  <c:v>758.61010083026611</c:v>
                </c:pt>
                <c:pt idx="73">
                  <c:v>781.69267085833235</c:v>
                </c:pt>
                <c:pt idx="74">
                  <c:v>804.76144954334779</c:v>
                </c:pt>
                <c:pt idx="75">
                  <c:v>693.08187601728639</c:v>
                </c:pt>
                <c:pt idx="76">
                  <c:v>714.8651844379109</c:v>
                </c:pt>
                <c:pt idx="77">
                  <c:v>736.63494076272411</c:v>
                </c:pt>
                <c:pt idx="78">
                  <c:v>758.39160139181729</c:v>
                </c:pt>
                <c:pt idx="79">
                  <c:v>780.135594436509</c:v>
                </c:pt>
                <c:pt idx="80">
                  <c:v>801.86732222809178</c:v>
                </c:pt>
                <c:pt idx="81">
                  <c:v>823.58716354079934</c:v>
                </c:pt>
                <c:pt idx="82">
                  <c:v>845.2954755683736</c:v>
                </c:pt>
                <c:pt idx="83">
                  <c:v>764.11016684433741</c:v>
                </c:pt>
                <c:pt idx="84">
                  <c:v>785.26706330064053</c:v>
                </c:pt>
                <c:pt idx="85">
                  <c:v>806.41243130197529</c:v>
                </c:pt>
                <c:pt idx="86">
                  <c:v>827.54661532158877</c:v>
                </c:pt>
                <c:pt idx="87">
                  <c:v>848.66994082662222</c:v>
                </c:pt>
                <c:pt idx="88">
                  <c:v>869.78271578316901</c:v>
                </c:pt>
                <c:pt idx="89">
                  <c:v>890.8852320077923</c:v>
                </c:pt>
                <c:pt idx="90">
                  <c:v>911.97776638450239</c:v>
                </c:pt>
                <c:pt idx="91">
                  <c:v>812.49390908703117</c:v>
                </c:pt>
                <c:pt idx="92">
                  <c:v>832.89482663148908</c:v>
                </c:pt>
                <c:pt idx="93">
                  <c:v>853.28569747954941</c:v>
                </c:pt>
                <c:pt idx="94">
                  <c:v>873.66679521552112</c:v>
                </c:pt>
                <c:pt idx="95">
                  <c:v>894.03837963545186</c:v>
                </c:pt>
                <c:pt idx="96">
                  <c:v>914.40069774666847</c:v>
                </c:pt>
                <c:pt idx="97">
                  <c:v>934.75398467377056</c:v>
                </c:pt>
                <c:pt idx="98">
                  <c:v>955.09846448172914</c:v>
                </c:pt>
                <c:pt idx="99">
                  <c:v>975.43435092530251</c:v>
                </c:pt>
                <c:pt idx="100">
                  <c:v>995.76184813280224</c:v>
                </c:pt>
                <c:pt idx="101">
                  <c:v>853.50367768210856</c:v>
                </c:pt>
                <c:pt idx="102">
                  <c:v>872.56792007059573</c:v>
                </c:pt>
                <c:pt idx="103">
                  <c:v>891.62382709026269</c:v>
                </c:pt>
                <c:pt idx="104">
                  <c:v>910.67160175122228</c:v>
                </c:pt>
                <c:pt idx="105">
                  <c:v>929.71143788983875</c:v>
                </c:pt>
                <c:pt idx="106">
                  <c:v>948.74352076643015</c:v>
                </c:pt>
                <c:pt idx="107">
                  <c:v>967.76802761258398</c:v>
                </c:pt>
                <c:pt idx="108">
                  <c:v>986.7851281332587</c:v>
                </c:pt>
                <c:pt idx="109">
                  <c:v>1005.7949849682217</c:v>
                </c:pt>
                <c:pt idx="110">
                  <c:v>1024.797754116838</c:v>
                </c:pt>
                <c:pt idx="111">
                  <c:v>916.83864332029782</c:v>
                </c:pt>
                <c:pt idx="112">
                  <c:v>935.98568396874987</c:v>
                </c:pt>
                <c:pt idx="113">
                  <c:v>955.12494165497276</c:v>
                </c:pt>
                <c:pt idx="114">
                  <c:v>974.25659409367847</c:v>
                </c:pt>
                <c:pt idx="115">
                  <c:v>993.3808114605722</c:v>
                </c:pt>
                <c:pt idx="116">
                  <c:v>1012.4977568540604</c:v>
                </c:pt>
                <c:pt idx="117">
                  <c:v>1031.6075867203278</c:v>
                </c:pt>
                <c:pt idx="118">
                  <c:v>1050.7104512453261</c:v>
                </c:pt>
                <c:pt idx="119">
                  <c:v>1069.806494716817</c:v>
                </c:pt>
                <c:pt idx="120">
                  <c:v>1088.8958558592615</c:v>
                </c:pt>
                <c:pt idx="121">
                  <c:v>993.97986065606619</c:v>
                </c:pt>
                <c:pt idx="122">
                  <c:v>1013.2269232302006</c:v>
                </c:pt>
                <c:pt idx="123">
                  <c:v>1032.4667788118757</c:v>
                </c:pt>
                <c:pt idx="124">
                  <c:v>1051.6995804239334</c:v>
                </c:pt>
                <c:pt idx="125">
                  <c:v>1070.9254750444707</c:v>
                </c:pt>
                <c:pt idx="126">
                  <c:v>1090.1446039520199</c:v>
                </c:pt>
                <c:pt idx="127">
                  <c:v>1109.3571030451628</c:v>
                </c:pt>
                <c:pt idx="128">
                  <c:v>1128.5631031388839</c:v>
                </c:pt>
                <c:pt idx="129">
                  <c:v>1147.7627302397366</c:v>
                </c:pt>
                <c:pt idx="130">
                  <c:v>1166.9561058016695</c:v>
                </c:pt>
                <c:pt idx="131">
                  <c:v>1056.0145373482478</c:v>
                </c:pt>
                <c:pt idx="132">
                  <c:v>1075.1955048808261</c:v>
                </c:pt>
                <c:pt idx="133">
                  <c:v>1094.3697677240241</c:v>
                </c:pt>
                <c:pt idx="134">
                  <c:v>1113.5374597173118</c:v>
                </c:pt>
                <c:pt idx="135">
                  <c:v>1132.6987097240253</c:v>
                </c:pt>
                <c:pt idx="136">
                  <c:v>1151.8536418991105</c:v>
                </c:pt>
                <c:pt idx="137">
                  <c:v>1171.0023759381538</c:v>
                </c:pt>
                <c:pt idx="138">
                  <c:v>1190.1450273093087</c:v>
                </c:pt>
                <c:pt idx="139">
                  <c:v>1209.2817074695456</c:v>
                </c:pt>
                <c:pt idx="140">
                  <c:v>1228.4125240665314</c:v>
                </c:pt>
                <c:pt idx="141">
                  <c:v>1119.6745055786266</c:v>
                </c:pt>
                <c:pt idx="142">
                  <c:v>1138.9034527415567</c:v>
                </c:pt>
                <c:pt idx="143">
                  <c:v>1158.1260755198246</c:v>
                </c:pt>
                <c:pt idx="144">
                  <c:v>1177.3424935042206</c:v>
                </c:pt>
                <c:pt idx="145">
                  <c:v>1196.5528220697386</c:v>
                </c:pt>
                <c:pt idx="146">
                  <c:v>1215.7571725908363</c:v>
                </c:pt>
                <c:pt idx="147">
                  <c:v>1234.9556526424064</c:v>
                </c:pt>
                <c:pt idx="148">
                  <c:v>1254.1483661876305</c:v>
                </c:pt>
                <c:pt idx="149">
                  <c:v>1273.3354137537467</c:v>
                </c:pt>
                <c:pt idx="150">
                  <c:v>1292.5168925967025</c:v>
                </c:pt>
                <c:pt idx="151">
                  <c:v>847.63361691372813</c:v>
                </c:pt>
                <c:pt idx="152">
                  <c:v>845.32707293791202</c:v>
                </c:pt>
                <c:pt idx="153">
                  <c:v>843.02040256144949</c:v>
                </c:pt>
                <c:pt idx="154">
                  <c:v>572.49897541888333</c:v>
                </c:pt>
                <c:pt idx="155">
                  <c:v>570.7025432450497</c:v>
                </c:pt>
                <c:pt idx="156">
                  <c:v>568.90599291549734</c:v>
                </c:pt>
                <c:pt idx="157">
                  <c:v>400.1166168694744</c:v>
                </c:pt>
                <c:pt idx="158">
                  <c:v>398.72367688353097</c:v>
                </c:pt>
                <c:pt idx="159">
                  <c:v>397.33063149976351</c:v>
                </c:pt>
                <c:pt idx="160">
                  <c:v>43.674580177674272</c:v>
                </c:pt>
                <c:pt idx="161">
                  <c:v>43.674580177674272</c:v>
                </c:pt>
                <c:pt idx="162">
                  <c:v>43.674580177674272</c:v>
                </c:pt>
                <c:pt idx="163">
                  <c:v>43.674580177674272</c:v>
                </c:pt>
                <c:pt idx="164">
                  <c:v>43.674580177674272</c:v>
                </c:pt>
                <c:pt idx="165">
                  <c:v>43.674580177674272</c:v>
                </c:pt>
                <c:pt idx="166">
                  <c:v>43.674580177674272</c:v>
                </c:pt>
                <c:pt idx="167">
                  <c:v>43.674580177674272</c:v>
                </c:pt>
                <c:pt idx="168">
                  <c:v>43.674580177674272</c:v>
                </c:pt>
                <c:pt idx="169">
                  <c:v>43.674580177674272</c:v>
                </c:pt>
                <c:pt idx="170">
                  <c:v>43.674580177674272</c:v>
                </c:pt>
                <c:pt idx="171">
                  <c:v>43.674580177674272</c:v>
                </c:pt>
                <c:pt idx="172">
                  <c:v>43.674580177674272</c:v>
                </c:pt>
                <c:pt idx="173">
                  <c:v>43.674580177674272</c:v>
                </c:pt>
                <c:pt idx="174">
                  <c:v>43.674580177674272</c:v>
                </c:pt>
                <c:pt idx="175">
                  <c:v>43.674580177674272</c:v>
                </c:pt>
                <c:pt idx="176">
                  <c:v>43.674580177674272</c:v>
                </c:pt>
                <c:pt idx="177">
                  <c:v>43.674580177674272</c:v>
                </c:pt>
                <c:pt idx="178">
                  <c:v>43.674580177674272</c:v>
                </c:pt>
                <c:pt idx="179">
                  <c:v>43.674580177674272</c:v>
                </c:pt>
                <c:pt idx="180">
                  <c:v>43.674580177674272</c:v>
                </c:pt>
                <c:pt idx="181">
                  <c:v>43.674580177674272</c:v>
                </c:pt>
                <c:pt idx="182">
                  <c:v>43.674580177674272</c:v>
                </c:pt>
                <c:pt idx="183">
                  <c:v>43.674580177674272</c:v>
                </c:pt>
                <c:pt idx="184">
                  <c:v>43.674580177674272</c:v>
                </c:pt>
                <c:pt idx="185">
                  <c:v>43.674580177674272</c:v>
                </c:pt>
                <c:pt idx="186">
                  <c:v>43.674580177674272</c:v>
                </c:pt>
                <c:pt idx="187">
                  <c:v>43.674580177674272</c:v>
                </c:pt>
                <c:pt idx="188">
                  <c:v>43.674580177674272</c:v>
                </c:pt>
                <c:pt idx="189">
                  <c:v>43.674580177674272</c:v>
                </c:pt>
                <c:pt idx="190">
                  <c:v>43.674580177674272</c:v>
                </c:pt>
                <c:pt idx="191">
                  <c:v>43.674580177674272</c:v>
                </c:pt>
                <c:pt idx="192">
                  <c:v>43.674580177674272</c:v>
                </c:pt>
                <c:pt idx="193">
                  <c:v>43.674580177674272</c:v>
                </c:pt>
                <c:pt idx="194">
                  <c:v>43.674580177674272</c:v>
                </c:pt>
                <c:pt idx="195">
                  <c:v>43.674580177674272</c:v>
                </c:pt>
                <c:pt idx="196">
                  <c:v>43.674580177674272</c:v>
                </c:pt>
                <c:pt idx="197">
                  <c:v>43.674580177674272</c:v>
                </c:pt>
                <c:pt idx="198">
                  <c:v>43.674580177674272</c:v>
                </c:pt>
                <c:pt idx="199">
                  <c:v>43.674580177674272</c:v>
                </c:pt>
                <c:pt idx="200">
                  <c:v>43.674580177674272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D23" sqref="D2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9.25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138</v>
      </c>
      <c r="C9" s="264">
        <v>0.93401900000000004</v>
      </c>
      <c r="D9" s="33">
        <f t="shared" ref="D9:D18" si="0">C9*$C$5</f>
        <v>8.6396757500000003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14</v>
      </c>
      <c r="C10" s="264">
        <v>6.5980999999999998E-2</v>
      </c>
      <c r="D10" s="33">
        <f t="shared" si="0"/>
        <v>0.61032425000000001</v>
      </c>
      <c r="E10" s="265">
        <v>159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9.25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taeda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/>
      <c r="F42" s="260">
        <v>1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/>
      <c r="F47" s="260">
        <v>1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/>
      <c r="F55" s="260">
        <v>1</v>
      </c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108.4230769</v>
      </c>
      <c r="C62" s="261"/>
      <c r="D62" s="261"/>
      <c r="E62" s="260"/>
      <c r="F62" s="260"/>
      <c r="G62" s="260"/>
      <c r="H62" s="260"/>
      <c r="I62" s="53">
        <f>IFERROR(B62/A62,"")</f>
        <v>3.6141025633333332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34</v>
      </c>
      <c r="B63" s="261">
        <v>173.04</v>
      </c>
      <c r="C63" s="261">
        <v>1</v>
      </c>
      <c r="D63" s="261">
        <v>35.450000000000003</v>
      </c>
      <c r="E63" s="260">
        <v>1</v>
      </c>
      <c r="F63" s="260"/>
      <c r="G63" s="260"/>
      <c r="H63" s="260"/>
      <c r="I63" s="49">
        <f>IF(A63&lt;&gt;0,(B63-(B62-D62))/(A63-A62),"")</f>
        <v>16.154230774999998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42</v>
      </c>
      <c r="B64" s="261">
        <v>248.01</v>
      </c>
      <c r="C64" s="261">
        <v>2</v>
      </c>
      <c r="D64" s="261">
        <v>55.41</v>
      </c>
      <c r="E64" s="260">
        <v>1</v>
      </c>
      <c r="F64" s="260"/>
      <c r="G64" s="260"/>
      <c r="H64" s="260"/>
      <c r="I64" s="49">
        <f>IF(A64&lt;&gt;0,(B64-(B63-D63))/(A64-A63),"")</f>
        <v>13.802500000000002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50</v>
      </c>
      <c r="B65" s="261">
        <v>304.72000000000003</v>
      </c>
      <c r="C65" s="261">
        <v>3</v>
      </c>
      <c r="D65" s="261">
        <v>66.62</v>
      </c>
      <c r="E65" s="260">
        <v>1</v>
      </c>
      <c r="F65" s="260"/>
      <c r="G65" s="260"/>
      <c r="H65" s="260"/>
      <c r="I65" s="49">
        <f>IF(A65&lt;&gt;0,(B65-(B64-D64))/(A65-A64),"")</f>
        <v>14.015000000000004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58</v>
      </c>
      <c r="B66" s="261">
        <v>346.58</v>
      </c>
      <c r="C66" s="261">
        <v>4</v>
      </c>
      <c r="D66" s="261">
        <v>62.16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13.559999999999995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66</v>
      </c>
      <c r="B67" s="261">
        <v>388.92</v>
      </c>
      <c r="C67" s="261">
        <v>5</v>
      </c>
      <c r="D67" s="261">
        <v>71.34</v>
      </c>
      <c r="E67" s="260">
        <v>1</v>
      </c>
      <c r="F67" s="260"/>
      <c r="G67" s="260"/>
      <c r="H67" s="260"/>
      <c r="I67" s="49">
        <f t="shared" si="2"/>
        <v>13.062500000000007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74</v>
      </c>
      <c r="B68" s="261">
        <v>414.8</v>
      </c>
      <c r="C68" s="261">
        <v>6</v>
      </c>
      <c r="D68" s="261">
        <v>70.209999999999994</v>
      </c>
      <c r="E68" s="260">
        <v>1</v>
      </c>
      <c r="F68" s="260"/>
      <c r="G68" s="260"/>
      <c r="H68" s="260"/>
      <c r="I68" s="49">
        <f t="shared" si="2"/>
        <v>12.152499999999996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82</v>
      </c>
      <c r="B69" s="261">
        <v>436.17</v>
      </c>
      <c r="C69" s="261">
        <v>7</v>
      </c>
      <c r="D69" s="261">
        <v>53.92</v>
      </c>
      <c r="E69" s="260">
        <v>1</v>
      </c>
      <c r="F69" s="260"/>
      <c r="G69" s="260"/>
      <c r="H69" s="260"/>
      <c r="I69" s="49">
        <f t="shared" si="2"/>
        <v>11.447499999999998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90</v>
      </c>
      <c r="B70" s="261">
        <v>471.37</v>
      </c>
      <c r="C70" s="261">
        <v>8</v>
      </c>
      <c r="D70" s="261">
        <v>63.25</v>
      </c>
      <c r="E70" s="260">
        <v>1</v>
      </c>
      <c r="F70" s="260"/>
      <c r="G70" s="260"/>
      <c r="H70" s="260"/>
      <c r="I70" s="49">
        <f t="shared" si="2"/>
        <v>11.14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100</v>
      </c>
      <c r="B71" s="261">
        <v>515.66999999999996</v>
      </c>
      <c r="C71" s="261">
        <v>9</v>
      </c>
      <c r="D71" s="261">
        <v>85.23</v>
      </c>
      <c r="E71" s="260">
        <v>1</v>
      </c>
      <c r="F71" s="260"/>
      <c r="G71" s="260"/>
      <c r="H71" s="260"/>
      <c r="I71" s="49">
        <f t="shared" si="2"/>
        <v>10.754999999999995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110</v>
      </c>
      <c r="B72" s="261">
        <v>531.04</v>
      </c>
      <c r="C72" s="261">
        <v>10</v>
      </c>
      <c r="D72" s="261">
        <v>67.22</v>
      </c>
      <c r="E72" s="260">
        <v>1</v>
      </c>
      <c r="F72" s="260"/>
      <c r="G72" s="260"/>
      <c r="H72" s="260"/>
      <c r="I72" s="49">
        <f t="shared" si="2"/>
        <v>10.060000000000002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120</v>
      </c>
      <c r="B73" s="261">
        <v>565</v>
      </c>
      <c r="C73" s="261">
        <v>11</v>
      </c>
      <c r="D73" s="261">
        <v>60.46</v>
      </c>
      <c r="E73" s="260">
        <v>1</v>
      </c>
      <c r="F73" s="260"/>
      <c r="G73" s="260"/>
      <c r="H73" s="260"/>
      <c r="I73" s="49">
        <f t="shared" si="2"/>
        <v>10.118000000000006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130</v>
      </c>
      <c r="B74" s="261">
        <v>606.41</v>
      </c>
      <c r="C74" s="261">
        <v>12</v>
      </c>
      <c r="D74" s="261">
        <v>69</v>
      </c>
      <c r="E74" s="260">
        <v>1</v>
      </c>
      <c r="F74" s="260"/>
      <c r="G74" s="260"/>
      <c r="H74" s="260"/>
      <c r="I74" s="49">
        <f t="shared" si="2"/>
        <v>10.186999999999994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140</v>
      </c>
      <c r="B75" s="261">
        <v>639.04999999999995</v>
      </c>
      <c r="C75" s="261">
        <v>13</v>
      </c>
      <c r="D75" s="261">
        <v>67.930000000000007</v>
      </c>
      <c r="E75" s="260">
        <v>1</v>
      </c>
      <c r="F75" s="260"/>
      <c r="G75" s="260"/>
      <c r="H75" s="260"/>
      <c r="I75" s="49">
        <f t="shared" si="2"/>
        <v>10.163999999999998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150</v>
      </c>
      <c r="B76" s="261">
        <v>673.13</v>
      </c>
      <c r="C76" s="261">
        <v>14</v>
      </c>
      <c r="D76" s="261">
        <v>234.51</v>
      </c>
      <c r="E76" s="260">
        <v>1</v>
      </c>
      <c r="F76" s="260"/>
      <c r="G76" s="260"/>
      <c r="H76" s="260"/>
      <c r="I76" s="49">
        <f t="shared" si="2"/>
        <v>10.201000000000011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153</v>
      </c>
      <c r="B77" s="257">
        <v>434.97</v>
      </c>
      <c r="C77" s="256">
        <v>15</v>
      </c>
      <c r="D77" s="256">
        <v>141.22</v>
      </c>
      <c r="E77" s="255">
        <v>1</v>
      </c>
      <c r="F77" s="255"/>
      <c r="G77" s="255"/>
      <c r="H77" s="255"/>
      <c r="I77" s="49">
        <f t="shared" si="2"/>
        <v>-1.216666666666659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156</v>
      </c>
      <c r="B78" s="257">
        <v>290.93</v>
      </c>
      <c r="C78" s="256">
        <v>16</v>
      </c>
      <c r="D78" s="256">
        <v>87.28</v>
      </c>
      <c r="E78" s="255">
        <v>1</v>
      </c>
      <c r="F78" s="255"/>
      <c r="G78" s="255"/>
      <c r="H78" s="255"/>
      <c r="I78" s="49">
        <f t="shared" si="2"/>
        <v>-0.93999999999999773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159</v>
      </c>
      <c r="B79" s="257">
        <v>201.48</v>
      </c>
      <c r="C79" s="256">
        <v>17</v>
      </c>
      <c r="D79" s="256">
        <v>180.6</v>
      </c>
      <c r="E79" s="255">
        <v>1</v>
      </c>
      <c r="F79" s="255"/>
      <c r="G79" s="255"/>
      <c r="H79" s="255"/>
      <c r="I79" s="49">
        <f t="shared" si="2"/>
        <v>-0.7233333333333386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0.89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0.11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taeda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4.45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16.316666666666666</v>
      </c>
      <c r="H3" s="66">
        <f>(B3+E3+F3)*44/12+(C3+D3)*0.475*44/12</f>
        <v>191.4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175.08333333333334</v>
      </c>
      <c r="S3" s="59">
        <f ca="1">AVERAGE(OFFSET($R$3,0,0,'Données projet'!$E$9+1,1))-AVERAGE(OFFSET($H$3,0,0,'Données projet'!$E$9+1,1))</f>
        <v>189.55118397415424</v>
      </c>
      <c r="T3" s="59">
        <f>IF('Données projet'!E9&gt;30,$R$33-$H$33,LOOKUP('Données projet'!$E$9,$A$3:$A$203,R3:R203)-LOOKUP('Données projet'!$E$9,$A$3:$A$203,$H$3:$H$203))</f>
        <v>456.28719984856014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175.08333333333334</v>
      </c>
      <c r="AN3" s="59">
        <f ca="1">AVERAGE(OFFSET($AM$3,0,0,'Données projet'!$E$10+1,1))-AVERAGE(OFFSET($H$3,0,0,'Données projet'!$E$10+1,1))</f>
        <v>737.88151921331701</v>
      </c>
      <c r="AO3" s="59">
        <f>IF('Données projet'!E10&gt;30,$AM$33-$H$33,LOOKUP('Données projet'!$E$10,$A$3:$A$203,AM3:AM203)-LOOKUP('Données projet'!$E$10,$A$3:$A$203,$H$3:$H$203))</f>
        <v>270.70193491027487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4.45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16.316666666666666</v>
      </c>
      <c r="H4" s="66">
        <f t="shared" ref="H4:H67" si="1">(B4+E4+F4)*44/12+(C4+D4)*0.475*44/12</f>
        <v>191.4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180.00398357898663</v>
      </c>
      <c r="S4" s="59">
        <f ca="1">AVERAGE(OFFSET($R$3,0,0,'Données projet'!$E$9+1,1))-AVERAGE(OFFSET($H$3,0,0,'Données projet'!$E$9+1,1))</f>
        <v>189.55118397415424</v>
      </c>
      <c r="T4" s="59">
        <f>$T$3</f>
        <v>456.28719984856014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3.6141025633333332</v>
      </c>
      <c r="AI4" s="13">
        <f>IF('Données projet'!$A$62&gt;35,AI3+AH4-AQ3,IF(A4&lt;'Données projet'!$A$62,$AF$205^A4,IF(A4='Données projet'!$A$62,'Données projet'!$B$62,AI3+AH4-AQ3)))</f>
        <v>1.1690615875887691</v>
      </c>
      <c r="AJ4" s="13">
        <f>AI4*VLOOKUP('Données projet'!$B$10,Paramètres!$A$1:$I$89,3,0)*VLOOKUP('Données projet'!$B$10,Paramètres!$A$1:$I$89,5,0)</f>
        <v>1.0577669244503183</v>
      </c>
      <c r="AK4" s="13">
        <f>EXP(-1.0587+0.8836*LN(AJ4)+0.284)</f>
        <v>0.48428727044743541</v>
      </c>
      <c r="AL4" s="20">
        <f t="shared" ref="AL4:AL67" si="4">(AJ4+AK4)*0.475*44/12</f>
        <v>2.6857443894469211</v>
      </c>
      <c r="AM4" s="59">
        <f t="shared" ref="AM4:AM67" si="5">AL4+(AD4+AE4)*44/12</f>
        <v>180.40658838532693</v>
      </c>
      <c r="AN4" s="59">
        <f ca="1">AVERAGE(OFFSET($AM$3,0,0,'Données projet'!$E$10+1,1))-AVERAGE(OFFSET($H$3,0,0,'Données projet'!$E$10+1,1))</f>
        <v>737.88151921331701</v>
      </c>
      <c r="AO4" s="59">
        <f>$AO$3</f>
        <v>270.70193491027487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48.135987756452124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4.45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16.316666666666666</v>
      </c>
      <c r="H5" s="66">
        <f t="shared" si="1"/>
        <v>191.4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183.69607408123366</v>
      </c>
      <c r="S5" s="59">
        <f ca="1">AVERAGE(OFFSET($R$3,0,0,'Données projet'!$E$9+1,1))-AVERAGE(OFFSET($H$3,0,0,'Données projet'!$E$9+1,1))</f>
        <v>189.55118397415424</v>
      </c>
      <c r="T5" s="59">
        <f t="shared" ref="T5:T68" si="34">$T$3</f>
        <v>456.28719984856014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3.6141025633333332</v>
      </c>
      <c r="AI5" s="13">
        <f>IF('Données projet'!$A$62&gt;35,AI4+AH5-AQ4,IF(A5&lt;'Données projet'!$A$62,$AF$205^A5,IF(A5='Données projet'!$A$62,'Données projet'!$B$62,AI4+AH5-AQ4)))</f>
        <v>1.3667049955755732</v>
      </c>
      <c r="AJ5" s="13">
        <f>AI5*VLOOKUP('Données projet'!$B$10,Paramètres!$A$1:$I$89,3,0)*VLOOKUP('Données projet'!$B$10,Paramètres!$A$1:$I$89,5,0)</f>
        <v>1.2365946799967786</v>
      </c>
      <c r="AK5" s="13">
        <f t="shared" ref="AK5:AK68" si="35">EXP(-1.0587+0.8836*LN(AJ5)+0.284)</f>
        <v>0.55596080147783444</v>
      </c>
      <c r="AL5" s="20">
        <f t="shared" si="4"/>
        <v>3.122034130234951</v>
      </c>
      <c r="AM5" s="59">
        <f t="shared" si="5"/>
        <v>183.45583669833297</v>
      </c>
      <c r="AN5" s="59">
        <f ca="1">AVERAGE(OFFSET($AM$3,0,0,'Données projet'!$E$10+1,1))-AVERAGE(OFFSET($H$3,0,0,'Données projet'!$E$10+1,1))</f>
        <v>737.88151921331701</v>
      </c>
      <c r="AO5" s="59">
        <f t="shared" ref="AO5:AO68" si="36">$AO$3</f>
        <v>270.70193491027487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48.515279488269151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4.45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16.316666666666666</v>
      </c>
      <c r="H6" s="66">
        <f t="shared" si="1"/>
        <v>191.4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187.87640179453425</v>
      </c>
      <c r="S6" s="59">
        <f ca="1">AVERAGE(OFFSET($R$3,0,0,'Données projet'!$E$9+1,1))-AVERAGE(OFFSET($H$3,0,0,'Données projet'!$E$9+1,1))</f>
        <v>189.55118397415424</v>
      </c>
      <c r="T6" s="59">
        <f t="shared" si="34"/>
        <v>456.28719984856014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3.6141025633333332</v>
      </c>
      <c r="AI6" s="13">
        <f>IF('Données projet'!$A$62&gt;35,AI5+AH6-AQ5,IF(A6&lt;'Données projet'!$A$62,$AF$205^A6,IF(A6='Données projet'!$A$62,'Données projet'!$B$62,AI5+AH6-AQ5)))</f>
        <v>1.5977623118930813</v>
      </c>
      <c r="AJ6" s="13">
        <f>AI6*VLOOKUP('Données projet'!$B$10,Paramètres!$A$1:$I$89,3,0)*VLOOKUP('Données projet'!$B$10,Paramètres!$A$1:$I$89,5,0)</f>
        <v>1.4456553398008598</v>
      </c>
      <c r="AK6" s="13">
        <f t="shared" si="35"/>
        <v>0.63824186932335447</v>
      </c>
      <c r="AL6" s="20">
        <f t="shared" si="4"/>
        <v>3.6294543058913398</v>
      </c>
      <c r="AM6" s="59">
        <f t="shared" si="5"/>
        <v>186.55208927975556</v>
      </c>
      <c r="AN6" s="59">
        <f ca="1">AVERAGE(OFFSET($AM$3,0,0,'Données projet'!$E$10+1,1))-AVERAGE(OFFSET($H$3,0,0,'Données projet'!$E$10+1,1))</f>
        <v>737.88151921331701</v>
      </c>
      <c r="AO6" s="59">
        <f t="shared" si="36"/>
        <v>270.70193491027487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48.887991356508429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4.45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16.316666666666666</v>
      </c>
      <c r="H7" s="66">
        <f t="shared" si="1"/>
        <v>191.4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192.7896804233969</v>
      </c>
      <c r="S7" s="59">
        <f ca="1">AVERAGE(OFFSET($R$3,0,0,'Données projet'!$E$9+1,1))-AVERAGE(OFFSET($H$3,0,0,'Données projet'!$E$9+1,1))</f>
        <v>189.55118397415424</v>
      </c>
      <c r="T7" s="59">
        <f t="shared" si="34"/>
        <v>456.28719984856014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3.6141025633333332</v>
      </c>
      <c r="AI7" s="13">
        <f>IF('Données projet'!$A$62&gt;35,AI6+AH7-AQ6,IF(A7&lt;'Données projet'!$A$62,$AF$205^A7,IF(A7='Données projet'!$A$62,'Données projet'!$B$62,AI6+AH7-AQ6)))</f>
        <v>1.8678825449312277</v>
      </c>
      <c r="AJ7" s="13">
        <f>AI7*VLOOKUP('Données projet'!$B$10,Paramètres!$A$1:$I$89,3,0)*VLOOKUP('Données projet'!$B$10,Paramètres!$A$1:$I$89,5,0)</f>
        <v>1.6900601266537749</v>
      </c>
      <c r="AK7" s="13">
        <f t="shared" si="35"/>
        <v>0.73270036785787795</v>
      </c>
      <c r="AL7" s="20">
        <f t="shared" si="4"/>
        <v>4.219641194607795</v>
      </c>
      <c r="AM7" s="59">
        <f t="shared" si="5"/>
        <v>189.70740094283641</v>
      </c>
      <c r="AN7" s="59">
        <f ca="1">AVERAGE(OFFSET($AM$3,0,0,'Données projet'!$E$10+1,1))-AVERAGE(OFFSET($H$3,0,0,'Données projet'!$E$10+1,1))</f>
        <v>737.88151921331701</v>
      </c>
      <c r="AO7" s="59">
        <f t="shared" si="36"/>
        <v>270.70193491027487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49.254237507092654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4.45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16.316666666666666</v>
      </c>
      <c r="H8" s="66">
        <f t="shared" si="1"/>
        <v>191.4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198.79755308445192</v>
      </c>
      <c r="S8" s="59">
        <f ca="1">AVERAGE(OFFSET($R$3,0,0,'Données projet'!$E$9+1,1))-AVERAGE(OFFSET($H$3,0,0,'Données projet'!$E$9+1,1))</f>
        <v>189.55118397415424</v>
      </c>
      <c r="T8" s="59">
        <f t="shared" si="34"/>
        <v>456.28719984856014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3.6141025633333332</v>
      </c>
      <c r="AI8" s="13">
        <f>IF('Données projet'!$A$62&gt;35,AI7+AH8-AQ7,IF(A8&lt;'Données projet'!$A$62,$AF$205^A8,IF(A8='Données projet'!$A$62,'Données projet'!$B$62,AI7+AH8-AQ7)))</f>
        <v>2.1836697334066515</v>
      </c>
      <c r="AJ8" s="13">
        <f>AI8*VLOOKUP('Données projet'!$B$10,Paramètres!$A$1:$I$89,3,0)*VLOOKUP('Données projet'!$B$10,Paramètres!$A$1:$I$89,5,0)</f>
        <v>1.9757843747863384</v>
      </c>
      <c r="AK8" s="13">
        <f t="shared" si="35"/>
        <v>0.84113853205560163</v>
      </c>
      <c r="AL8" s="20">
        <f t="shared" si="4"/>
        <v>4.9061407294163786</v>
      </c>
      <c r="AM8" s="59">
        <f t="shared" si="5"/>
        <v>192.93572889501007</v>
      </c>
      <c r="AN8" s="59">
        <f ca="1">AVERAGE(OFFSET($AM$3,0,0,'Données projet'!$E$10+1,1))-AVERAGE(OFFSET($H$3,0,0,'Données projet'!$E$10+1,1))</f>
        <v>737.88151921331701</v>
      </c>
      <c r="AO8" s="59">
        <f t="shared" si="36"/>
        <v>270.70193491027487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49.614130105767984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4.45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16.316666666666666</v>
      </c>
      <c r="H9" s="66">
        <f t="shared" si="1"/>
        <v>191.4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206.43476819621421</v>
      </c>
      <c r="S9" s="59">
        <f ca="1">AVERAGE(OFFSET($R$3,0,0,'Données projet'!$E$9+1,1))-AVERAGE(OFFSET($H$3,0,0,'Données projet'!$E$9+1,1))</f>
        <v>189.55118397415424</v>
      </c>
      <c r="T9" s="59">
        <f t="shared" si="34"/>
        <v>456.28719984856014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3.6141025633333332</v>
      </c>
      <c r="AI9" s="13">
        <f>IF('Données projet'!$A$62&gt;35,AI8+AH9-AQ8,IF(A9&lt;'Données projet'!$A$62,$AF$205^A9,IF(A9='Données projet'!$A$62,'Données projet'!$B$62,AI8+AH9-AQ8)))</f>
        <v>2.5528444053059243</v>
      </c>
      <c r="AJ9" s="13">
        <f>AI9*VLOOKUP('Données projet'!$B$10,Paramètres!$A$1:$I$89,3,0)*VLOOKUP('Données projet'!$B$10,Paramètres!$A$1:$I$89,5,0)</f>
        <v>2.3098136179208004</v>
      </c>
      <c r="AK9" s="13">
        <f t="shared" si="35"/>
        <v>0.96562532400132384</v>
      </c>
      <c r="AL9" s="20">
        <f t="shared" si="4"/>
        <v>5.7047228238476988</v>
      </c>
      <c r="AM9" s="59">
        <f t="shared" si="5"/>
        <v>196.25324718951819</v>
      </c>
      <c r="AN9" s="59">
        <f ca="1">AVERAGE(OFFSET($AM$3,0,0,'Données projet'!$E$10+1,1))-AVERAGE(OFFSET($H$3,0,0,'Données projet'!$E$10+1,1))</f>
        <v>737.88151921331701</v>
      </c>
      <c r="AO9" s="59">
        <f t="shared" si="36"/>
        <v>270.70193491027487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49.967779372455595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4.45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16.316666666666666</v>
      </c>
      <c r="H10" s="66">
        <f t="shared" si="1"/>
        <v>191.4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216.4924306915579</v>
      </c>
      <c r="S10" s="59">
        <f ca="1">AVERAGE(OFFSET($R$3,0,0,'Données projet'!$E$9+1,1))-AVERAGE(OFFSET($H$3,0,0,'Données projet'!$E$9+1,1))</f>
        <v>189.55118397415424</v>
      </c>
      <c r="T10" s="59">
        <f t="shared" si="34"/>
        <v>456.28719984856014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3.6141025633333332</v>
      </c>
      <c r="AI10" s="13">
        <f>IF('Données projet'!$A$62&gt;35,AI9+AH10-AQ9,IF(A10&lt;'Données projet'!$A$62,$AF$205^A10,IF(A10='Données projet'!$A$62,'Données projet'!$B$62,AI9+AH10-AQ9)))</f>
        <v>2.9844323333340506</v>
      </c>
      <c r="AJ10" s="13">
        <f>AI10*VLOOKUP('Données projet'!$B$10,Paramètres!$A$1:$I$89,3,0)*VLOOKUP('Données projet'!$B$10,Paramètres!$A$1:$I$89,5,0)</f>
        <v>2.7003143752006489</v>
      </c>
      <c r="AK10" s="13">
        <f t="shared" si="35"/>
        <v>1.108535907960313</v>
      </c>
      <c r="AL10" s="20">
        <f t="shared" si="4"/>
        <v>6.6337475765053417</v>
      </c>
      <c r="AM10" s="59">
        <f t="shared" si="5"/>
        <v>199.67871305375502</v>
      </c>
      <c r="AN10" s="59">
        <f ca="1">AVERAGE(OFFSET($AM$3,0,0,'Données projet'!$E$10+1,1))-AVERAGE(OFFSET($H$3,0,0,'Données projet'!$E$10+1,1))</f>
        <v>737.88151921331701</v>
      </c>
      <c r="AO10" s="59">
        <f t="shared" si="36"/>
        <v>270.70193491027487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50.315293615007491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4.45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16.316666666666666</v>
      </c>
      <c r="H11" s="66">
        <f t="shared" si="1"/>
        <v>191.4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230.14141712116435</v>
      </c>
      <c r="S11" s="59">
        <f ca="1">AVERAGE(OFFSET($R$3,0,0,'Données projet'!$E$9+1,1))-AVERAGE(OFFSET($H$3,0,0,'Données projet'!$E$9+1,1))</f>
        <v>189.55118397415424</v>
      </c>
      <c r="T11" s="59">
        <f t="shared" si="34"/>
        <v>456.28719984856014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3.6141025633333332</v>
      </c>
      <c r="AI11" s="13">
        <f>IF('Données projet'!$A$62&gt;35,AI10+AH11-AQ10,IF(A11&lt;'Données projet'!$A$62,$AF$205^A11,IF(A11='Données projet'!$A$62,'Données projet'!$B$62,AI10+AH11-AQ10)))</f>
        <v>3.4889852016587599</v>
      </c>
      <c r="AJ11" s="13">
        <f>AI11*VLOOKUP('Données projet'!$B$10,Paramètres!$A$1:$I$89,3,0)*VLOOKUP('Données projet'!$B$10,Paramètres!$A$1:$I$89,5,0)</f>
        <v>3.1568338104608458</v>
      </c>
      <c r="AK11" s="13">
        <f t="shared" si="35"/>
        <v>1.2725969676782332</v>
      </c>
      <c r="AL11" s="20">
        <f t="shared" si="4"/>
        <v>7.7145919385922284</v>
      </c>
      <c r="AM11" s="59">
        <f t="shared" si="5"/>
        <v>203.23389367841745</v>
      </c>
      <c r="AN11" s="59">
        <f ca="1">AVERAGE(OFFSET($AM$3,0,0,'Données projet'!$E$10+1,1))-AVERAGE(OFFSET($H$3,0,0,'Données projet'!$E$10+1,1))</f>
        <v>737.88151921331701</v>
      </c>
      <c r="AO11" s="59">
        <f t="shared" si="36"/>
        <v>270.70193491027487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50.656779262376574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4.45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16.316666666666666</v>
      </c>
      <c r="H12" s="66">
        <f t="shared" si="1"/>
        <v>191.4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249.11538741928157</v>
      </c>
      <c r="S12" s="59">
        <f ca="1">AVERAGE(OFFSET($R$3,0,0,'Données projet'!$E$9+1,1))-AVERAGE(OFFSET($H$3,0,0,'Données projet'!$E$9+1,1))</f>
        <v>189.55118397415424</v>
      </c>
      <c r="T12" s="59">
        <f t="shared" si="34"/>
        <v>456.28719984856014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3.6141025633333332</v>
      </c>
      <c r="AI12" s="13">
        <f>IF('Données projet'!$A$62&gt;35,AI11+AH12-AQ11,IF(A12&lt;'Données projet'!$A$62,$AF$205^A12,IF(A12='Données projet'!$A$62,'Données projet'!$B$62,AI11+AH12-AQ11)))</f>
        <v>4.0788385789249118</v>
      </c>
      <c r="AJ12" s="13">
        <f>AI12*VLOOKUP('Données projet'!$B$10,Paramètres!$A$1:$I$89,3,0)*VLOOKUP('Données projet'!$B$10,Paramètres!$A$1:$I$89,5,0)</f>
        <v>3.6905331462112598</v>
      </c>
      <c r="AK12" s="13">
        <f t="shared" si="35"/>
        <v>1.4609387305492803</v>
      </c>
      <c r="AL12" s="20">
        <f t="shared" si="4"/>
        <v>8.9721468520246077</v>
      </c>
      <c r="AM12" s="59">
        <f t="shared" si="5"/>
        <v>206.94406347513285</v>
      </c>
      <c r="AN12" s="59">
        <f ca="1">AVERAGE(OFFSET($AM$3,0,0,'Données projet'!$E$10+1,1))-AVERAGE(OFFSET($H$3,0,0,'Données projet'!$E$10+1,1))</f>
        <v>737.88151921331701</v>
      </c>
      <c r="AO12" s="59">
        <f t="shared" si="36"/>
        <v>270.70193491027487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50.992340897211335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4.45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16.316666666666666</v>
      </c>
      <c r="H13" s="66">
        <f t="shared" si="1"/>
        <v>191.4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275.98225284153148</v>
      </c>
      <c r="S13" s="59">
        <f ca="1">AVERAGE(OFFSET($R$3,0,0,'Données projet'!$E$9+1,1))-AVERAGE(OFFSET($H$3,0,0,'Données projet'!$E$9+1,1))</f>
        <v>189.55118397415424</v>
      </c>
      <c r="T13" s="59">
        <f t="shared" si="34"/>
        <v>456.28719984856014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3.6141025633333332</v>
      </c>
      <c r="AI13" s="13">
        <f>IF('Données projet'!$A$62&gt;35,AI12+AH13-AQ12,IF(A13&lt;'Données projet'!$A$62,$AF$205^A13,IF(A13='Données projet'!$A$62,'Données projet'!$B$62,AI12+AH13-AQ12)))</f>
        <v>4.7684135045962757</v>
      </c>
      <c r="AJ13" s="13">
        <f>AI13*VLOOKUP('Données projet'!$B$10,Paramètres!$A$1:$I$89,3,0)*VLOOKUP('Données projet'!$B$10,Paramètres!$A$1:$I$89,5,0)</f>
        <v>4.3144605389587101</v>
      </c>
      <c r="AK13" s="13">
        <f t="shared" si="35"/>
        <v>1.6771546912553981</v>
      </c>
      <c r="AL13" s="20">
        <f t="shared" si="4"/>
        <v>10.435396525956238</v>
      </c>
      <c r="AM13" s="59">
        <f t="shared" si="5"/>
        <v>210.83858347042397</v>
      </c>
      <c r="AN13" s="59">
        <f ca="1">AVERAGE(OFFSET($AM$3,0,0,'Données projet'!$E$10+1,1))-AVERAGE(OFFSET($H$3,0,0,'Données projet'!$E$10+1,1))</f>
        <v>737.88151921331701</v>
      </c>
      <c r="AO13" s="59">
        <f t="shared" si="36"/>
        <v>270.70193491027487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51.32208128788514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4.45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16.316666666666666</v>
      </c>
      <c r="H14" s="66">
        <f t="shared" si="1"/>
        <v>191.4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314.54696983024076</v>
      </c>
      <c r="S14" s="59">
        <f ca="1">AVERAGE(OFFSET($R$3,0,0,'Données projet'!$E$9+1,1))-AVERAGE(OFFSET($H$3,0,0,'Données projet'!$E$9+1,1))</f>
        <v>189.55118397415424</v>
      </c>
      <c r="T14" s="59">
        <f t="shared" si="34"/>
        <v>456.28719984856014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3.6141025633333332</v>
      </c>
      <c r="AI14" s="13">
        <f>IF('Données projet'!$A$62&gt;35,AI13+AH14-AQ13,IF(A14&lt;'Données projet'!$A$62,$AF$205^A14,IF(A14='Données projet'!$A$62,'Données projet'!$B$62,AI13+AH14-AQ13)))</f>
        <v>5.5745690619630484</v>
      </c>
      <c r="AJ14" s="13">
        <f>AI14*VLOOKUP('Données projet'!$B$10,Paramètres!$A$1:$I$89,3,0)*VLOOKUP('Données projet'!$B$10,Paramètres!$A$1:$I$89,5,0)</f>
        <v>5.0438700872641657</v>
      </c>
      <c r="AK14" s="13">
        <f t="shared" si="35"/>
        <v>1.925370174382619</v>
      </c>
      <c r="AL14" s="20">
        <f t="shared" si="4"/>
        <v>12.138093455701485</v>
      </c>
      <c r="AM14" s="59">
        <f t="shared" si="5"/>
        <v>214.95157644003532</v>
      </c>
      <c r="AN14" s="59">
        <f ca="1">AVERAGE(OFFSET($AM$3,0,0,'Données projet'!$E$10+1,1))-AVERAGE(OFFSET($H$3,0,0,'Données projet'!$E$10+1,1))</f>
        <v>737.88151921331701</v>
      </c>
      <c r="AO14" s="59">
        <f t="shared" si="36"/>
        <v>270.70193491027487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51.646101419969831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4.45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16.316666666666666</v>
      </c>
      <c r="H15" s="66">
        <f t="shared" si="1"/>
        <v>191.4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346.99243321437916</v>
      </c>
      <c r="S15" s="59">
        <f ca="1">AVERAGE(OFFSET($R$3,0,0,'Données projet'!$E$9+1,1))-AVERAGE(OFFSET($H$3,0,0,'Données projet'!$E$9+1,1))</f>
        <v>189.55118397415424</v>
      </c>
      <c r="T15" s="59">
        <f t="shared" si="34"/>
        <v>456.28719984856014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3.6141025633333332</v>
      </c>
      <c r="AI15" s="13">
        <f>IF('Données projet'!$A$62&gt;35,AI14+AH15-AQ14,IF(A15&lt;'Données projet'!$A$62,$AF$205^A15,IF(A15='Données projet'!$A$62,'Données projet'!$B$62,AI14+AH15-AQ14)))</f>
        <v>6.5170145577017573</v>
      </c>
      <c r="AJ15" s="13">
        <f>AI15*VLOOKUP('Données projet'!$B$10,Paramètres!$A$1:$I$89,3,0)*VLOOKUP('Données projet'!$B$10,Paramètres!$A$1:$I$89,5,0)</f>
        <v>5.8965947718085499</v>
      </c>
      <c r="AK15" s="13">
        <f t="shared" si="35"/>
        <v>2.2103210441651773</v>
      </c>
      <c r="AL15" s="20">
        <f t="shared" si="4"/>
        <v>14.119545046154242</v>
      </c>
      <c r="AM15" s="59">
        <f t="shared" si="5"/>
        <v>219.32271364575317</v>
      </c>
      <c r="AN15" s="59">
        <f ca="1">AVERAGE(OFFSET($AM$3,0,0,'Données projet'!$E$10+1,1))-AVERAGE(OFFSET($H$3,0,0,'Données projet'!$E$10+1,1))</f>
        <v>737.88151921331701</v>
      </c>
      <c r="AO15" s="59">
        <f t="shared" si="36"/>
        <v>270.70193491027487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51.964500527163345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4.45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16.316666666666666</v>
      </c>
      <c r="H16" s="66">
        <f t="shared" si="1"/>
        <v>191.4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327.16380668217175</v>
      </c>
      <c r="S16" s="59">
        <f ca="1">AVERAGE(OFFSET($R$3,0,0,'Données projet'!$E$9+1,1))-AVERAGE(OFFSET($H$3,0,0,'Données projet'!$E$9+1,1))</f>
        <v>189.55118397415424</v>
      </c>
      <c r="T16" s="59">
        <f t="shared" si="34"/>
        <v>456.28719984856014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3.6141025633333332</v>
      </c>
      <c r="AI16" s="13">
        <f>IF('Données projet'!$A$62&gt;35,AI15+AH16-AQ15,IF(A16&lt;'Données projet'!$A$62,$AF$205^A16,IF(A16='Données projet'!$A$62,'Données projet'!$B$62,AI15+AH16-AQ15)))</f>
        <v>7.6187913851659363</v>
      </c>
      <c r="AJ16" s="13">
        <f>AI16*VLOOKUP('Données projet'!$B$10,Paramètres!$A$1:$I$89,3,0)*VLOOKUP('Données projet'!$B$10,Paramètres!$A$1:$I$89,5,0)</f>
        <v>6.8934824452981394</v>
      </c>
      <c r="AK16" s="13">
        <f t="shared" si="35"/>
        <v>2.5374440631116602</v>
      </c>
      <c r="AL16" s="20">
        <f t="shared" si="4"/>
        <v>16.425530335480399</v>
      </c>
      <c r="AM16" s="59">
        <f t="shared" si="5"/>
        <v>223.99813167053227</v>
      </c>
      <c r="AN16" s="59">
        <f ca="1">AVERAGE(OFFSET($AM$3,0,0,'Données projet'!$E$10+1,1))-AVERAGE(OFFSET($H$3,0,0,'Données projet'!$E$10+1,1))</f>
        <v>737.88151921331701</v>
      </c>
      <c r="AO16" s="59">
        <f t="shared" si="36"/>
        <v>270.70193491027487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52.27737612168081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4.45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16.316666666666666</v>
      </c>
      <c r="H17" s="66">
        <f t="shared" si="1"/>
        <v>191.4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356.92179601829082</v>
      </c>
      <c r="S17" s="59">
        <f ca="1">AVERAGE(OFFSET($R$3,0,0,'Données projet'!$E$9+1,1))-AVERAGE(OFFSET($H$3,0,0,'Données projet'!$E$9+1,1))</f>
        <v>189.55118397415424</v>
      </c>
      <c r="T17" s="59">
        <f t="shared" si="34"/>
        <v>456.28719984856014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3.6141025633333332</v>
      </c>
      <c r="AI17" s="13">
        <f>IF('Données projet'!$A$62&gt;35,AI16+AH17-AQ16,IF(A17&lt;'Données projet'!$A$62,$AF$205^A17,IF(A17='Données projet'!$A$62,'Données projet'!$B$62,AI16+AH17-AQ16)))</f>
        <v>8.9068363522497265</v>
      </c>
      <c r="AJ17" s="13">
        <f>AI17*VLOOKUP('Données projet'!$B$10,Paramètres!$A$1:$I$89,3,0)*VLOOKUP('Données projet'!$B$10,Paramètres!$A$1:$I$89,5,0)</f>
        <v>8.0589055315155527</v>
      </c>
      <c r="AK17" s="13">
        <f t="shared" si="35"/>
        <v>2.9129806235240516</v>
      </c>
      <c r="AL17" s="20">
        <f t="shared" si="4"/>
        <v>19.109368386693976</v>
      </c>
      <c r="AM17" s="59">
        <f t="shared" si="5"/>
        <v>229.03150091957266</v>
      </c>
      <c r="AN17" s="59">
        <f ca="1">AVERAGE(OFFSET($AM$3,0,0,'Données projet'!$E$10+1,1))-AVERAGE(OFFSET($H$3,0,0,'Données projet'!$E$10+1,1))</f>
        <v>737.88151921331701</v>
      </c>
      <c r="AO17" s="59">
        <f t="shared" si="36"/>
        <v>270.70193491027487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52.58482402411844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4.45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16.316666666666666</v>
      </c>
      <c r="H18" s="66">
        <f t="shared" si="1"/>
        <v>191.4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386.53776704887412</v>
      </c>
      <c r="S18" s="59">
        <f ca="1">AVERAGE(OFFSET($R$3,0,0,'Données projet'!$E$9+1,1))-AVERAGE(OFFSET($H$3,0,0,'Données projet'!$E$9+1,1))</f>
        <v>189.55118397415424</v>
      </c>
      <c r="T18" s="59">
        <f t="shared" si="34"/>
        <v>456.28719984856014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3.6141025633333332</v>
      </c>
      <c r="AI18" s="13">
        <f>IF('Données projet'!$A$62&gt;35,AI17+AH18-AQ17,IF(A18&lt;'Données projet'!$A$62,$AF$205^A18,IF(A18='Données projet'!$A$62,'Données projet'!$B$62,AI17+AH18-AQ17)))</f>
        <v>10.412640246354426</v>
      </c>
      <c r="AJ18" s="13">
        <f>AI18*VLOOKUP('Données projet'!$B$10,Paramètres!$A$1:$I$89,3,0)*VLOOKUP('Données projet'!$B$10,Paramètres!$A$1:$I$89,5,0)</f>
        <v>9.4213568949014839</v>
      </c>
      <c r="AK18" s="13">
        <f t="shared" si="35"/>
        <v>3.3440958310706095</v>
      </c>
      <c r="AL18" s="20">
        <f t="shared" si="4"/>
        <v>22.233163497734726</v>
      </c>
      <c r="AM18" s="59">
        <f t="shared" si="5"/>
        <v>234.48527093799885</v>
      </c>
      <c r="AN18" s="59">
        <f ca="1">AVERAGE(OFFSET($AM$3,0,0,'Données projet'!$E$10+1,1))-AVERAGE(OFFSET($H$3,0,0,'Données projet'!$E$10+1,1))</f>
        <v>737.88151921331701</v>
      </c>
      <c r="AO18" s="59">
        <f t="shared" si="36"/>
        <v>270.70193491027487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52.886938392799308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4.45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16.316666666666666</v>
      </c>
      <c r="H19" s="66">
        <f t="shared" si="1"/>
        <v>191.4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417.32629807135407</v>
      </c>
      <c r="S19" s="59">
        <f ca="1">AVERAGE(OFFSET($R$3,0,0,'Données projet'!$E$9+1,1))-AVERAGE(OFFSET($H$3,0,0,'Données projet'!$E$9+1,1))</f>
        <v>189.55118397415424</v>
      </c>
      <c r="T19" s="59">
        <f t="shared" si="34"/>
        <v>456.28719984856014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3.6141025633333332</v>
      </c>
      <c r="AI19" s="13">
        <f>IF('Données projet'!$A$62&gt;35,AI18+AH19-AQ18,IF(A19&lt;'Données projet'!$A$62,$AF$205^A19,IF(A19='Données projet'!$A$62,'Données projet'!$B$62,AI18+AH19-AQ18)))</f>
        <v>12.173017737393817</v>
      </c>
      <c r="AJ19" s="13">
        <f>AI19*VLOOKUP('Données projet'!$B$10,Paramètres!$A$1:$I$89,3,0)*VLOOKUP('Données projet'!$B$10,Paramètres!$A$1:$I$89,5,0)</f>
        <v>11.014146448793925</v>
      </c>
      <c r="AK19" s="13">
        <f t="shared" si="35"/>
        <v>3.8390152124853296</v>
      </c>
      <c r="AL19" s="20">
        <f t="shared" si="4"/>
        <v>25.86925656006137</v>
      </c>
      <c r="AM19" s="59">
        <f t="shared" si="5"/>
        <v>240.43212187518731</v>
      </c>
      <c r="AN19" s="59">
        <f ca="1">AVERAGE(OFFSET($AM$3,0,0,'Données projet'!$E$10+1,1))-AVERAGE(OFFSET($H$3,0,0,'Données projet'!$E$10+1,1))</f>
        <v>737.88151921331701</v>
      </c>
      <c r="AO19" s="59">
        <f t="shared" si="36"/>
        <v>270.70193491027487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53.183811752610112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4.45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16.316666666666666</v>
      </c>
      <c r="H20" s="66">
        <f t="shared" si="1"/>
        <v>191.4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449.29150320301699</v>
      </c>
      <c r="S20" s="59">
        <f ca="1">AVERAGE(OFFSET($R$3,0,0,'Données projet'!$E$9+1,1))-AVERAGE(OFFSET($H$3,0,0,'Données projet'!$E$9+1,1))</f>
        <v>189.55118397415424</v>
      </c>
      <c r="T20" s="59">
        <f t="shared" si="34"/>
        <v>456.28719984856014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0.45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15.289636188000259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19.359132423540331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3.6141025633333332</v>
      </c>
      <c r="AI20" s="13">
        <f>IF('Données projet'!$A$62&gt;35,AI19+AH20-AQ19,IF(A20&lt;'Données projet'!$A$62,$AF$205^A20,IF(A20='Données projet'!$A$62,'Données projet'!$B$62,AI19+AH20-AQ19)))</f>
        <v>14.231007441823861</v>
      </c>
      <c r="AJ20" s="13">
        <f>AI20*VLOOKUP('Données projet'!$B$10,Paramètres!$A$1:$I$89,3,0)*VLOOKUP('Données projet'!$B$10,Paramètres!$A$1:$I$89,5,0)</f>
        <v>12.876215533362229</v>
      </c>
      <c r="AK20" s="13">
        <f t="shared" si="35"/>
        <v>4.4071816557288699</v>
      </c>
      <c r="AL20" s="20">
        <f t="shared" si="4"/>
        <v>30.101916771000322</v>
      </c>
      <c r="AM20" s="59">
        <f t="shared" si="5"/>
        <v>246.95665630101598</v>
      </c>
      <c r="AN20" s="59">
        <f ca="1">AVERAGE(OFFSET($AM$3,0,0,'Données projet'!$E$10+1,1))-AVERAGE(OFFSET($H$3,0,0,'Données projet'!$E$10+1,1))</f>
        <v>737.88151921331701</v>
      </c>
      <c r="AO20" s="59">
        <f t="shared" si="36"/>
        <v>270.70193491027487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53.475535023337599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4.45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16.316666666666666</v>
      </c>
      <c r="H21" s="66">
        <f t="shared" si="1"/>
        <v>191.4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419.30665810179119</v>
      </c>
      <c r="S21" s="59">
        <f ca="1">AVERAGE(OFFSET($R$3,0,0,'Données projet'!$E$9+1,1))-AVERAGE(OFFSET($H$3,0,0,'Données projet'!$E$9+1,1))</f>
        <v>189.55118397415424</v>
      </c>
      <c r="T21" s="59">
        <f t="shared" si="34"/>
        <v>456.28719984856014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14.871540282392369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17.74910866655588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3.6141025633333332</v>
      </c>
      <c r="AI21" s="13">
        <f>IF('Données projet'!$A$62&gt;35,AI20+AH21-AQ20,IF(A21&lt;'Données projet'!$A$62,$AF$205^A21,IF(A21='Données projet'!$A$62,'Données projet'!$B$62,AI20+AH21-AQ20)))</f>
        <v>16.636924152926191</v>
      </c>
      <c r="AJ21" s="13">
        <f>AI21*VLOOKUP('Données projet'!$B$10,Paramètres!$A$1:$I$89,3,0)*VLOOKUP('Données projet'!$B$10,Paramètres!$A$1:$I$89,5,0)</f>
        <v>15.053088973567618</v>
      </c>
      <c r="AK21" s="13">
        <f t="shared" si="35"/>
        <v>5.0594355769741002</v>
      </c>
      <c r="AL21" s="20">
        <f t="shared" si="4"/>
        <v>35.029313592193489</v>
      </c>
      <c r="AM21" s="59">
        <f t="shared" si="5"/>
        <v>254.15737126640963</v>
      </c>
      <c r="AN21" s="59">
        <f ca="1">AVERAGE(OFFSET($AM$3,0,0,'Données projet'!$E$10+1,1))-AVERAGE(OFFSET($H$3,0,0,'Données projet'!$E$10+1,1))</f>
        <v>737.88151921331701</v>
      </c>
      <c r="AO21" s="59">
        <f t="shared" si="36"/>
        <v>270.70193491027487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53.762197547513487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4.45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16.316666666666666</v>
      </c>
      <c r="H22" s="66">
        <f t="shared" si="1"/>
        <v>191.4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447.37699060582065</v>
      </c>
      <c r="S22" s="59">
        <f ca="1">AVERAGE(OFFSET($R$3,0,0,'Données projet'!$E$9+1,1))-AVERAGE(OFFSET($H$3,0,0,'Données projet'!$E$9+1,1))</f>
        <v>189.55118397415424</v>
      </c>
      <c r="T22" s="59">
        <f t="shared" si="34"/>
        <v>456.28719984856014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14.464877231310036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16.499625349080073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3.6141025633333332</v>
      </c>
      <c r="AI22" s="13">
        <f>IF('Données projet'!$A$62&gt;35,AI21+AH22-AQ21,IF(A22&lt;'Données projet'!$A$62,$AF$205^A22,IF(A22='Données projet'!$A$62,'Données projet'!$B$62,AI21+AH22-AQ21)))</f>
        <v>19.449588962813831</v>
      </c>
      <c r="AJ22" s="13">
        <f>AI22*VLOOKUP('Données projet'!$B$10,Paramètres!$A$1:$I$89,3,0)*VLOOKUP('Données projet'!$B$10,Paramètres!$A$1:$I$89,5,0)</f>
        <v>17.597988093553951</v>
      </c>
      <c r="AK22" s="13">
        <f t="shared" si="35"/>
        <v>5.80822175193906</v>
      </c>
      <c r="AL22" s="20">
        <f t="shared" si="4"/>
        <v>40.765815480900322</v>
      </c>
      <c r="AM22" s="59">
        <f t="shared" si="5"/>
        <v>262.14895713496907</v>
      </c>
      <c r="AN22" s="59">
        <f ca="1">AVERAGE(OFFSET($AM$3,0,0,'Données projet'!$E$10+1,1))-AVERAGE(OFFSET($H$3,0,0,'Données projet'!$E$10+1,1))</f>
        <v>737.88151921331701</v>
      </c>
      <c r="AO22" s="59">
        <f t="shared" si="36"/>
        <v>270.70193491027487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54.043887117776322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4.45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16.316666666666666</v>
      </c>
      <c r="H23" s="66">
        <f t="shared" si="1"/>
        <v>191.4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476.64759724807482</v>
      </c>
      <c r="S23" s="59">
        <f ca="1">AVERAGE(OFFSET($R$3,0,0,'Données projet'!$E$9+1,1))-AVERAGE(OFFSET($H$3,0,0,'Données projet'!$E$9+1,1))</f>
        <v>189.55118397415424</v>
      </c>
      <c r="T23" s="59">
        <f t="shared" si="34"/>
        <v>456.28719984856014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14.06933440274503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15.508118594826787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3.6141025633333332</v>
      </c>
      <c r="AI23" s="13">
        <f>IF('Données projet'!$A$62&gt;35,AI22+AH23-AQ22,IF(A23&lt;'Données projet'!$A$62,$AF$205^A23,IF(A23='Données projet'!$A$62,'Données projet'!$B$62,AI22+AH23-AQ22)))</f>
        <v>22.737767350816139</v>
      </c>
      <c r="AJ23" s="13">
        <f>AI23*VLOOKUP('Données projet'!$B$10,Paramètres!$A$1:$I$89,3,0)*VLOOKUP('Données projet'!$B$10,Paramètres!$A$1:$I$89,5,0)</f>
        <v>20.573131899018442</v>
      </c>
      <c r="AK23" s="13">
        <f t="shared" si="35"/>
        <v>6.6678267578365462</v>
      </c>
      <c r="AL23" s="20">
        <f t="shared" si="4"/>
        <v>47.444669660689108</v>
      </c>
      <c r="AM23" s="59">
        <f t="shared" si="5"/>
        <v>271.06497745224851</v>
      </c>
      <c r="AN23" s="59">
        <f ca="1">AVERAGE(OFFSET($AM$3,0,0,'Données projet'!$E$10+1,1))-AVERAGE(OFFSET($H$3,0,0,'Données projet'!$E$10+1,1))</f>
        <v>737.88151921331701</v>
      </c>
      <c r="AO23" s="59">
        <f t="shared" si="36"/>
        <v>270.70193491027487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54.320690003758628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4.45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16.316666666666666</v>
      </c>
      <c r="H24" s="66">
        <f t="shared" si="1"/>
        <v>191.4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504.55234338026492</v>
      </c>
      <c r="S24" s="59">
        <f ca="1">AVERAGE(OFFSET($R$3,0,0,'Données projet'!$E$9+1,1))-AVERAGE(OFFSET($H$3,0,0,'Données projet'!$E$9+1,1))</f>
        <v>189.55118397415424</v>
      </c>
      <c r="T24" s="59">
        <f t="shared" si="34"/>
        <v>456.28719984856014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13.684607713627827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14.701981772512845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3.6141025633333332</v>
      </c>
      <c r="AI24" s="13">
        <f>IF('Données projet'!$A$62&gt;35,AI23+AH24-AQ23,IF(A24&lt;'Données projet'!$A$62,$AF$205^A24,IF(A24='Données projet'!$A$62,'Données projet'!$B$62,AI23+AH24-AQ23)))</f>
        <v>26.581850397369195</v>
      </c>
      <c r="AJ24" s="13">
        <f>AI24*VLOOKUP('Données projet'!$B$10,Paramètres!$A$1:$I$89,3,0)*VLOOKUP('Données projet'!$B$10,Paramètres!$A$1:$I$89,5,0)</f>
        <v>24.051258239539646</v>
      </c>
      <c r="AK24" s="13">
        <f t="shared" si="35"/>
        <v>7.6546515562492337</v>
      </c>
      <c r="AL24" s="20">
        <f t="shared" si="4"/>
        <v>55.221126227665629</v>
      </c>
      <c r="AM24" s="59">
        <f t="shared" si="5"/>
        <v>281.06099314886046</v>
      </c>
      <c r="AN24" s="59">
        <f ca="1">AVERAGE(OFFSET($AM$3,0,0,'Données projet'!$E$10+1,1))-AVERAGE(OFFSET($H$3,0,0,'Données projet'!$E$10+1,1))</f>
        <v>737.88151921331701</v>
      </c>
      <c r="AO24" s="59">
        <f t="shared" si="36"/>
        <v>270.70193491027487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54.59269097850769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4.45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16.316666666666666</v>
      </c>
      <c r="H25" s="66">
        <f t="shared" si="1"/>
        <v>191.4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532.38668472426002</v>
      </c>
      <c r="S25" s="59">
        <f ca="1">AVERAGE(OFFSET($R$3,0,0,'Données projet'!$E$9+1,1))-AVERAGE(OFFSET($H$3,0,0,'Données projet'!$E$9+1,1))</f>
        <v>189.55118397415424</v>
      </c>
      <c r="T25" s="59">
        <f t="shared" si="34"/>
        <v>456.28719984856014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0.45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33.222485733917239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33.941877829958116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3.6141025633333332</v>
      </c>
      <c r="AI25" s="13">
        <f>IF('Données projet'!$A$62&gt;35,AI24+AH25-AQ24,IF(A25&lt;'Données projet'!$A$62,$AF$205^A25,IF(A25='Données projet'!$A$62,'Données projet'!$B$62,AI24+AH25-AQ24)))</f>
        <v>31.075820226595585</v>
      </c>
      <c r="AJ25" s="13">
        <f>AI25*VLOOKUP('Données projet'!$B$10,Paramètres!$A$1:$I$89,3,0)*VLOOKUP('Données projet'!$B$10,Paramètres!$A$1:$I$89,5,0)</f>
        <v>28.117402141023685</v>
      </c>
      <c r="AK25" s="13">
        <f t="shared" si="35"/>
        <v>8.7875244177160141</v>
      </c>
      <c r="AL25" s="20">
        <f t="shared" si="4"/>
        <v>64.27608042313831</v>
      </c>
      <c r="AM25" s="59">
        <f t="shared" si="5"/>
        <v>292.31820490833627</v>
      </c>
      <c r="AN25" s="59">
        <f ca="1">AVERAGE(OFFSET($AM$3,0,0,'Données projet'!$E$10+1,1))-AVERAGE(OFFSET($H$3,0,0,'Données projet'!$E$10+1,1))</f>
        <v>737.88151921331701</v>
      </c>
      <c r="AO25" s="59">
        <f t="shared" si="36"/>
        <v>270.70193491027487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54.85997334444793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4.45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16.316666666666666</v>
      </c>
      <c r="H26" s="66">
        <f t="shared" si="1"/>
        <v>191.4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483.25467008356736</v>
      </c>
      <c r="S26" s="59">
        <f ca="1">AVERAGE(OFFSET($R$3,0,0,'Données projet'!$E$9+1,1))-AVERAGE(OFFSET($H$3,0,0,'Données projet'!$E$9+1,1))</f>
        <v>189.55118397415424</v>
      </c>
      <c r="T26" s="59">
        <f t="shared" si="34"/>
        <v>456.28719984856014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32.314015114428678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32.82270214387119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3.6141025633333332</v>
      </c>
      <c r="AI26" s="13">
        <f>IF('Données projet'!$A$62&gt;35,AI25+AH26-AQ25,IF(A26&lt;'Données projet'!$A$62,$AF$205^A26,IF(A26='Données projet'!$A$62,'Données projet'!$B$62,AI25+AH26-AQ25)))</f>
        <v>36.329547729727011</v>
      </c>
      <c r="AJ26" s="13">
        <f>AI26*VLOOKUP('Données projet'!$B$10,Paramètres!$A$1:$I$89,3,0)*VLOOKUP('Données projet'!$B$10,Paramètres!$A$1:$I$89,5,0)</f>
        <v>32.870974785857001</v>
      </c>
      <c r="AK26" s="13">
        <f t="shared" si="35"/>
        <v>10.088060158520545</v>
      </c>
      <c r="AL26" s="20">
        <f t="shared" si="4"/>
        <v>74.820319194790898</v>
      </c>
      <c r="AM26" s="59">
        <f t="shared" si="5"/>
        <v>305.04769982184285</v>
      </c>
      <c r="AN26" s="59">
        <f ca="1">AVERAGE(OFFSET($AM$3,0,0,'Données projet'!$E$10+1,1))-AVERAGE(OFFSET($H$3,0,0,'Données projet'!$E$10+1,1))</f>
        <v>737.88151921331701</v>
      </c>
      <c r="AO26" s="59">
        <f t="shared" si="36"/>
        <v>270.70193491027487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55.122618958892957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4.45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16.316666666666666</v>
      </c>
      <c r="H27" s="66">
        <f t="shared" si="1"/>
        <v>191.4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507.25915189515763</v>
      </c>
      <c r="S27" s="59">
        <f ca="1">AVERAGE(OFFSET($R$3,0,0,'Données projet'!$E$9+1,1))-AVERAGE(OFFSET($H$3,0,0,'Données projet'!$E$9+1,1))</f>
        <v>189.55118397415424</v>
      </c>
      <c r="T27" s="59">
        <f t="shared" si="34"/>
        <v>456.28719984856014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31.430386671804424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31.790082719824863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3.6141025633333332</v>
      </c>
      <c r="AI27" s="13">
        <f>IF('Données projet'!$A$62&gt;35,AI26+AH27-AQ26,IF(A27&lt;'Données projet'!$A$62,$AF$205^A27,IF(A27='Données projet'!$A$62,'Données projet'!$B$62,AI26+AH27-AQ26)))</f>
        <v>42.471478745296629</v>
      </c>
      <c r="AJ27" s="13">
        <f>AI27*VLOOKUP('Données projet'!$B$10,Paramètres!$A$1:$I$89,3,0)*VLOOKUP('Données projet'!$B$10,Paramètres!$A$1:$I$89,5,0)</f>
        <v>38.428193968744388</v>
      </c>
      <c r="AK27" s="13">
        <f t="shared" si="35"/>
        <v>11.581072543793917</v>
      </c>
      <c r="AL27" s="20">
        <f t="shared" si="4"/>
        <v>87.099472509337545</v>
      </c>
      <c r="AM27" s="59">
        <f t="shared" si="5"/>
        <v>319.49540279275914</v>
      </c>
      <c r="AN27" s="59">
        <f ca="1">AVERAGE(OFFSET($AM$3,0,0,'Données projet'!$E$10+1,1))-AVERAGE(OFFSET($H$3,0,0,'Données projet'!$E$10+1,1))</f>
        <v>737.88151921331701</v>
      </c>
      <c r="AO27" s="59">
        <f t="shared" si="36"/>
        <v>270.70193491027487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55.380708259114989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4.45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16.316666666666666</v>
      </c>
      <c r="H28" s="66">
        <f t="shared" si="1"/>
        <v>191.4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531.20825223926852</v>
      </c>
      <c r="S28" s="59">
        <f ca="1">AVERAGE(OFFSET($R$3,0,0,'Données projet'!$E$9+1,1))-AVERAGE(OFFSET($H$3,0,0,'Données projet'!$E$9+1,1))</f>
        <v>189.55118397415424</v>
      </c>
      <c r="T28" s="59">
        <f t="shared" si="34"/>
        <v>456.28719984856014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30.570921095411734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30.82526461013299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3.6141025633333332</v>
      </c>
      <c r="AI28" s="13">
        <f>IF('Données projet'!$A$62&gt;35,AI27+AH28-AQ27,IF(A28&lt;'Données projet'!$A$62,$AF$205^A28,IF(A28='Données projet'!$A$62,'Données projet'!$B$62,AI27+AH28-AQ27)))</f>
        <v>49.65177436921914</v>
      </c>
      <c r="AJ28" s="13">
        <f>AI28*VLOOKUP('Données projet'!$B$10,Paramètres!$A$1:$I$89,3,0)*VLOOKUP('Données projet'!$B$10,Paramètres!$A$1:$I$89,5,0)</f>
        <v>44.92492544926948</v>
      </c>
      <c r="AK28" s="13">
        <f t="shared" si="35"/>
        <v>13.295047725437698</v>
      </c>
      <c r="AL28" s="20">
        <f t="shared" si="4"/>
        <v>101.399786612615</v>
      </c>
      <c r="AM28" s="59">
        <f t="shared" si="5"/>
        <v>335.947849887095</v>
      </c>
      <c r="AN28" s="59">
        <f ca="1">AVERAGE(OFFSET($AM$3,0,0,'Données projet'!$E$10+1,1))-AVERAGE(OFFSET($H$3,0,0,'Données projet'!$E$10+1,1))</f>
        <v>737.88151921331701</v>
      </c>
      <c r="AO28" s="59">
        <f t="shared" si="36"/>
        <v>270.70193491027487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55.634320286979403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4.45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16.316666666666666</v>
      </c>
      <c r="H29" s="66">
        <f t="shared" si="1"/>
        <v>191.4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556.38454444397996</v>
      </c>
      <c r="S29" s="59">
        <f ca="1">AVERAGE(OFFSET($R$3,0,0,'Données projet'!$E$9+1,1))-AVERAGE(OFFSET($H$3,0,0,'Données projet'!$E$9+1,1))</f>
        <v>189.55118397415424</v>
      </c>
      <c r="T29" s="59">
        <f t="shared" si="34"/>
        <v>456.28719984856014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29.73495765040283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29.914805674413049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3.6141025633333332</v>
      </c>
      <c r="AI29" s="13">
        <f>IF('Données projet'!$A$62&gt;35,AI28+AH29-AQ28,IF(A29&lt;'Données projet'!$A$62,$AF$205^A29,IF(A29='Données projet'!$A$62,'Données projet'!$B$62,AI28+AH29-AQ28)))</f>
        <v>58.045982170678677</v>
      </c>
      <c r="AJ29" s="13">
        <f>AI29*VLOOKUP('Données projet'!$B$10,Paramètres!$A$1:$I$89,3,0)*VLOOKUP('Données projet'!$B$10,Paramètres!$A$1:$I$89,5,0)</f>
        <v>52.520004668030069</v>
      </c>
      <c r="AK29" s="13">
        <f t="shared" si="35"/>
        <v>15.262687747896692</v>
      </c>
      <c r="AL29" s="20">
        <f t="shared" si="4"/>
        <v>118.05485595773911</v>
      </c>
      <c r="AM29" s="59">
        <f t="shared" si="5"/>
        <v>354.73892035040728</v>
      </c>
      <c r="AN29" s="59">
        <f ca="1">AVERAGE(OFFSET($AM$3,0,0,'Données projet'!$E$10+1,1))-AVERAGE(OFFSET($H$3,0,0,'Données projet'!$E$10+1,1))</f>
        <v>737.88151921331701</v>
      </c>
      <c r="AO29" s="59">
        <f t="shared" si="36"/>
        <v>270.70193491027487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55.883532713151929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4.45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16.316666666666666</v>
      </c>
      <c r="H30" s="66">
        <f t="shared" si="1"/>
        <v>191.4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580.23118305716912</v>
      </c>
      <c r="S30" s="59">
        <f ca="1">AVERAGE(OFFSET($R$3,0,0,'Données projet'!$E$9+1,1))-AVERAGE(OFFSET($H$3,0,0,'Données projet'!$E$9+1,1))</f>
        <v>189.55118397415424</v>
      </c>
      <c r="T30" s="59">
        <f t="shared" si="34"/>
        <v>456.28719984856014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28.921853669759102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29.04902542711973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3.6141025633333332</v>
      </c>
      <c r="AI30" s="13">
        <f>IF('Données projet'!$A$62&gt;35,AI29+AH30-AQ29,IF(A30&lt;'Données projet'!$A$62,$AF$205^A30,IF(A30='Données projet'!$A$62,'Données projet'!$B$62,AI29+AH30-AQ29)))</f>
        <v>67.859328069602995</v>
      </c>
      <c r="AJ30" s="13">
        <f>AI30*VLOOKUP('Données projet'!$B$10,Paramètres!$A$1:$I$89,3,0)*VLOOKUP('Données projet'!$B$10,Paramètres!$A$1:$I$89,5,0)</f>
        <v>61.399120037376782</v>
      </c>
      <c r="AK30" s="13">
        <f t="shared" si="35"/>
        <v>17.521534491680562</v>
      </c>
      <c r="AL30" s="20">
        <f t="shared" si="4"/>
        <v>137.45347330477486</v>
      </c>
      <c r="AM30" s="59">
        <f t="shared" si="5"/>
        <v>376.25768679468979</v>
      </c>
      <c r="AN30" s="59">
        <f ca="1">AVERAGE(OFFSET($AM$3,0,0,'Données projet'!$E$10+1,1))-AVERAGE(OFFSET($H$3,0,0,'Données projet'!$E$10+1,1))</f>
        <v>737.88151921331701</v>
      </c>
      <c r="AO30" s="59">
        <f t="shared" si="36"/>
        <v>270.70193491027487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56.128421860885872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4.45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16.316666666666666</v>
      </c>
      <c r="H31" s="66">
        <f t="shared" si="1"/>
        <v>191.4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602.75641561496423</v>
      </c>
      <c r="S31" s="59">
        <f ca="1">AVERAGE(OFFSET($R$3,0,0,'Données projet'!$E$9+1,1))-AVERAGE(OFFSET($H$3,0,0,'Données projet'!$E$9+1,1))</f>
        <v>189.55118397415424</v>
      </c>
      <c r="T31" s="59">
        <f t="shared" si="34"/>
        <v>456.28719984856014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28.130984060225355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28.220908072230465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3.6141025633333332</v>
      </c>
      <c r="AI31" s="13">
        <f>IF('Données projet'!$A$62&gt;35,AI30+AH31-AQ30,IF(A31&lt;'Données projet'!$A$62,$AF$205^A31,IF(A31='Données projet'!$A$62,'Données projet'!$B$62,AI30+AH31-AQ30)))</f>
        <v>79.33173380575721</v>
      </c>
      <c r="AJ31" s="13">
        <f>AI31*VLOOKUP('Données projet'!$B$10,Paramètres!$A$1:$I$89,3,0)*VLOOKUP('Données projet'!$B$10,Paramètres!$A$1:$I$89,5,0)</f>
        <v>71.77935274744911</v>
      </c>
      <c r="AK31" s="13">
        <f t="shared" si="35"/>
        <v>20.114685959257653</v>
      </c>
      <c r="AL31" s="20">
        <f t="shared" si="4"/>
        <v>160.04878408084764</v>
      </c>
      <c r="AM31" s="59">
        <f t="shared" si="5"/>
        <v>400.95756964419127</v>
      </c>
      <c r="AN31" s="59">
        <f ca="1">AVERAGE(OFFSET($AM$3,0,0,'Données projet'!$E$10+1,1))-AVERAGE(OFFSET($H$3,0,0,'Données projet'!$E$10+1,1))</f>
        <v>737.88151921331701</v>
      </c>
      <c r="AO31" s="59">
        <f t="shared" si="36"/>
        <v>270.70193491027487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56.369062729396745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4.45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16.316666666666666</v>
      </c>
      <c r="H32" s="66">
        <f t="shared" si="1"/>
        <v>191.4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625.24115532188728</v>
      </c>
      <c r="S32" s="59">
        <f ca="1">AVERAGE(OFFSET($R$3,0,0,'Données projet'!$E$9+1,1))-AVERAGE(OFFSET($H$3,0,0,'Données projet'!$E$9+1,1))</f>
        <v>189.55118397415424</v>
      </c>
      <c r="T32" s="59">
        <f t="shared" si="34"/>
        <v>456.28719984856014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27.361740821754335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27.425326700434649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3.6141025633333332</v>
      </c>
      <c r="AI32" s="13">
        <f>IF('Données projet'!$A$62&gt;35,AI31+AH32-AQ31,IF(A32&lt;'Données projet'!$A$62,$AF$205^A32,IF(A32='Données projet'!$A$62,'Données projet'!$B$62,AI31+AH32-AQ31)))</f>
        <v>92.743682669128148</v>
      </c>
      <c r="AJ32" s="13">
        <f>AI32*VLOOKUP('Données projet'!$B$10,Paramètres!$A$1:$I$89,3,0)*VLOOKUP('Données projet'!$B$10,Paramètres!$A$1:$I$89,5,0)</f>
        <v>83.914484079027147</v>
      </c>
      <c r="AK32" s="13">
        <f t="shared" si="35"/>
        <v>23.09161856980429</v>
      </c>
      <c r="AL32" s="20">
        <f t="shared" si="4"/>
        <v>186.3689621133814</v>
      </c>
      <c r="AM32" s="59">
        <f t="shared" si="5"/>
        <v>429.36701295287412</v>
      </c>
      <c r="AN32" s="59">
        <f ca="1">AVERAGE(OFFSET($AM$3,0,0,'Données projet'!$E$10+1,1))-AVERAGE(OFFSET($H$3,0,0,'Données projet'!$E$10+1,1))</f>
        <v>737.88151921331701</v>
      </c>
      <c r="AO32" s="59">
        <f t="shared" si="36"/>
        <v>270.70193491027487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56.605529016831348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4.45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16.316666666666666</v>
      </c>
      <c r="H33" s="66">
        <f t="shared" si="1"/>
        <v>191.4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647.68719984856011</v>
      </c>
      <c r="S33" s="59">
        <f ca="1">AVERAGE(OFFSET($R$3,0,0,'Données projet'!$E$9+1,1))-AVERAGE(OFFSET($H$3,0,0,'Données projet'!$E$9+1,1))</f>
        <v>189.55118397415424</v>
      </c>
      <c r="T33" s="59">
        <f t="shared" si="34"/>
        <v>456.28719984856014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0.45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136.48556937293114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136.53053137893369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108.4230769</v>
      </c>
      <c r="AG33" s="12">
        <f>VLOOKUP(A33,'Données projet'!$A$61:$I$81,9,0)</f>
        <v>3.6141025633333332</v>
      </c>
      <c r="AH33" s="12">
        <f t="array" ref="AH33">INDEX(AG:AG,MIN(IF(ISNUMBER(AG33:AG229),ROW(AG33:AG229),"")))</f>
        <v>3.6141025633333332</v>
      </c>
      <c r="AI33" s="13">
        <f>IF('Données projet'!$A$62&gt;35,AI32+AH33-AQ32,IF(A33&lt;'Données projet'!$A$62,$AF$205^A33,IF(A33='Données projet'!$A$62,'Données projet'!$B$62,AI32+AH33-AQ32)))</f>
        <v>108.4230769</v>
      </c>
      <c r="AJ33" s="13">
        <f>AI33*VLOOKUP('Données projet'!$B$10,Paramètres!$A$1:$I$89,3,0)*VLOOKUP('Données projet'!$B$10,Paramètres!$A$1:$I$89,5,0)</f>
        <v>98.101199979119997</v>
      </c>
      <c r="AK33" s="13">
        <f t="shared" si="35"/>
        <v>26.509131151904384</v>
      </c>
      <c r="AL33" s="20">
        <f t="shared" si="4"/>
        <v>217.02966005320079</v>
      </c>
      <c r="AM33" s="59">
        <f t="shared" si="5"/>
        <v>462.10193491027485</v>
      </c>
      <c r="AN33" s="59">
        <f ca="1">AVERAGE(OFFSET($AM$3,0,0,'Données projet'!$E$10+1,1))-AVERAGE(OFFSET($H$3,0,0,'Données projet'!$E$10+1,1))</f>
        <v>737.88151921331701</v>
      </c>
      <c r="AO33" s="59">
        <f t="shared" si="36"/>
        <v>270.70193491027487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56.837893142838368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4.45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16.316666666666666</v>
      </c>
      <c r="H34" s="66">
        <f t="shared" si="1"/>
        <v>191.4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189.55118397415424</v>
      </c>
      <c r="T34" s="59">
        <f t="shared" si="34"/>
        <v>456.28719984856014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132.75336430096419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132.78515724030436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16.154230774999998</v>
      </c>
      <c r="AI34" s="13">
        <f>IF('Données projet'!$A$62&gt;35,AI33+AH34-AQ33,IF(A34&lt;'Données projet'!$A$62,$AF$205^A34,IF(A34='Données projet'!$A$62,'Données projet'!$B$62,AI33+AH34-AQ33)))</f>
        <v>124.577307675</v>
      </c>
      <c r="AJ34" s="13">
        <f>AI34*VLOOKUP('Données projet'!$B$10,Paramètres!$A$1:$I$89,3,0)*VLOOKUP('Données projet'!$B$10,Paramètres!$A$1:$I$89,5,0)</f>
        <v>112.71754798433999</v>
      </c>
      <c r="AK34" s="13">
        <f t="shared" si="35"/>
        <v>29.97034782116954</v>
      </c>
      <c r="AL34" s="20">
        <f t="shared" si="4"/>
        <v>248.51475186126243</v>
      </c>
      <c r="AM34" s="59">
        <f t="shared" si="5"/>
        <v>494.42424818733673</v>
      </c>
      <c r="AN34" s="59">
        <f ca="1">AVERAGE(OFFSET($AM$3,0,0,'Données projet'!$E$10+1,1))-AVERAGE(OFFSET($H$3,0,0,'Données projet'!$E$10+1,1))</f>
        <v>737.88151921331701</v>
      </c>
      <c r="AO34" s="59">
        <f t="shared" si="36"/>
        <v>270.70193491027487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57.066226270747528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4.45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16.316666666666666</v>
      </c>
      <c r="H35" s="66">
        <f t="shared" si="1"/>
        <v>191.4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189.55118397415424</v>
      </c>
      <c r="T35" s="59">
        <f t="shared" si="34"/>
        <v>456.28719984856014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129.12321657295831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129.14569757595959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16.154230774999998</v>
      </c>
      <c r="AI35" s="13">
        <f>IF('Données projet'!$A$62&gt;35,AI34+AH35-AQ34,IF(A35&lt;'Données projet'!$A$62,$AF$205^A35,IF(A35='Données projet'!$A$62,'Données projet'!$B$62,AI34+AH35-AQ34)))</f>
        <v>140.73153844999999</v>
      </c>
      <c r="AJ35" s="13">
        <f>AI35*VLOOKUP('Données projet'!$B$10,Paramètres!$A$1:$I$89,3,0)*VLOOKUP('Données projet'!$B$10,Paramètres!$A$1:$I$89,5,0)</f>
        <v>127.33389598955998</v>
      </c>
      <c r="AK35" s="13">
        <f t="shared" si="35"/>
        <v>33.379559976962113</v>
      </c>
      <c r="AL35" s="20">
        <f t="shared" si="4"/>
        <v>279.90926914169262</v>
      </c>
      <c r="AM35" s="59">
        <f t="shared" si="5"/>
        <v>526.64146301602682</v>
      </c>
      <c r="AN35" s="59">
        <f ca="1">AVERAGE(OFFSET($AM$3,0,0,'Données projet'!$E$10+1,1))-AVERAGE(OFFSET($H$3,0,0,'Données projet'!$E$10+1,1))</f>
        <v>737.88151921331701</v>
      </c>
      <c r="AO35" s="59">
        <f t="shared" si="36"/>
        <v>270.70193491027487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57.290598329363874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4.45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16.316666666666666</v>
      </c>
      <c r="H36" s="66">
        <f t="shared" si="1"/>
        <v>191.4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189.55118397415424</v>
      </c>
      <c r="T36" s="59">
        <f t="shared" si="34"/>
        <v>456.28719984856014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125.59233542547592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125.60823189514601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16.154230774999998</v>
      </c>
      <c r="AI36" s="13">
        <f>IF('Données projet'!$A$62&gt;35,AI35+AH36-AQ35,IF(A36&lt;'Données projet'!$A$62,$AF$205^A36,IF(A36='Données projet'!$A$62,'Données projet'!$B$62,AI35+AH36-AQ35)))</f>
        <v>156.88576922499999</v>
      </c>
      <c r="AJ36" s="13">
        <f>AI36*VLOOKUP('Données projet'!$B$10,Paramètres!$A$1:$I$89,3,0)*VLOOKUP('Données projet'!$B$10,Paramètres!$A$1:$I$89,5,0)</f>
        <v>141.95024399477998</v>
      </c>
      <c r="AK36" s="13">
        <f t="shared" si="35"/>
        <v>36.743418652910712</v>
      </c>
      <c r="AL36" s="20">
        <f t="shared" si="4"/>
        <v>311.22479577806126</v>
      </c>
      <c r="AM36" s="59">
        <f t="shared" si="5"/>
        <v>558.76541523746914</v>
      </c>
      <c r="AN36" s="59">
        <f ca="1">AVERAGE(OFFSET($AM$3,0,0,'Données projet'!$E$10+1,1))-AVERAGE(OFFSET($H$3,0,0,'Données projet'!$E$10+1,1))</f>
        <v>737.88151921331701</v>
      </c>
      <c r="AO36" s="59">
        <f t="shared" si="36"/>
        <v>270.70193491027487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57.511078034383992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4.45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16.316666666666666</v>
      </c>
      <c r="H37" s="66">
        <f t="shared" si="1"/>
        <v>191.4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189.55118397415424</v>
      </c>
      <c r="T37" s="59">
        <f t="shared" si="34"/>
        <v>456.28719984856014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122.15800640865241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122.16924691015305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173.04</v>
      </c>
      <c r="AG37" s="12">
        <f>VLOOKUP(A37,'Données projet'!$A$61:$I$81,9,0)</f>
        <v>16.154230774999998</v>
      </c>
      <c r="AH37" s="12">
        <f t="array" ref="AH37">INDEX(AG:AG,MIN(IF(ISNUMBER(AG37:AG233),ROW(AG37:AG233),"")))</f>
        <v>16.154230774999998</v>
      </c>
      <c r="AI37" s="13">
        <f>IF('Données projet'!$A$62&gt;35,AI36+AH37-AQ36,IF(A37&lt;'Données projet'!$A$62,$AF$205^A37,IF(A37='Données projet'!$A$62,'Données projet'!$B$62,AI36+AH37-AQ36)))</f>
        <v>173.04</v>
      </c>
      <c r="AJ37" s="13">
        <f>AI37*VLOOKUP('Données projet'!$B$10,Paramètres!$A$1:$I$89,3,0)*VLOOKUP('Données projet'!$B$10,Paramètres!$A$1:$I$89,5,0)</f>
        <v>156.56659199999999</v>
      </c>
      <c r="AK37" s="13">
        <f t="shared" si="35"/>
        <v>40.067125668008877</v>
      </c>
      <c r="AL37" s="20">
        <f t="shared" si="4"/>
        <v>342.47039160511548</v>
      </c>
      <c r="AM37" s="59">
        <f t="shared" si="5"/>
        <v>590.80541227306503</v>
      </c>
      <c r="AN37" s="59">
        <f ca="1">AVERAGE(OFFSET($AM$3,0,0,'Données projet'!$E$10+1,1))-AVERAGE(OFFSET($H$3,0,0,'Données projet'!$E$10+1,1))</f>
        <v>737.88151921331701</v>
      </c>
      <c r="AO37" s="59">
        <f t="shared" si="36"/>
        <v>270.70193491027487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35.450000000000003</v>
      </c>
      <c r="AR37" s="16">
        <f>IF(ISNA(VLOOKUP(A37,'Données projet'!$A$61:$I$81,5,0)),0%,VLOOKUP(A37,'Données projet'!$A$61:$I$81,5,0)*VLOOKUP('Données projet'!$B$10,Paramètres!$A$1:$I$89,7,0))</f>
        <v>0.43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15.246999898475442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15.246999898475442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57.727732909440789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4.45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16.316666666666666</v>
      </c>
      <c r="H38" s="66">
        <f t="shared" si="1"/>
        <v>191.4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189.55118397415424</v>
      </c>
      <c r="T38" s="59">
        <f t="shared" si="34"/>
        <v>456.28719984856014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118.81758929939745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118.8255375342325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13.802500000000002</v>
      </c>
      <c r="AI38" s="13">
        <f>IF('Données projet'!$A$62&gt;35,AI37+AH38-AQ37,IF(A38&lt;'Données projet'!$A$62,$AF$205^A38,IF(A38='Données projet'!$A$62,'Données projet'!$B$62,AI37+AH38-AQ37)))</f>
        <v>151.39249999999998</v>
      </c>
      <c r="AJ38" s="13">
        <f>AI38*VLOOKUP('Données projet'!$B$10,Paramètres!$A$1:$I$89,3,0)*VLOOKUP('Données projet'!$B$10,Paramètres!$A$1:$I$89,5,0)</f>
        <v>136.97993399999999</v>
      </c>
      <c r="AK38" s="13">
        <f t="shared" si="35"/>
        <v>35.604275117076945</v>
      </c>
      <c r="AL38" s="20">
        <f t="shared" si="4"/>
        <v>300.58416421224229</v>
      </c>
      <c r="AM38" s="59">
        <f t="shared" si="5"/>
        <v>549.69980500378028</v>
      </c>
      <c r="AN38" s="59">
        <f ca="1">AVERAGE(OFFSET($AM$3,0,0,'Données projet'!$E$10+1,1))-AVERAGE(OFFSET($H$3,0,0,'Données projet'!$E$10+1,1))</f>
        <v>737.88151921331701</v>
      </c>
      <c r="AO38" s="59">
        <f t="shared" si="36"/>
        <v>270.70193491027487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14.948015530218003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14.948015530218003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57.940629306783087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4.45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16.316666666666666</v>
      </c>
      <c r="H39" s="66">
        <f t="shared" si="1"/>
        <v>191.4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189.55118397415424</v>
      </c>
      <c r="T39" s="59">
        <f t="shared" si="34"/>
        <v>456.28719984856014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115.56851607165997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115.5741363224103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13.802500000000002</v>
      </c>
      <c r="AI39" s="13">
        <f>IF('Données projet'!$A$62&gt;35,AI38+AH39-AQ38,IF(A39&lt;'Données projet'!$A$62,$AF$205^A39,IF(A39='Données projet'!$A$62,'Données projet'!$B$62,AI38+AH39-AQ38)))</f>
        <v>165.19499999999999</v>
      </c>
      <c r="AJ39" s="13">
        <f>AI39*VLOOKUP('Données projet'!$B$10,Paramètres!$A$1:$I$89,3,0)*VLOOKUP('Données projet'!$B$10,Paramètres!$A$1:$I$89,5,0)</f>
        <v>149.468436</v>
      </c>
      <c r="AK39" s="13">
        <f t="shared" si="35"/>
        <v>38.457760846909196</v>
      </c>
      <c r="AL39" s="20">
        <f t="shared" si="4"/>
        <v>327.30479284170019</v>
      </c>
      <c r="AM39" s="59">
        <f t="shared" si="5"/>
        <v>577.18751174288752</v>
      </c>
      <c r="AN39" s="59">
        <f ca="1">AVERAGE(OFFSET($AM$3,0,0,'Données projet'!$E$10+1,1))-AVERAGE(OFFSET($H$3,0,0,'Données projet'!$E$10+1,1))</f>
        <v>737.88151921331701</v>
      </c>
      <c r="AO39" s="59">
        <f t="shared" si="36"/>
        <v>270.70193491027487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14.654894063059634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14.654894063059634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58.149832427596543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4.45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16.316666666666666</v>
      </c>
      <c r="H40" s="66">
        <f t="shared" si="1"/>
        <v>191.4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189.55118397415424</v>
      </c>
      <c r="T40" s="59">
        <f t="shared" si="34"/>
        <v>456.28719984856014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112.40828892219631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112.41226303961382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13.802500000000002</v>
      </c>
      <c r="AI40" s="13">
        <f>IF('Données projet'!$A$62&gt;35,AI39+AH40-AQ39,IF(A40&lt;'Données projet'!$A$62,$AF$205^A40,IF(A40='Données projet'!$A$62,'Données projet'!$B$62,AI39+AH40-AQ39)))</f>
        <v>178.9975</v>
      </c>
      <c r="AJ40" s="13">
        <f>AI40*VLOOKUP('Données projet'!$B$10,Paramètres!$A$1:$I$89,3,0)*VLOOKUP('Données projet'!$B$10,Paramètres!$A$1:$I$89,5,0)</f>
        <v>161.95693799999998</v>
      </c>
      <c r="AK40" s="13">
        <f t="shared" si="35"/>
        <v>41.283595456567447</v>
      </c>
      <c r="AL40" s="20">
        <f t="shared" si="4"/>
        <v>353.97726243685491</v>
      </c>
      <c r="AM40" s="59">
        <f t="shared" si="5"/>
        <v>604.61375235741889</v>
      </c>
      <c r="AN40" s="59">
        <f ca="1">AVERAGE(OFFSET($AM$3,0,0,'Données projet'!$E$10+1,1))-AVERAGE(OFFSET($H$3,0,0,'Données projet'!$E$10+1,1))</f>
        <v>737.88151921331701</v>
      </c>
      <c r="AO40" s="59">
        <f t="shared" si="36"/>
        <v>270.70193491027487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14.3675205290858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14.3675205290858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58.355406341971985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4.45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16.316666666666666</v>
      </c>
      <c r="H41" s="66">
        <f t="shared" si="1"/>
        <v>191.4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189.55118397415424</v>
      </c>
      <c r="T41" s="59">
        <f t="shared" si="34"/>
        <v>456.28719984856014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109.33447835032385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109.33728847569901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13.802500000000002</v>
      </c>
      <c r="AI41" s="13">
        <f>IF('Données projet'!$A$62&gt;35,AI40+AH41-AQ40,IF(A41&lt;'Données projet'!$A$62,$AF$205^A41,IF(A41='Données projet'!$A$62,'Données projet'!$B$62,AI40+AH41-AQ40)))</f>
        <v>192.8</v>
      </c>
      <c r="AJ41" s="13">
        <f>AI41*VLOOKUP('Données projet'!$B$10,Paramètres!$A$1:$I$89,3,0)*VLOOKUP('Données projet'!$B$10,Paramètres!$A$1:$I$89,5,0)</f>
        <v>174.44543999999999</v>
      </c>
      <c r="AK41" s="13">
        <f t="shared" si="35"/>
        <v>44.08415354960767</v>
      </c>
      <c r="AL41" s="20">
        <f t="shared" si="4"/>
        <v>380.6057087655667</v>
      </c>
      <c r="AM41" s="59">
        <f t="shared" si="5"/>
        <v>631.98289346350066</v>
      </c>
      <c r="AN41" s="59">
        <f ca="1">AVERAGE(OFFSET($AM$3,0,0,'Données projet'!$E$10+1,1))-AVERAGE(OFFSET($H$3,0,0,'Données projet'!$E$10+1,1))</f>
        <v>737.88151921331701</v>
      </c>
      <c r="AO41" s="59">
        <f t="shared" si="36"/>
        <v>270.70193491027487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14.085782214832644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14.085782214832644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58.557414008527445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4.45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16.316666666666666</v>
      </c>
      <c r="H42" s="66">
        <f t="shared" si="1"/>
        <v>191.4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189.55118397415424</v>
      </c>
      <c r="T42" s="59">
        <f t="shared" si="34"/>
        <v>456.28719984856014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106.34472129018391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106.34670834889268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13.802500000000002</v>
      </c>
      <c r="AI42" s="13">
        <f>IF('Données projet'!$A$62&gt;35,AI41+AH42-AQ41,IF(A42&lt;'Données projet'!$A$62,$AF$205^A42,IF(A42='Données projet'!$A$62,'Données projet'!$B$62,AI41+AH42-AQ41)))</f>
        <v>206.60250000000002</v>
      </c>
      <c r="AJ42" s="13">
        <f>AI42*VLOOKUP('Données projet'!$B$10,Paramètres!$A$1:$I$89,3,0)*VLOOKUP('Données projet'!$B$10,Paramètres!$A$1:$I$89,5,0)</f>
        <v>186.93394200000003</v>
      </c>
      <c r="AK42" s="13">
        <f t="shared" si="35"/>
        <v>46.86145046822454</v>
      </c>
      <c r="AL42" s="20">
        <f t="shared" si="4"/>
        <v>407.19364188215781</v>
      </c>
      <c r="AM42" s="59">
        <f t="shared" si="5"/>
        <v>659.29867195901988</v>
      </c>
      <c r="AN42" s="59">
        <f ca="1">AVERAGE(OFFSET($AM$3,0,0,'Données projet'!$E$10+1,1))-AVERAGE(OFFSET($H$3,0,0,'Données projet'!$E$10+1,1))</f>
        <v>737.88151921331701</v>
      </c>
      <c r="AO42" s="59">
        <f t="shared" si="36"/>
        <v>270.70193491027487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13.80956861707859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13.80956861707859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58.755917293689649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4.45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16.316666666666666</v>
      </c>
      <c r="H43" s="66">
        <f t="shared" si="1"/>
        <v>191.4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189.55118397415424</v>
      </c>
      <c r="T43" s="59">
        <f t="shared" si="34"/>
        <v>456.28719984856014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103.43671929407799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103.43812435676557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13.802500000000002</v>
      </c>
      <c r="AI43" s="13">
        <f>IF('Données projet'!$A$62&gt;35,AI42+AH43-AQ42,IF(A43&lt;'Données projet'!$A$62,$AF$205^A43,IF(A43='Données projet'!$A$62,'Données projet'!$B$62,AI42+AH43-AQ42)))</f>
        <v>220.40500000000003</v>
      </c>
      <c r="AJ43" s="13">
        <f>AI43*VLOOKUP('Données projet'!$B$10,Paramètres!$A$1:$I$89,3,0)*VLOOKUP('Données projet'!$B$10,Paramètres!$A$1:$I$89,5,0)</f>
        <v>199.42244400000001</v>
      </c>
      <c r="AK43" s="13">
        <f t="shared" si="35"/>
        <v>49.617217041644913</v>
      </c>
      <c r="AL43" s="20">
        <f t="shared" si="4"/>
        <v>433.74407631419825</v>
      </c>
      <c r="AM43" s="59">
        <f t="shared" si="5"/>
        <v>686.5643252798825</v>
      </c>
      <c r="AN43" s="59">
        <f ca="1">AVERAGE(OFFSET($AM$3,0,0,'Données projet'!$E$10+1,1))-AVERAGE(OFFSET($H$3,0,0,'Données projet'!$E$10+1,1))</f>
        <v>737.88151921331701</v>
      </c>
      <c r="AO43" s="59">
        <f t="shared" si="36"/>
        <v>270.70193491027487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13.538771399502831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13.538771399502831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58.950976990641145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4.45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16.316666666666666</v>
      </c>
      <c r="H44" s="66">
        <f t="shared" si="1"/>
        <v>191.4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189.55118397415424</v>
      </c>
      <c r="T44" s="59">
        <f t="shared" si="34"/>
        <v>456.28719984856014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100.60823676548077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100.60923029483514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13.802500000000002</v>
      </c>
      <c r="AI44" s="13">
        <f>IF('Données projet'!$A$62&gt;35,AI43+AH44-AQ43,IF(A44&lt;'Données projet'!$A$62,$AF$205^A44,IF(A44='Données projet'!$A$62,'Données projet'!$B$62,AI43+AH44-AQ43)))</f>
        <v>234.20750000000004</v>
      </c>
      <c r="AJ44" s="13">
        <f>AI44*VLOOKUP('Données projet'!$B$10,Paramètres!$A$1:$I$89,3,0)*VLOOKUP('Données projet'!$B$10,Paramètres!$A$1:$I$89,5,0)</f>
        <v>211.910946</v>
      </c>
      <c r="AK44" s="13">
        <f t="shared" si="35"/>
        <v>52.352955065676788</v>
      </c>
      <c r="AL44" s="20">
        <f t="shared" si="4"/>
        <v>460.25962768938712</v>
      </c>
      <c r="AM44" s="59">
        <f t="shared" si="5"/>
        <v>713.78268809516226</v>
      </c>
      <c r="AN44" s="59">
        <f ca="1">AVERAGE(OFFSET($AM$3,0,0,'Données projet'!$E$10+1,1))-AVERAGE(OFFSET($H$3,0,0,'Données projet'!$E$10+1,1))</f>
        <v>737.88151921331701</v>
      </c>
      <c r="AO44" s="59">
        <f t="shared" si="36"/>
        <v>270.70193491027487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13.273284350193741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13.273284350193741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59.142652837938684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4.45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16.316666666666666</v>
      </c>
      <c r="H45" s="66">
        <f t="shared" si="1"/>
        <v>191.4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189.55118397415424</v>
      </c>
      <c r="T45" s="59">
        <f t="shared" si="34"/>
        <v>456.28719984856014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97.857099240371468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97.857801771715259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248.01</v>
      </c>
      <c r="AG45" s="12">
        <f>VLOOKUP(A45,'Données projet'!$A$61:$I$81,9,0)</f>
        <v>13.802500000000002</v>
      </c>
      <c r="AH45" s="12">
        <f t="array" ref="AH45">INDEX(AG:AG,MIN(IF(ISNUMBER(AG45:AG241),ROW(AG45:AG241),"")))</f>
        <v>13.802500000000002</v>
      </c>
      <c r="AI45" s="13">
        <f>IF('Données projet'!$A$62&gt;35,AI44+AH45-AQ44,IF(A45&lt;'Données projet'!$A$62,$AF$205^A45,IF(A45='Données projet'!$A$62,'Données projet'!$B$62,AI44+AH45-AQ44)))</f>
        <v>248.01000000000005</v>
      </c>
      <c r="AJ45" s="13">
        <f>AI45*VLOOKUP('Données projet'!$B$10,Paramètres!$A$1:$I$89,3,0)*VLOOKUP('Données projet'!$B$10,Paramètres!$A$1:$I$89,5,0)</f>
        <v>224.39944800000004</v>
      </c>
      <c r="AK45" s="13">
        <f t="shared" si="35"/>
        <v>55.06997932657665</v>
      </c>
      <c r="AL45" s="20">
        <f t="shared" si="4"/>
        <v>486.74258592712107</v>
      </c>
      <c r="AM45" s="59">
        <f t="shared" si="5"/>
        <v>740.95626556575269</v>
      </c>
      <c r="AN45" s="59">
        <f ca="1">AVERAGE(OFFSET($AM$3,0,0,'Données projet'!$E$10+1,1))-AVERAGE(OFFSET($H$3,0,0,'Données projet'!$E$10+1,1))</f>
        <v>737.88151921331701</v>
      </c>
      <c r="AO45" s="59">
        <f t="shared" si="36"/>
        <v>270.70193491027487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55.41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36.844773844208383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36.844773844208383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59.331003537808613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4.45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16.316666666666666</v>
      </c>
      <c r="H46" s="66">
        <f t="shared" si="1"/>
        <v>191.4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189.55118397415424</v>
      </c>
      <c r="T46" s="59">
        <f t="shared" si="34"/>
        <v>456.28719984856014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95.181191715562321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95.181688480239515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14.015000000000004</v>
      </c>
      <c r="AI46" s="13">
        <f>IF('Données projet'!$A$62&gt;35,AI45+AH46-AQ45,IF(A46&lt;'Données projet'!$A$62,$AF$205^A46,IF(A46='Données projet'!$A$62,'Données projet'!$B$62,AI45+AH46-AQ45)))</f>
        <v>206.61500000000004</v>
      </c>
      <c r="AJ46" s="13">
        <f>AI46*VLOOKUP('Données projet'!$B$10,Paramètres!$A$1:$I$89,3,0)*VLOOKUP('Données projet'!$B$10,Paramètres!$A$1:$I$89,5,0)</f>
        <v>186.94525200000001</v>
      </c>
      <c r="AK46" s="13">
        <f t="shared" si="35"/>
        <v>46.863955679429196</v>
      </c>
      <c r="AL46" s="20">
        <f t="shared" si="4"/>
        <v>407.21770337500584</v>
      </c>
      <c r="AM46" s="59">
        <f t="shared" si="5"/>
        <v>662.11002154679704</v>
      </c>
      <c r="AN46" s="59">
        <f ca="1">AVERAGE(OFFSET($AM$3,0,0,'Données projet'!$E$10+1,1))-AVERAGE(OFFSET($H$3,0,0,'Données projet'!$E$10+1,1))</f>
        <v>737.88151921331701</v>
      </c>
      <c r="AO46" s="59">
        <f t="shared" si="36"/>
        <v>270.70193491027487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36.122270302216471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36.122270302216471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59.516086774124872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4.45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16.316666666666666</v>
      </c>
      <c r="H47" s="66">
        <f t="shared" si="1"/>
        <v>191.4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189.55118397415424</v>
      </c>
      <c r="T47" s="59">
        <f t="shared" si="34"/>
        <v>456.28719984856014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92.578457022738931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92.578808288410826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14.015000000000004</v>
      </c>
      <c r="AI47" s="13">
        <f>IF('Données projet'!$A$62&gt;35,AI46+AH47-AQ46,IF(A47&lt;'Données projet'!$A$62,$AF$205^A47,IF(A47='Données projet'!$A$62,'Données projet'!$B$62,AI46+AH47-AQ46)))</f>
        <v>220.63000000000005</v>
      </c>
      <c r="AJ47" s="13">
        <f>AI47*VLOOKUP('Données projet'!$B$10,Paramètres!$A$1:$I$89,3,0)*VLOOKUP('Données projet'!$B$10,Paramètres!$A$1:$I$89,5,0)</f>
        <v>199.62602400000003</v>
      </c>
      <c r="AK47" s="13">
        <f t="shared" si="35"/>
        <v>49.661970169140027</v>
      </c>
      <c r="AL47" s="20">
        <f t="shared" si="4"/>
        <v>434.17658984458558</v>
      </c>
      <c r="AM47" s="59">
        <f t="shared" si="5"/>
        <v>689.73577368819463</v>
      </c>
      <c r="AN47" s="59">
        <f ca="1">AVERAGE(OFFSET($AM$3,0,0,'Données projet'!$E$10+1,1))-AVERAGE(OFFSET($H$3,0,0,'Données projet'!$E$10+1,1))</f>
        <v>737.88151921331701</v>
      </c>
      <c r="AO47" s="59">
        <f t="shared" si="36"/>
        <v>270.70193491027487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35.413934613999373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35.413934613999373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59.697959230075178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4.45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16.316666666666666</v>
      </c>
      <c r="H48" s="66">
        <f t="shared" si="1"/>
        <v>191.4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189.55118397415424</v>
      </c>
      <c r="T48" s="59">
        <f t="shared" si="34"/>
        <v>456.28719984856014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90.046894246962665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90.047142629301263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14.015000000000004</v>
      </c>
      <c r="AI48" s="13">
        <f>IF('Données projet'!$A$62&gt;35,AI47+AH48-AQ47,IF(A48&lt;'Données projet'!$A$62,$AF$205^A48,IF(A48='Données projet'!$A$62,'Données projet'!$B$62,AI47+AH48-AQ47)))</f>
        <v>234.64500000000007</v>
      </c>
      <c r="AJ48" s="13">
        <f>AI48*VLOOKUP('Données projet'!$B$10,Paramètres!$A$1:$I$89,3,0)*VLOOKUP('Données projet'!$B$10,Paramètres!$A$1:$I$89,5,0)</f>
        <v>212.30679600000005</v>
      </c>
      <c r="AK48" s="13">
        <f t="shared" si="35"/>
        <v>52.439357699522503</v>
      </c>
      <c r="AL48" s="20">
        <f t="shared" si="4"/>
        <v>461.09955102666845</v>
      </c>
      <c r="AM48" s="59">
        <f t="shared" si="5"/>
        <v>717.31403191357754</v>
      </c>
      <c r="AN48" s="59">
        <f ca="1">AVERAGE(OFFSET($AM$3,0,0,'Données projet'!$E$10+1,1))-AVERAGE(OFFSET($H$3,0,0,'Données projet'!$E$10+1,1))</f>
        <v>737.88151921331701</v>
      </c>
      <c r="AO48" s="59">
        <f t="shared" si="36"/>
        <v>270.70193491027487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34.719488956586098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34.719488956586098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59.876676605520643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4.45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16.316666666666666</v>
      </c>
      <c r="H49" s="66">
        <f t="shared" si="1"/>
        <v>191.4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189.55118397415424</v>
      </c>
      <c r="T49" s="59">
        <f t="shared" si="34"/>
        <v>456.28719984856014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87.584557188419112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87.584732821255059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14.015000000000004</v>
      </c>
      <c r="AI49" s="13">
        <f>IF('Données projet'!$A$62&gt;35,AI48+AH49-AQ48,IF(A49&lt;'Données projet'!$A$62,$AF$205^A49,IF(A49='Données projet'!$A$62,'Données projet'!$B$62,AI48+AH49-AQ48)))</f>
        <v>248.66000000000008</v>
      </c>
      <c r="AJ49" s="13">
        <f>AI49*VLOOKUP('Données projet'!$B$10,Paramètres!$A$1:$I$89,3,0)*VLOOKUP('Données projet'!$B$10,Paramètres!$A$1:$I$89,5,0)</f>
        <v>224.98756800000007</v>
      </c>
      <c r="AK49" s="13">
        <f t="shared" si="35"/>
        <v>55.197490604905951</v>
      </c>
      <c r="AL49" s="20">
        <f t="shared" si="4"/>
        <v>487.98897707021132</v>
      </c>
      <c r="AM49" s="59">
        <f t="shared" si="5"/>
        <v>744.8473870617438</v>
      </c>
      <c r="AN49" s="59">
        <f ca="1">AVERAGE(OFFSET($AM$3,0,0,'Données projet'!$E$10+1,1))-AVERAGE(OFFSET($H$3,0,0,'Données projet'!$E$10+1,1))</f>
        <v>737.88151921331701</v>
      </c>
      <c r="AO49" s="59">
        <f t="shared" si="36"/>
        <v>270.70193491027487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34.038660954944675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34.038660954944675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60.052293634054323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4.45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16.316666666666666</v>
      </c>
      <c r="H50" s="66">
        <f t="shared" si="1"/>
        <v>191.4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189.55118397415424</v>
      </c>
      <c r="T50" s="59">
        <f t="shared" si="34"/>
        <v>456.28719984856014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85.189552866230102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85.189677057399393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14.015000000000004</v>
      </c>
      <c r="AI50" s="13">
        <f>IF('Données projet'!$A$62&gt;35,AI49+AH50-AQ49,IF(A50&lt;'Données projet'!$A$62,$AF$205^A50,IF(A50='Données projet'!$A$62,'Données projet'!$B$62,AI49+AH50-AQ49)))</f>
        <v>262.67500000000007</v>
      </c>
      <c r="AJ50" s="13">
        <f>AI50*VLOOKUP('Données projet'!$B$10,Paramètres!$A$1:$I$89,3,0)*VLOOKUP('Données projet'!$B$10,Paramètres!$A$1:$I$89,5,0)</f>
        <v>237.66834000000003</v>
      </c>
      <c r="AK50" s="13">
        <f t="shared" si="35"/>
        <v>57.937577787044361</v>
      </c>
      <c r="AL50" s="20">
        <f t="shared" si="4"/>
        <v>514.8469734791023</v>
      </c>
      <c r="AM50" s="59">
        <f t="shared" si="5"/>
        <v>772.33814184490291</v>
      </c>
      <c r="AN50" s="59">
        <f ca="1">AVERAGE(OFFSET($AM$3,0,0,'Données projet'!$E$10+1,1))-AVERAGE(OFFSET($H$3,0,0,'Données projet'!$E$10+1,1))</f>
        <v>737.88151921331701</v>
      </c>
      <c r="AO50" s="59">
        <f t="shared" si="36"/>
        <v>270.70193491027487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33.371183575151363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33.371183575151363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60.224864099763799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4.45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16.316666666666666</v>
      </c>
      <c r="H51" s="66">
        <f t="shared" si="1"/>
        <v>191.4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189.55118397415424</v>
      </c>
      <c r="T51" s="59">
        <f t="shared" si="34"/>
        <v>456.28719984856014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82.860040063179156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82.86012787959713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14.015000000000004</v>
      </c>
      <c r="AI51" s="13">
        <f>IF('Données projet'!$A$62&gt;35,AI50+AH51-AQ50,IF(A51&lt;'Données projet'!$A$62,$AF$205^A51,IF(A51='Données projet'!$A$62,'Données projet'!$B$62,AI50+AH51-AQ50)))</f>
        <v>276.69000000000005</v>
      </c>
      <c r="AJ51" s="13">
        <f>AI51*VLOOKUP('Données projet'!$B$10,Paramètres!$A$1:$I$89,3,0)*VLOOKUP('Données projet'!$B$10,Paramètres!$A$1:$I$89,5,0)</f>
        <v>250.34911200000005</v>
      </c>
      <c r="AK51" s="13">
        <f t="shared" si="35"/>
        <v>60.660691860184102</v>
      </c>
      <c r="AL51" s="20">
        <f t="shared" si="4"/>
        <v>541.67540838982075</v>
      </c>
      <c r="AM51" s="59">
        <f t="shared" si="5"/>
        <v>799.78835818673167</v>
      </c>
      <c r="AN51" s="59">
        <f ca="1">AVERAGE(OFFSET($AM$3,0,0,'Données projet'!$E$10+1,1))-AVERAGE(OFFSET($H$3,0,0,'Données projet'!$E$10+1,1))</f>
        <v>737.88151921331701</v>
      </c>
      <c r="AO51" s="59">
        <f t="shared" si="36"/>
        <v>270.70193491027487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32.716795019654796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32.716795019654796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60.394440853702982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4.45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16.316666666666666</v>
      </c>
      <c r="H52" s="66">
        <f t="shared" si="1"/>
        <v>191.4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189.55118397415424</v>
      </c>
      <c r="T52" s="59">
        <f t="shared" si="34"/>
        <v>456.28719984856014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80.594227910231396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80.594290005816049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14.015000000000004</v>
      </c>
      <c r="AI52" s="13">
        <f>IF('Données projet'!$A$62&gt;35,AI51+AH52-AQ51,IF(A52&lt;'Données projet'!$A$62,$AF$205^A52,IF(A52='Données projet'!$A$62,'Données projet'!$B$62,AI51+AH52-AQ51)))</f>
        <v>290.70500000000004</v>
      </c>
      <c r="AJ52" s="13">
        <f>AI52*VLOOKUP('Données projet'!$B$10,Paramètres!$A$1:$I$89,3,0)*VLOOKUP('Données projet'!$B$10,Paramètres!$A$1:$I$89,5,0)</f>
        <v>263.02988400000004</v>
      </c>
      <c r="AK52" s="13">
        <f t="shared" si="35"/>
        <v>63.367790639848458</v>
      </c>
      <c r="AL52" s="20">
        <f t="shared" si="4"/>
        <v>568.47594999773617</v>
      </c>
      <c r="AM52" s="59">
        <f t="shared" si="5"/>
        <v>827.19989470802261</v>
      </c>
      <c r="AN52" s="59">
        <f ca="1">AVERAGE(OFFSET($AM$3,0,0,'Données projet'!$E$10+1,1))-AVERAGE(OFFSET($H$3,0,0,'Données projet'!$E$10+1,1))</f>
        <v>737.88151921331701</v>
      </c>
      <c r="AO52" s="59">
        <f t="shared" si="36"/>
        <v>270.70193491027487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32.075238624593908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32.075238624593908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60.561075830078138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4.45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16.316666666666666</v>
      </c>
      <c r="H53" s="66">
        <f t="shared" si="1"/>
        <v>191.4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189.55118397415424</v>
      </c>
      <c r="T53" s="59">
        <f t="shared" si="34"/>
        <v>456.28719984856014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78.39037450975988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78.39041841796886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304.72000000000003</v>
      </c>
      <c r="AG53" s="12">
        <f>VLOOKUP(A53,'Données projet'!$A$61:$I$81,9,0)</f>
        <v>14.015000000000004</v>
      </c>
      <c r="AH53" s="12">
        <f t="array" ref="AH53">INDEX(AG:AG,MIN(IF(ISNUMBER(AG53:AG249),ROW(AG53:AG249),"")))</f>
        <v>14.015000000000004</v>
      </c>
      <c r="AI53" s="13">
        <f>IF('Données projet'!$A$62&gt;35,AI52+AH53-AQ52,IF(A53&lt;'Données projet'!$A$62,$AF$205^A53,IF(A53='Données projet'!$A$62,'Données projet'!$B$62,AI52+AH53-AQ52)))</f>
        <v>304.72000000000003</v>
      </c>
      <c r="AJ53" s="13">
        <f>AI53*VLOOKUP('Données projet'!$B$10,Paramètres!$A$1:$I$89,3,0)*VLOOKUP('Données projet'!$B$10,Paramètres!$A$1:$I$89,5,0)</f>
        <v>275.71065600000003</v>
      </c>
      <c r="AK53" s="13">
        <f t="shared" si="35"/>
        <v>66.059734370197603</v>
      </c>
      <c r="AL53" s="20">
        <f t="shared" si="4"/>
        <v>595.25009656142754</v>
      </c>
      <c r="AM53" s="59">
        <f t="shared" si="5"/>
        <v>854.57443678932259</v>
      </c>
      <c r="AN53" s="59">
        <f ca="1">AVERAGE(OFFSET($AM$3,0,0,'Données projet'!$E$10+1,1))-AVERAGE(OFFSET($H$3,0,0,'Données projet'!$E$10+1,1))</f>
        <v>737.88151921331701</v>
      </c>
      <c r="AO53" s="59">
        <f t="shared" si="36"/>
        <v>270.70193491027487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66.62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60.099440001341925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60.099440001341925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60.724820062153199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4.45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16.316666666666666</v>
      </c>
      <c r="H54" s="66">
        <f t="shared" si="1"/>
        <v>191.4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189.55118397415424</v>
      </c>
      <c r="T54" s="59">
        <f t="shared" si="34"/>
        <v>456.28719984856014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76.246785596419869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76.246816644212188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13.559999999999995</v>
      </c>
      <c r="AI54" s="13">
        <f>IF('Données projet'!$A$62&gt;35,AI53+AH54-AQ53,IF(A54&lt;'Données projet'!$A$62,$AF$205^A54,IF(A54='Données projet'!$A$62,'Données projet'!$B$62,AI53+AH54-AQ53)))</f>
        <v>251.66000000000003</v>
      </c>
      <c r="AJ54" s="13">
        <f>AI54*VLOOKUP('Données projet'!$B$10,Paramètres!$A$1:$I$89,3,0)*VLOOKUP('Données projet'!$B$10,Paramètres!$A$1:$I$89,5,0)</f>
        <v>227.70196800000002</v>
      </c>
      <c r="AK54" s="13">
        <f t="shared" si="35"/>
        <v>55.785503263186797</v>
      </c>
      <c r="AL54" s="20">
        <f t="shared" si="4"/>
        <v>493.74067911671705</v>
      </c>
      <c r="AM54" s="59">
        <f t="shared" si="5"/>
        <v>753.65499934227341</v>
      </c>
      <c r="AN54" s="59">
        <f ca="1">AVERAGE(OFFSET($AM$3,0,0,'Données projet'!$E$10+1,1))-AVERAGE(OFFSET($H$3,0,0,'Données projet'!$E$10+1,1))</f>
        <v>737.88151921331701</v>
      </c>
      <c r="AO54" s="59">
        <f t="shared" si="36"/>
        <v>270.70193491027487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58.92092663995443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58.92092663995443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60.885723697879001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4.45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16.316666666666666</v>
      </c>
      <c r="H55" s="66">
        <f t="shared" si="1"/>
        <v>191.4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189.55118397415424</v>
      </c>
      <c r="T55" s="59">
        <f t="shared" si="34"/>
        <v>456.28719984856014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74.161813234641571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74.161835188746068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13.559999999999995</v>
      </c>
      <c r="AI55" s="13">
        <f>IF('Données projet'!$A$62&gt;35,AI54+AH55-AQ54,IF(A55&lt;'Données projet'!$A$62,$AF$205^A55,IF(A55='Données projet'!$A$62,'Données projet'!$B$62,AI54+AH55-AQ54)))</f>
        <v>265.22000000000003</v>
      </c>
      <c r="AJ55" s="13">
        <f>AI55*VLOOKUP('Données projet'!$B$10,Paramètres!$A$1:$I$89,3,0)*VLOOKUP('Données projet'!$B$10,Paramètres!$A$1:$I$89,5,0)</f>
        <v>239.97105600000003</v>
      </c>
      <c r="AK55" s="13">
        <f t="shared" si="35"/>
        <v>58.433302995905095</v>
      </c>
      <c r="AL55" s="20">
        <f t="shared" si="4"/>
        <v>519.72092525120149</v>
      </c>
      <c r="AM55" s="59">
        <f t="shared" si="5"/>
        <v>780.21499064045736</v>
      </c>
      <c r="AN55" s="59">
        <f ca="1">AVERAGE(OFFSET($AM$3,0,0,'Données projet'!$E$10+1,1))-AVERAGE(OFFSET($H$3,0,0,'Données projet'!$E$10+1,1))</f>
        <v>737.88151921331701</v>
      </c>
      <c r="AO55" s="59">
        <f t="shared" si="36"/>
        <v>270.70193491027487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57.765523206761571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57.765523206761571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61.043836015251607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4.45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16.316666666666666</v>
      </c>
      <c r="H56" s="66">
        <f t="shared" si="1"/>
        <v>191.4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189.55118397415424</v>
      </c>
      <c r="T56" s="59">
        <f t="shared" si="34"/>
        <v>456.28719984856014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72.133854551740043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72.13387007563621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13.559999999999995</v>
      </c>
      <c r="AI56" s="13">
        <f>IF('Données projet'!$A$62&gt;35,AI55+AH56-AQ55,IF(A56&lt;'Données projet'!$A$62,$AF$205^A56,IF(A56='Données projet'!$A$62,'Données projet'!$B$62,AI55+AH56-AQ55)))</f>
        <v>278.78000000000003</v>
      </c>
      <c r="AJ56" s="13">
        <f>AI56*VLOOKUP('Données projet'!$B$10,Paramètres!$A$1:$I$89,3,0)*VLOOKUP('Données projet'!$B$10,Paramètres!$A$1:$I$89,5,0)</f>
        <v>252.24014399999999</v>
      </c>
      <c r="AK56" s="13">
        <f t="shared" si="35"/>
        <v>61.065384641947205</v>
      </c>
      <c r="AL56" s="20">
        <f t="shared" si="4"/>
        <v>545.67379571805805</v>
      </c>
      <c r="AM56" s="59">
        <f t="shared" si="5"/>
        <v>806.73754898853929</v>
      </c>
      <c r="AN56" s="59">
        <f ca="1">AVERAGE(OFFSET($AM$3,0,0,'Données projet'!$E$10+1,1))-AVERAGE(OFFSET($H$3,0,0,'Données projet'!$E$10+1,1))</f>
        <v>737.88151921331701</v>
      </c>
      <c r="AO56" s="59">
        <f t="shared" si="36"/>
        <v>270.70193491027487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56.632776530167114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56.632776530167114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61.199205437403982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4.45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16.316666666666666</v>
      </c>
      <c r="H57" s="66">
        <f t="shared" si="1"/>
        <v>191.4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189.55118397415424</v>
      </c>
      <c r="T57" s="59">
        <f t="shared" si="34"/>
        <v>456.28719984856014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70.161350505668167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70.161361482720409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13.559999999999995</v>
      </c>
      <c r="AI57" s="13">
        <f>IF('Données projet'!$A$62&gt;35,AI56+AH57-AQ56,IF(A57&lt;'Données projet'!$A$62,$AF$205^A57,IF(A57='Données projet'!$A$62,'Données projet'!$B$62,AI56+AH57-AQ56)))</f>
        <v>292.34000000000003</v>
      </c>
      <c r="AJ57" s="13">
        <f>AI57*VLOOKUP('Données projet'!$B$10,Paramètres!$A$1:$I$89,3,0)*VLOOKUP('Données projet'!$B$10,Paramètres!$A$1:$I$89,5,0)</f>
        <v>264.509232</v>
      </c>
      <c r="AK57" s="13">
        <f t="shared" si="35"/>
        <v>63.682600004728563</v>
      </c>
      <c r="AL57" s="20">
        <f t="shared" si="4"/>
        <v>571.60077407490223</v>
      </c>
      <c r="AM57" s="59">
        <f t="shared" si="5"/>
        <v>833.22433241550084</v>
      </c>
      <c r="AN57" s="59">
        <f ca="1">AVERAGE(OFFSET($AM$3,0,0,'Données projet'!$E$10+1,1))-AVERAGE(OFFSET($H$3,0,0,'Données projet'!$E$10+1,1))</f>
        <v>737.88151921331701</v>
      </c>
      <c r="AO57" s="59">
        <f t="shared" si="36"/>
        <v>270.70193491027487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55.522242324993421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55.522242324993421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61.351879547435999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4.45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16.316666666666666</v>
      </c>
      <c r="H58" s="66">
        <f t="shared" si="1"/>
        <v>191.4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189.55118397415424</v>
      </c>
      <c r="T58" s="59">
        <f t="shared" si="34"/>
        <v>456.28719984856014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68.242784686465598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68.242792448413681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13.559999999999995</v>
      </c>
      <c r="AI58" s="13">
        <f>IF('Données projet'!$A$62&gt;35,AI57+AH58-AQ57,IF(A58&lt;'Données projet'!$A$62,$AF$205^A58,IF(A58='Données projet'!$A$62,'Données projet'!$B$62,AI57+AH58-AQ57)))</f>
        <v>305.90000000000003</v>
      </c>
      <c r="AJ58" s="13">
        <f>AI58*VLOOKUP('Données projet'!$B$10,Paramètres!$A$1:$I$89,3,0)*VLOOKUP('Données projet'!$B$10,Paramètres!$A$1:$I$89,5,0)</f>
        <v>276.77832000000001</v>
      </c>
      <c r="AK58" s="13">
        <f t="shared" si="35"/>
        <v>66.28571740098451</v>
      </c>
      <c r="AL58" s="20">
        <f t="shared" si="4"/>
        <v>597.5031984733813</v>
      </c>
      <c r="AM58" s="59">
        <f t="shared" si="5"/>
        <v>859.67685051766739</v>
      </c>
      <c r="AN58" s="59">
        <f ca="1">AVERAGE(OFFSET($AM$3,0,0,'Données projet'!$E$10+1,1))-AVERAGE(OFFSET($H$3,0,0,'Données projet'!$E$10+1,1))</f>
        <v>737.88151921331701</v>
      </c>
      <c r="AO58" s="59">
        <f t="shared" si="36"/>
        <v>270.70193491027487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54.433485018224204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54.433485018224204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61.501905102987145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4.45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16.316666666666666</v>
      </c>
      <c r="H59" s="66">
        <f t="shared" si="1"/>
        <v>191.4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189.55118397415424</v>
      </c>
      <c r="T59" s="59">
        <f t="shared" si="34"/>
        <v>456.28719984856014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66.376682150482125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66.376687639008253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13.559999999999995</v>
      </c>
      <c r="AI59" s="13">
        <f>IF('Données projet'!$A$62&gt;35,AI58+AH59-AQ58,IF(A59&lt;'Données projet'!$A$62,$AF$205^A59,IF(A59='Données projet'!$A$62,'Données projet'!$B$62,AI58+AH59-AQ58)))</f>
        <v>319.46000000000004</v>
      </c>
      <c r="AJ59" s="13">
        <f>AI59*VLOOKUP('Données projet'!$B$10,Paramètres!$A$1:$I$89,3,0)*VLOOKUP('Données projet'!$B$10,Paramètres!$A$1:$I$89,5,0)</f>
        <v>289.04740800000002</v>
      </c>
      <c r="AK59" s="13">
        <f t="shared" si="35"/>
        <v>68.875433179996975</v>
      </c>
      <c r="AL59" s="20">
        <f t="shared" si="4"/>
        <v>623.38228172182801</v>
      </c>
      <c r="AM59" s="59">
        <f t="shared" si="5"/>
        <v>886.096484573868</v>
      </c>
      <c r="AN59" s="59">
        <f ca="1">AVERAGE(OFFSET($AM$3,0,0,'Données projet'!$E$10+1,1))-AVERAGE(OFFSET($H$3,0,0,'Données projet'!$E$10+1,1))</f>
        <v>737.88151921331701</v>
      </c>
      <c r="AO59" s="59">
        <f t="shared" si="36"/>
        <v>270.70193491027487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53.366077578164344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53.366077578164344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61.649328050556363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4.45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16.316666666666666</v>
      </c>
      <c r="H60" s="66">
        <f t="shared" si="1"/>
        <v>191.4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189.55118397415424</v>
      </c>
      <c r="T60" s="59">
        <f t="shared" si="34"/>
        <v>456.28719984856014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64.561608286479185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64.56161216745322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13.559999999999995</v>
      </c>
      <c r="AI60" s="13">
        <f>IF('Données projet'!$A$62&gt;35,AI59+AH60-AQ59,IF(A60&lt;'Données projet'!$A$62,$AF$205^A60,IF(A60='Données projet'!$A$62,'Données projet'!$B$62,AI59+AH60-AQ59)))</f>
        <v>333.02000000000004</v>
      </c>
      <c r="AJ60" s="13">
        <f>AI60*VLOOKUP('Données projet'!$B$10,Paramètres!$A$1:$I$89,3,0)*VLOOKUP('Données projet'!$B$10,Paramètres!$A$1:$I$89,5,0)</f>
        <v>301.31649600000003</v>
      </c>
      <c r="AK60" s="13">
        <f t="shared" si="35"/>
        <v>71.45238123186985</v>
      </c>
      <c r="AL60" s="20">
        <f t="shared" si="4"/>
        <v>649.23912784550669</v>
      </c>
      <c r="AM60" s="59">
        <f t="shared" si="5"/>
        <v>912.48450415727655</v>
      </c>
      <c r="AN60" s="59">
        <f ca="1">AVERAGE(OFFSET($AM$3,0,0,'Données projet'!$E$10+1,1))-AVERAGE(OFFSET($H$3,0,0,'Données projet'!$E$10+1,1))</f>
        <v>737.88151921331701</v>
      </c>
      <c r="AO60" s="59">
        <f t="shared" si="36"/>
        <v>270.70193491027487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52.31960134694981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52.31960134694981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61.794193539573591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4.45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16.316666666666666</v>
      </c>
      <c r="H61" s="66">
        <f t="shared" si="1"/>
        <v>191.4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189.55118397415424</v>
      </c>
      <c r="T61" s="59">
        <f t="shared" si="34"/>
        <v>456.28719984856014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62.79616771273799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62.796170457001054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346.58</v>
      </c>
      <c r="AG61" s="12">
        <f>VLOOKUP(A61,'Données projet'!$A$61:$I$81,9,0)</f>
        <v>13.559999999999995</v>
      </c>
      <c r="AH61" s="12">
        <f t="array" ref="AH61">INDEX(AG:AG,MIN(IF(ISNUMBER(AG61:AG257),ROW(AG61:AG257),"")))</f>
        <v>13.559999999999995</v>
      </c>
      <c r="AI61" s="13">
        <f>IF('Données projet'!$A$62&gt;35,AI60+AH61-AQ60,IF(A61&lt;'Données projet'!$A$62,$AF$205^A61,IF(A61='Données projet'!$A$62,'Données projet'!$B$62,AI60+AH61-AQ60)))</f>
        <v>346.58000000000004</v>
      </c>
      <c r="AJ61" s="13">
        <f>AI61*VLOOKUP('Données projet'!$B$10,Paramètres!$A$1:$I$89,3,0)*VLOOKUP('Données projet'!$B$10,Paramètres!$A$1:$I$89,5,0)</f>
        <v>313.58558400000004</v>
      </c>
      <c r="AK61" s="13">
        <f t="shared" si="35"/>
        <v>74.017140903550782</v>
      </c>
      <c r="AL61" s="20">
        <f t="shared" si="4"/>
        <v>675.07474587368438</v>
      </c>
      <c r="AM61" s="59">
        <f t="shared" si="5"/>
        <v>938.84208097318378</v>
      </c>
      <c r="AN61" s="59">
        <f ca="1">AVERAGE(OFFSET($AM$3,0,0,'Données projet'!$E$10+1,1))-AVERAGE(OFFSET($H$3,0,0,'Données projet'!$E$10+1,1))</f>
        <v>737.88151921331701</v>
      </c>
      <c r="AO61" s="59">
        <f t="shared" si="36"/>
        <v>270.70193491027487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62.16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78.028582792822419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78.028582792822419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61.936545936227091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4.45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16.316666666666666</v>
      </c>
      <c r="H62" s="66">
        <f t="shared" si="1"/>
        <v>191.4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189.55118397415424</v>
      </c>
      <c r="T62" s="59">
        <f t="shared" si="34"/>
        <v>456.28719984856014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61.079003204326234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61.079005144813252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13.062500000000007</v>
      </c>
      <c r="AI62" s="13">
        <f>IF('Données projet'!$A$62&gt;35,AI61+AH62-AQ61,IF(A62&lt;'Données projet'!$A$62,$AF$205^A62,IF(A62='Données projet'!$A$62,'Données projet'!$B$62,AI61+AH62-AQ61)))</f>
        <v>297.48250000000007</v>
      </c>
      <c r="AJ62" s="13">
        <f>AI62*VLOOKUP('Données projet'!$B$10,Paramètres!$A$1:$I$89,3,0)*VLOOKUP('Données projet'!$B$10,Paramètres!$A$1:$I$89,5,0)</f>
        <v>269.16216600000007</v>
      </c>
      <c r="AK62" s="13">
        <f t="shared" si="35"/>
        <v>64.671427618025248</v>
      </c>
      <c r="AL62" s="20">
        <f t="shared" si="4"/>
        <v>581.42684221806064</v>
      </c>
      <c r="AM62" s="59">
        <f t="shared" si="5"/>
        <v>845.70708128724743</v>
      </c>
      <c r="AN62" s="59">
        <f ca="1">AVERAGE(OFFSET($AM$3,0,0,'Données projet'!$E$10+1,1))-AVERAGE(OFFSET($H$3,0,0,'Données projet'!$E$10+1,1))</f>
        <v>737.88151921331701</v>
      </c>
      <c r="AO62" s="59">
        <f t="shared" si="36"/>
        <v>270.70193491027487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76.498489876991286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76.498489876991286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62.076428837050933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4.45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16.316666666666666</v>
      </c>
      <c r="H63" s="66">
        <f t="shared" si="1"/>
        <v>191.4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189.55118397415424</v>
      </c>
      <c r="T63" s="59">
        <f t="shared" si="34"/>
        <v>456.28719984856014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59.408794649698756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59.408796021830284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13.062500000000007</v>
      </c>
      <c r="AI63" s="13">
        <f>IF('Données projet'!$A$62&gt;35,AI62+AH63-AQ62,IF(A63&lt;'Données projet'!$A$62,$AF$205^A63,IF(A63='Données projet'!$A$62,'Données projet'!$B$62,AI62+AH63-AQ62)))</f>
        <v>310.54500000000007</v>
      </c>
      <c r="AJ63" s="13">
        <f>AI63*VLOOKUP('Données projet'!$B$10,Paramètres!$A$1:$I$89,3,0)*VLOOKUP('Données projet'!$B$10,Paramètres!$A$1:$I$89,5,0)</f>
        <v>280.98111600000004</v>
      </c>
      <c r="AK63" s="13">
        <f t="shared" si="35"/>
        <v>67.174304667838214</v>
      </c>
      <c r="AL63" s="20">
        <f t="shared" si="4"/>
        <v>606.37069099648488</v>
      </c>
      <c r="AM63" s="59">
        <f t="shared" si="5"/>
        <v>871.15493629816649</v>
      </c>
      <c r="AN63" s="59">
        <f ca="1">AVERAGE(OFFSET($AM$3,0,0,'Données projet'!$E$10+1,1))-AVERAGE(OFFSET($H$3,0,0,'Données projet'!$E$10+1,1))</f>
        <v>737.88151921331701</v>
      </c>
      <c r="AO63" s="59">
        <f t="shared" si="36"/>
        <v>270.70193491027487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74.998401149975066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74.998401149975066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62.213885082276803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4.45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16.316666666666666</v>
      </c>
      <c r="H64" s="66">
        <f t="shared" si="1"/>
        <v>191.4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189.55118397415424</v>
      </c>
      <c r="T64" s="59">
        <f t="shared" si="34"/>
        <v>456.28719984856014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57.784258035830014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57.784259006073526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13.062500000000007</v>
      </c>
      <c r="AI64" s="13">
        <f>IF('Données projet'!$A$62&gt;35,AI63+AH64-AQ63,IF(A64&lt;'Données projet'!$A$62,$AF$205^A64,IF(A64='Données projet'!$A$62,'Données projet'!$B$62,AI63+AH64-AQ63)))</f>
        <v>323.60750000000007</v>
      </c>
      <c r="AJ64" s="13">
        <f>AI64*VLOOKUP('Données projet'!$B$10,Paramètres!$A$1:$I$89,3,0)*VLOOKUP('Données projet'!$B$10,Paramètres!$A$1:$I$89,5,0)</f>
        <v>292.80006600000007</v>
      </c>
      <c r="AK64" s="13">
        <f t="shared" si="35"/>
        <v>69.664953398224426</v>
      </c>
      <c r="AL64" s="20">
        <f t="shared" si="4"/>
        <v>631.29324211857431</v>
      </c>
      <c r="AM64" s="59">
        <f t="shared" si="5"/>
        <v>896.57275027140611</v>
      </c>
      <c r="AN64" s="59">
        <f ca="1">AVERAGE(OFFSET($AM$3,0,0,'Données projet'!$E$10+1,1))-AVERAGE(OFFSET($H$3,0,0,'Données projet'!$E$10+1,1))</f>
        <v>737.88151921331701</v>
      </c>
      <c r="AO64" s="59">
        <f t="shared" si="36"/>
        <v>270.70193491027487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73.527728247931861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73.527728247931861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62.348956768954125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4.45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16.316666666666666</v>
      </c>
      <c r="H65" s="66">
        <f t="shared" si="1"/>
        <v>191.4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189.55118397415424</v>
      </c>
      <c r="T65" s="59">
        <f t="shared" si="34"/>
        <v>456.28719984856014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56.204144461098181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56.204145147163949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13.062500000000007</v>
      </c>
      <c r="AI65" s="13">
        <f>IF('Données projet'!$A$62&gt;35,AI64+AH65-AQ64,IF(A65&lt;'Données projet'!$A$62,$AF$205^A65,IF(A65='Données projet'!$A$62,'Données projet'!$B$62,AI64+AH65-AQ64)))</f>
        <v>336.67000000000007</v>
      </c>
      <c r="AJ65" s="13">
        <f>AI65*VLOOKUP('Données projet'!$B$10,Paramètres!$A$1:$I$89,3,0)*VLOOKUP('Données projet'!$B$10,Paramètres!$A$1:$I$89,5,0)</f>
        <v>304.61901600000004</v>
      </c>
      <c r="AK65" s="13">
        <f t="shared" si="35"/>
        <v>72.143923875314599</v>
      </c>
      <c r="AL65" s="20">
        <f t="shared" si="4"/>
        <v>656.19545361617304</v>
      </c>
      <c r="AM65" s="59">
        <f t="shared" si="5"/>
        <v>921.96163291692937</v>
      </c>
      <c r="AN65" s="59">
        <f ca="1">AVERAGE(OFFSET($AM$3,0,0,'Données projet'!$E$10+1,1))-AVERAGE(OFFSET($H$3,0,0,'Données projet'!$E$10+1,1))</f>
        <v>737.88151921331701</v>
      </c>
      <c r="AO65" s="59">
        <f t="shared" si="36"/>
        <v>270.70193491027487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72.085894344475832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72.085894344475832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62.481685263842643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4.45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16.316666666666666</v>
      </c>
      <c r="H66" s="66">
        <f t="shared" si="1"/>
        <v>191.4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189.55118397415424</v>
      </c>
      <c r="T66" s="59">
        <f t="shared" si="34"/>
        <v>456.28719984856014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54.667239175161953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54.667239660283705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13.062500000000007</v>
      </c>
      <c r="AI66" s="13">
        <f>IF('Données projet'!$A$62&gt;35,AI65+AH66-AQ65,IF(A66&lt;'Données projet'!$A$62,$AF$205^A66,IF(A66='Données projet'!$A$62,'Données projet'!$B$62,AI65+AH66-AQ65)))</f>
        <v>349.73250000000007</v>
      </c>
      <c r="AJ66" s="13">
        <f>AI66*VLOOKUP('Données projet'!$B$10,Paramètres!$A$1:$I$89,3,0)*VLOOKUP('Données projet'!$B$10,Paramètres!$A$1:$I$89,5,0)</f>
        <v>316.43796600000007</v>
      </c>
      <c r="AK66" s="13">
        <f t="shared" si="35"/>
        <v>74.611721064089451</v>
      </c>
      <c r="AL66" s="20">
        <f t="shared" si="4"/>
        <v>681.07820496995589</v>
      </c>
      <c r="AM66" s="59">
        <f t="shared" si="5"/>
        <v>947.32261276225404</v>
      </c>
      <c r="AN66" s="59">
        <f ca="1">AVERAGE(OFFSET($AM$3,0,0,'Données projet'!$E$10+1,1))-AVERAGE(OFFSET($H$3,0,0,'Données projet'!$E$10+1,1))</f>
        <v>737.88151921331701</v>
      </c>
      <c r="AO66" s="59">
        <f t="shared" si="36"/>
        <v>270.70193491027487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70.672333924434724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70.672333924434724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62.612111216081303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4.45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16.316666666666666</v>
      </c>
      <c r="H67" s="66">
        <f t="shared" si="1"/>
        <v>191.4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189.55118397415424</v>
      </c>
      <c r="T67" s="59">
        <f t="shared" si="34"/>
        <v>456.28719984856014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53.172360645091985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53.172360988124865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13.062500000000007</v>
      </c>
      <c r="AI67" s="13">
        <f>IF('Données projet'!$A$62&gt;35,AI66+AH67-AQ66,IF(A67&lt;'Données projet'!$A$62,$AF$205^A67,IF(A67='Données projet'!$A$62,'Données projet'!$B$62,AI66+AH67-AQ66)))</f>
        <v>362.79500000000007</v>
      </c>
      <c r="AJ67" s="13">
        <f>AI67*VLOOKUP('Données projet'!$B$10,Paramètres!$A$1:$I$89,3,0)*VLOOKUP('Données projet'!$B$10,Paramètres!$A$1:$I$89,5,0)</f>
        <v>328.25691600000005</v>
      </c>
      <c r="AK67" s="13">
        <f t="shared" si="35"/>
        <v>77.068810071661119</v>
      </c>
      <c r="AL67" s="20">
        <f t="shared" si="4"/>
        <v>705.94230624147656</v>
      </c>
      <c r="AM67" s="59">
        <f t="shared" si="5"/>
        <v>972.65664633014694</v>
      </c>
      <c r="AN67" s="59">
        <f ca="1">AVERAGE(OFFSET($AM$3,0,0,'Données projet'!$E$10+1,1))-AVERAGE(OFFSET($H$3,0,0,'Données projet'!$E$10+1,1))</f>
        <v>737.88151921331701</v>
      </c>
      <c r="AO67" s="59">
        <f t="shared" si="36"/>
        <v>270.70193491027487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69.286492562043904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69.286492562043904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62.740274569637378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4.45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16.316666666666666</v>
      </c>
      <c r="H68" s="66">
        <f t="shared" ref="H68:H131" si="56">(B68+E68+F68)*44/12+(C68+D68)*0.475*44/12</f>
        <v>191.4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189.55118397415424</v>
      </c>
      <c r="T68" s="59">
        <f t="shared" si="34"/>
        <v>456.28719984856014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51.718359647039023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51.718359889599903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13.062500000000007</v>
      </c>
      <c r="AI68" s="13">
        <f>IF('Données projet'!$A$62&gt;35,AI67+AH68-AQ67,IF(A68&lt;'Données projet'!$A$62,$AF$205^A68,IF(A68='Données projet'!$A$62,'Données projet'!$B$62,AI67+AH68-AQ67)))</f>
        <v>375.85750000000007</v>
      </c>
      <c r="AJ68" s="13">
        <f>AI68*VLOOKUP('Données projet'!$B$10,Paramètres!$A$1:$I$89,3,0)*VLOOKUP('Données projet'!$B$10,Paramètres!$A$1:$I$89,5,0)</f>
        <v>340.07586600000008</v>
      </c>
      <c r="AK68" s="13">
        <f t="shared" si="35"/>
        <v>79.515620614191235</v>
      </c>
      <c r="AL68" s="20">
        <f t="shared" ref="AL68:AL131" si="58">(AJ68+AK68)*0.475*44/12</f>
        <v>730.78850585304974</v>
      </c>
      <c r="AM68" s="59">
        <f t="shared" ref="AM68:AM131" si="59">AL68+(AD68+AE68)*44/12</f>
        <v>997.96462596336153</v>
      </c>
      <c r="AN68" s="59">
        <f ca="1">AVERAGE(OFFSET($AM$3,0,0,'Données projet'!$E$10+1,1))-AVERAGE(OFFSET($H$3,0,0,'Données projet'!$E$10+1,1))</f>
        <v>737.88151921331701</v>
      </c>
      <c r="AO68" s="59">
        <f t="shared" si="36"/>
        <v>270.70193491027487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67.927826703489799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67.927826703489799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62.86621457553958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4.45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16.316666666666666</v>
      </c>
      <c r="H69" s="66">
        <f t="shared" si="56"/>
        <v>191.4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189.55118397415424</v>
      </c>
      <c r="T69" s="59">
        <f t="shared" ref="T69:T132" si="88">$T$3</f>
        <v>456.28719984856014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50.304118382740413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50.304118554256853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388.92</v>
      </c>
      <c r="AG69" s="12">
        <f>VLOOKUP(A69,'Données projet'!$A$61:$I$81,9,0)</f>
        <v>13.062500000000007</v>
      </c>
      <c r="AH69" s="12">
        <f t="array" ref="AH69">INDEX(AG:AG,MIN(IF(ISNUMBER(AG69:AG265),ROW(AG69:AG265),"")))</f>
        <v>13.062500000000007</v>
      </c>
      <c r="AI69" s="13">
        <f>IF('Données projet'!$A$62&gt;35,AI68+AH69-AQ68,IF(A69&lt;'Données projet'!$A$62,$AF$205^A69,IF(A69='Données projet'!$A$62,'Données projet'!$B$62,AI68+AH69-AQ68)))</f>
        <v>388.92000000000007</v>
      </c>
      <c r="AJ69" s="13">
        <f>AI69*VLOOKUP('Données projet'!$B$10,Paramètres!$A$1:$I$89,3,0)*VLOOKUP('Données projet'!$B$10,Paramètres!$A$1:$I$89,5,0)</f>
        <v>351.89481600000005</v>
      </c>
      <c r="AK69" s="13">
        <f t="shared" ref="AK69:AK132" si="89">EXP(-1.0587+0.8836*LN(AJ69)+0.284)</f>
        <v>81.952550845391471</v>
      </c>
      <c r="AL69" s="20">
        <f t="shared" si="58"/>
        <v>755.61749725572361</v>
      </c>
      <c r="AM69" s="59">
        <f t="shared" si="59"/>
        <v>1023.2473865366867</v>
      </c>
      <c r="AN69" s="59">
        <f ca="1">AVERAGE(OFFSET($AM$3,0,0,'Données projet'!$E$10+1,1))-AVERAGE(OFFSET($H$3,0,0,'Données projet'!$E$10+1,1))</f>
        <v>737.88151921331701</v>
      </c>
      <c r="AO69" s="59">
        <f t="shared" ref="AO69:AO132" si="90">$AO$3</f>
        <v>270.70193491027487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71.34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97.279046690875219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97.279046690875219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62.989969803899051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4.45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16.316666666666666</v>
      </c>
      <c r="H70" s="66">
        <f t="shared" si="56"/>
        <v>191.4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189.55118397415424</v>
      </c>
      <c r="T70" s="59">
        <f t="shared" si="88"/>
        <v>456.28719984856014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48.928549620185763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48.928549741466199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12.152499999999996</v>
      </c>
      <c r="AI70" s="13">
        <f>IF('Données projet'!$A$62&gt;35,AI69+AH70-AQ69,IF(A70&lt;'Données projet'!$A$62,$AF$205^A70,IF(A70='Données projet'!$A$62,'Données projet'!$B$62,AI69+AH70-AQ69)))</f>
        <v>329.73250000000007</v>
      </c>
      <c r="AJ70" s="13">
        <f>AI70*VLOOKUP('Données projet'!$B$10,Paramètres!$A$1:$I$89,3,0)*VLOOKUP('Données projet'!$B$10,Paramètres!$A$1:$I$89,5,0)</f>
        <v>298.34196600000007</v>
      </c>
      <c r="AK70" s="13">
        <f t="shared" si="89"/>
        <v>70.828763828333464</v>
      </c>
      <c r="AL70" s="20">
        <f t="shared" si="58"/>
        <v>642.97235445101421</v>
      </c>
      <c r="AM70" s="59">
        <f t="shared" si="59"/>
        <v>911.04814102199384</v>
      </c>
      <c r="AN70" s="59">
        <f ca="1">AVERAGE(OFFSET($AM$3,0,0,'Données projet'!$E$10+1,1))-AVERAGE(OFFSET($H$3,0,0,'Données projet'!$E$10+1,1))</f>
        <v>737.88151921331701</v>
      </c>
      <c r="AO70" s="59">
        <f t="shared" si="90"/>
        <v>270.70193491027487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95.371463919626862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95.371463919626862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63.111578155721737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4.45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16.316666666666666</v>
      </c>
      <c r="H71" s="66">
        <f t="shared" si="56"/>
        <v>191.4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189.55118397415424</v>
      </c>
      <c r="T71" s="59">
        <f t="shared" si="88"/>
        <v>456.28719984856014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47.590595857781189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47.590595943539412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12.152499999999996</v>
      </c>
      <c r="AI71" s="13">
        <f>IF('Données projet'!$A$62&gt;35,AI70+AH71-AQ70,IF(A71&lt;'Données projet'!$A$62,$AF$205^A71,IF(A71='Données projet'!$A$62,'Données projet'!$B$62,AI70+AH71-AQ70)))</f>
        <v>341.88500000000005</v>
      </c>
      <c r="AJ71" s="13">
        <f>AI71*VLOOKUP('Données projet'!$B$10,Paramètres!$A$1:$I$89,3,0)*VLOOKUP('Données projet'!$B$10,Paramètres!$A$1:$I$89,5,0)</f>
        <v>309.33754800000003</v>
      </c>
      <c r="AK71" s="13">
        <f t="shared" si="89"/>
        <v>73.130466608029138</v>
      </c>
      <c r="AL71" s="20">
        <f t="shared" si="58"/>
        <v>666.13179210898409</v>
      </c>
      <c r="AM71" s="59">
        <f t="shared" si="59"/>
        <v>934.64574064887552</v>
      </c>
      <c r="AN71" s="59">
        <f ca="1">AVERAGE(OFFSET($AM$3,0,0,'Données projet'!$E$10+1,1))-AVERAGE(OFFSET($H$3,0,0,'Données projet'!$E$10+1,1))</f>
        <v>737.88151921331701</v>
      </c>
      <c r="AO71" s="59">
        <f t="shared" si="90"/>
        <v>270.70193491027487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93.50128768301208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93.50128768301208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63.231076874515843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4.45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16.316666666666666</v>
      </c>
      <c r="H72" s="66">
        <f t="shared" si="56"/>
        <v>191.4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189.55118397415424</v>
      </c>
      <c r="T72" s="59">
        <f t="shared" si="88"/>
        <v>456.28719984856014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46.289228511369494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46.289228572009712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12.152499999999996</v>
      </c>
      <c r="AI72" s="13">
        <f>IF('Données projet'!$A$62&gt;35,AI71+AH72-AQ71,IF(A72&lt;'Données projet'!$A$62,$AF$205^A72,IF(A72='Données projet'!$A$62,'Données projet'!$B$62,AI71+AH72-AQ71)))</f>
        <v>354.03750000000002</v>
      </c>
      <c r="AJ72" s="13">
        <f>AI72*VLOOKUP('Données projet'!$B$10,Paramètres!$A$1:$I$89,3,0)*VLOOKUP('Données projet'!$B$10,Paramètres!$A$1:$I$89,5,0)</f>
        <v>320.33312999999998</v>
      </c>
      <c r="AK72" s="13">
        <f t="shared" si="89"/>
        <v>75.422663639992734</v>
      </c>
      <c r="AL72" s="20">
        <f t="shared" si="58"/>
        <v>689.27467392298729</v>
      </c>
      <c r="AM72" s="59">
        <f t="shared" si="59"/>
        <v>958.21918330121321</v>
      </c>
      <c r="AN72" s="59">
        <f ca="1">AVERAGE(OFFSET($AM$3,0,0,'Données projet'!$E$10+1,1))-AVERAGE(OFFSET($H$3,0,0,'Données projet'!$E$10+1,1))</f>
        <v>737.88151921331701</v>
      </c>
      <c r="AO72" s="59">
        <f t="shared" si="90"/>
        <v>270.70193491027487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91.667784461702439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91.667784461702439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63.348502557697977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4.45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16.316666666666666</v>
      </c>
      <c r="H73" s="66">
        <f t="shared" si="56"/>
        <v>191.4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189.55118397415424</v>
      </c>
      <c r="T73" s="59">
        <f t="shared" si="88"/>
        <v>456.28719984856014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45.023447123481361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45.023447166360469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12.152499999999996</v>
      </c>
      <c r="AI73" s="13">
        <f>IF('Données projet'!$A$62&gt;35,AI72+AH73-AQ72,IF(A73&lt;'Données projet'!$A$62,$AF$205^A73,IF(A73='Données projet'!$A$62,'Données projet'!$B$62,AI72+AH73-AQ72)))</f>
        <v>366.19</v>
      </c>
      <c r="AJ73" s="13">
        <f>AI73*VLOOKUP('Données projet'!$B$10,Paramètres!$A$1:$I$89,3,0)*VLOOKUP('Données projet'!$B$10,Paramètres!$A$1:$I$89,5,0)</f>
        <v>331.328712</v>
      </c>
      <c r="AK73" s="13">
        <f t="shared" si="89"/>
        <v>77.70571861182988</v>
      </c>
      <c r="AL73" s="20">
        <f t="shared" si="58"/>
        <v>712.4016333156037</v>
      </c>
      <c r="AM73" s="59">
        <f t="shared" si="59"/>
        <v>981.76923426420876</v>
      </c>
      <c r="AN73" s="59">
        <f ca="1">AVERAGE(OFFSET($AM$3,0,0,'Données projet'!$E$10+1,1))-AVERAGE(OFFSET($H$3,0,0,'Données projet'!$E$10+1,1))</f>
        <v>737.88151921331701</v>
      </c>
      <c r="AO73" s="59">
        <f t="shared" si="90"/>
        <v>270.70193491027487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89.870235120236146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89.870235120236146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63.4638911678014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4.45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16.316666666666666</v>
      </c>
      <c r="H74" s="66">
        <f t="shared" si="56"/>
        <v>191.4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189.55118397415424</v>
      </c>
      <c r="T74" s="59">
        <f t="shared" si="88"/>
        <v>456.28719984856014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43.792278594209584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43.792278624529693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12.152499999999996</v>
      </c>
      <c r="AI74" s="13">
        <f>IF('Données projet'!$A$62&gt;35,AI73+AH74-AQ73,IF(A74&lt;'Données projet'!$A$62,$AF$205^A74,IF(A74='Données projet'!$A$62,'Données projet'!$B$62,AI73+AH74-AQ73)))</f>
        <v>378.34249999999997</v>
      </c>
      <c r="AJ74" s="13">
        <f>AI74*VLOOKUP('Données projet'!$B$10,Paramètres!$A$1:$I$89,3,0)*VLOOKUP('Données projet'!$B$10,Paramètres!$A$1:$I$89,5,0)</f>
        <v>342.32429399999995</v>
      </c>
      <c r="AK74" s="13">
        <f t="shared" si="89"/>
        <v>79.979969702389681</v>
      </c>
      <c r="AL74" s="20">
        <f t="shared" si="58"/>
        <v>735.51325928166182</v>
      </c>
      <c r="AM74" s="59">
        <f t="shared" si="59"/>
        <v>1005.2966121077911</v>
      </c>
      <c r="AN74" s="59">
        <f ca="1">AVERAGE(OFFSET($AM$3,0,0,'Données projet'!$E$10+1,1))-AVERAGE(OFFSET($H$3,0,0,'Données projet'!$E$10+1,1))</f>
        <v>737.88151921331701</v>
      </c>
      <c r="AO74" s="59">
        <f t="shared" si="90"/>
        <v>270.70193491027487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88.107934624959171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88.107934624959171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63.577278043489819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4.45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16.316666666666666</v>
      </c>
      <c r="H75" s="66">
        <f t="shared" si="56"/>
        <v>191.4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189.55118397415424</v>
      </c>
      <c r="T75" s="59">
        <f t="shared" si="88"/>
        <v>456.28719984856014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42.594776433115079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42.594776454554633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12.152499999999996</v>
      </c>
      <c r="AI75" s="13">
        <f>IF('Données projet'!$A$62&gt;35,AI74+AH75-AQ74,IF(A75&lt;'Données projet'!$A$62,$AF$205^A75,IF(A75='Données projet'!$A$62,'Données projet'!$B$62,AI74+AH75-AQ74)))</f>
        <v>390.49499999999995</v>
      </c>
      <c r="AJ75" s="13">
        <f>AI75*VLOOKUP('Données projet'!$B$10,Paramètres!$A$1:$I$89,3,0)*VLOOKUP('Données projet'!$B$10,Paramètres!$A$1:$I$89,5,0)</f>
        <v>353.31987599999991</v>
      </c>
      <c r="AK75" s="13">
        <f t="shared" si="89"/>
        <v>82.245732132210307</v>
      </c>
      <c r="AL75" s="20">
        <f t="shared" si="58"/>
        <v>758.61010083026611</v>
      </c>
      <c r="AM75" s="59">
        <f t="shared" si="59"/>
        <v>1028.8019931683266</v>
      </c>
      <c r="AN75" s="59">
        <f ca="1">AVERAGE(OFFSET($AM$3,0,0,'Données projet'!$E$10+1,1))-AVERAGE(OFFSET($H$3,0,0,'Données projet'!$E$10+1,1))</f>
        <v>737.88151921331701</v>
      </c>
      <c r="AO75" s="59">
        <f t="shared" si="90"/>
        <v>270.70193491027487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86.380191767497408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86.380191767497408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63.688697910380114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4.45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16.316666666666666</v>
      </c>
      <c r="H76" s="66">
        <f t="shared" si="56"/>
        <v>191.4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189.55118397415424</v>
      </c>
      <c r="T76" s="59">
        <f t="shared" si="88"/>
        <v>456.28719984856014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41.430020031589606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41.430020046749661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12.152499999999996</v>
      </c>
      <c r="AI76" s="13">
        <f>IF('Données projet'!$A$62&gt;35,AI75+AH76-AQ75,IF(A76&lt;'Données projet'!$A$62,$AF$205^A76,IF(A76='Données projet'!$A$62,'Données projet'!$B$62,AI75+AH76-AQ75)))</f>
        <v>402.64749999999992</v>
      </c>
      <c r="AJ76" s="13">
        <f>AI76*VLOOKUP('Données projet'!$B$10,Paramètres!$A$1:$I$89,3,0)*VLOOKUP('Données projet'!$B$10,Paramètres!$A$1:$I$89,5,0)</f>
        <v>364.31545799999992</v>
      </c>
      <c r="AK76" s="13">
        <f t="shared" si="89"/>
        <v>84.503300387559307</v>
      </c>
      <c r="AL76" s="20">
        <f t="shared" si="58"/>
        <v>781.69267085833235</v>
      </c>
      <c r="AM76" s="59">
        <f t="shared" si="59"/>
        <v>1052.2860154611494</v>
      </c>
      <c r="AN76" s="59">
        <f ca="1">AVERAGE(OFFSET($AM$3,0,0,'Données projet'!$E$10+1,1))-AVERAGE(OFFSET($H$3,0,0,'Données projet'!$E$10+1,1))</f>
        <v>737.88151921331701</v>
      </c>
      <c r="AO76" s="59">
        <f t="shared" si="90"/>
        <v>270.70193491027487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84.686328893651378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84.686328893651378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63.798184891677373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4.45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16.316666666666666</v>
      </c>
      <c r="H77" s="66">
        <f t="shared" si="56"/>
        <v>191.4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189.55118397415424</v>
      </c>
      <c r="T77" s="59">
        <f t="shared" si="88"/>
        <v>456.28719984856014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40.297113955115726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40.297113965835507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414.8</v>
      </c>
      <c r="AG77" s="12">
        <f>VLOOKUP(A77,'Données projet'!$A$61:$I$81,9,0)</f>
        <v>12.152499999999996</v>
      </c>
      <c r="AH77" s="12">
        <f t="array" ref="AH77">INDEX(AG:AG,MIN(IF(ISNUMBER(AG77:AG273),ROW(AG77:AG273),"")))</f>
        <v>12.152499999999996</v>
      </c>
      <c r="AI77" s="13">
        <f>IF('Données projet'!$A$62&gt;35,AI76+AH77-AQ76,IF(A77&lt;'Données projet'!$A$62,$AF$205^A77,IF(A77='Données projet'!$A$62,'Données projet'!$B$62,AI76+AH77-AQ76)))</f>
        <v>414.7999999999999</v>
      </c>
      <c r="AJ77" s="13">
        <f>AI77*VLOOKUP('Données projet'!$B$10,Paramètres!$A$1:$I$89,3,0)*VLOOKUP('Données projet'!$B$10,Paramètres!$A$1:$I$89,5,0)</f>
        <v>375.31103999999988</v>
      </c>
      <c r="AK77" s="13">
        <f t="shared" si="89"/>
        <v>86.752950168429535</v>
      </c>
      <c r="AL77" s="20">
        <f t="shared" si="58"/>
        <v>804.76144954334779</v>
      </c>
      <c r="AM77" s="59">
        <f t="shared" si="59"/>
        <v>1075.7492821116407</v>
      </c>
      <c r="AN77" s="59">
        <f ca="1">AVERAGE(OFFSET($AM$3,0,0,'Données projet'!$E$10+1,1))-AVERAGE(OFFSET($H$3,0,0,'Données projet'!$E$10+1,1))</f>
        <v>737.88151921331701</v>
      </c>
      <c r="AO77" s="59">
        <f t="shared" si="90"/>
        <v>270.70193491027487</v>
      </c>
      <c r="AP77" s="15">
        <f>IF(ISNA(VLOOKUP(A77,'Données projet'!$A$61:$I$81,3,0)),0,VLOOKUP(A77,'Données projet'!$A$61:$I$81,3,0))</f>
        <v>6</v>
      </c>
      <c r="AQ77" s="15">
        <f>IF(ISNA(VLOOKUP(A77,'Données projet'!$A$61:$I$81,4,0)),0,VLOOKUP(A77,'Données projet'!$A$61:$I$81,4,0))</f>
        <v>70.209999999999994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113.22291331241563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113.22291331241563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63.905772518625341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4.45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16.316666666666666</v>
      </c>
      <c r="H78" s="66">
        <f t="shared" si="56"/>
        <v>191.4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189.55118397415424</v>
      </c>
      <c r="T78" s="59">
        <f t="shared" si="88"/>
        <v>456.28719984856014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39.195187254879961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39.195187262459989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11.447499999999998</v>
      </c>
      <c r="AI78" s="13">
        <f>IF('Données projet'!$A$62&gt;35,AI77+AH78-AQ77,IF(A78&lt;'Données projet'!$A$62,$AF$205^A78,IF(A78='Données projet'!$A$62,'Données projet'!$B$62,AI77+AH78-AQ77)))</f>
        <v>356.03749999999991</v>
      </c>
      <c r="AJ78" s="13">
        <f>AI78*VLOOKUP('Données projet'!$B$10,Paramètres!$A$1:$I$89,3,0)*VLOOKUP('Données projet'!$B$10,Paramètres!$A$1:$I$89,5,0)</f>
        <v>322.14272999999991</v>
      </c>
      <c r="AK78" s="13">
        <f t="shared" si="89"/>
        <v>75.79901699557125</v>
      </c>
      <c r="AL78" s="20">
        <f t="shared" si="58"/>
        <v>693.08187601728639</v>
      </c>
      <c r="AM78" s="59">
        <f t="shared" si="59"/>
        <v>964.45735306679717</v>
      </c>
      <c r="AN78" s="59">
        <f ca="1">AVERAGE(OFFSET($AM$3,0,0,'Données projet'!$E$10+1,1))-AVERAGE(OFFSET($H$3,0,0,'Données projet'!$E$10+1,1))</f>
        <v>737.88151921331701</v>
      </c>
      <c r="AO78" s="59">
        <f t="shared" si="90"/>
        <v>270.70193491027487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111.00268104151725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111.00268104151725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64.011493740775663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4.45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16.316666666666666</v>
      </c>
      <c r="H79" s="66">
        <f t="shared" si="56"/>
        <v>191.4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189.55118397415424</v>
      </c>
      <c r="T79" s="59">
        <f t="shared" si="88"/>
        <v>456.28719984856014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38.123392798209956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38.123392803569843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11.447499999999998</v>
      </c>
      <c r="AI79" s="13">
        <f>IF('Données projet'!$A$62&gt;35,AI78+AH79-AQ78,IF(A79&lt;'Données projet'!$A$62,$AF$205^A79,IF(A79='Données projet'!$A$62,'Données projet'!$B$62,AI78+AH79-AQ78)))</f>
        <v>367.4849999999999</v>
      </c>
      <c r="AJ79" s="13">
        <f>AI79*VLOOKUP('Données projet'!$B$10,Paramètres!$A$1:$I$89,3,0)*VLOOKUP('Données projet'!$B$10,Paramètres!$A$1:$I$89,5,0)</f>
        <v>332.50042799999989</v>
      </c>
      <c r="AK79" s="13">
        <f t="shared" si="89"/>
        <v>77.948481725116395</v>
      </c>
      <c r="AL79" s="20">
        <f t="shared" si="58"/>
        <v>714.8651844379109</v>
      </c>
      <c r="AM79" s="59">
        <f t="shared" si="59"/>
        <v>986.62158120353354</v>
      </c>
      <c r="AN79" s="59">
        <f ca="1">AVERAGE(OFFSET($AM$3,0,0,'Données projet'!$E$10+1,1))-AVERAGE(OFFSET($H$3,0,0,'Données projet'!$E$10+1,1))</f>
        <v>737.88151921331701</v>
      </c>
      <c r="AO79" s="59">
        <f t="shared" si="90"/>
        <v>270.70193491027487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108.82598617124323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108.82598617124323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64.115380936078907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4.45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16.316666666666666</v>
      </c>
      <c r="H80" s="66">
        <f t="shared" si="56"/>
        <v>191.4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189.55118397415424</v>
      </c>
      <c r="T80" s="59">
        <f t="shared" si="88"/>
        <v>456.28719984856014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37.080906617320807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37.08090662111082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11.447499999999998</v>
      </c>
      <c r="AI80" s="13">
        <f>IF('Données projet'!$A$62&gt;35,AI79+AH80-AQ79,IF(A80&lt;'Données projet'!$A$62,$AF$205^A80,IF(A80='Données projet'!$A$62,'Données projet'!$B$62,AI79+AH80-AQ79)))</f>
        <v>378.93249999999989</v>
      </c>
      <c r="AJ80" s="13">
        <f>AI80*VLOOKUP('Données projet'!$B$10,Paramètres!$A$1:$I$89,3,0)*VLOOKUP('Données projet'!$B$10,Paramètres!$A$1:$I$89,5,0)</f>
        <v>342.85812599999991</v>
      </c>
      <c r="AK80" s="13">
        <f t="shared" si="89"/>
        <v>80.090165347018754</v>
      </c>
      <c r="AL80" s="20">
        <f t="shared" si="58"/>
        <v>736.63494076272411</v>
      </c>
      <c r="AM80" s="59">
        <f t="shared" si="59"/>
        <v>1008.7656491389931</v>
      </c>
      <c r="AN80" s="59">
        <f ca="1">AVERAGE(OFFSET($AM$3,0,0,'Données projet'!$E$10+1,1))-AVERAGE(OFFSET($H$3,0,0,'Données projet'!$E$10+1,1))</f>
        <v>737.88151921331701</v>
      </c>
      <c r="AO80" s="59">
        <f t="shared" si="90"/>
        <v>270.70193491027487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106.6919749597225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106.6919749597225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64.217465920800635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4.45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16.316666666666666</v>
      </c>
      <c r="H81" s="66">
        <f t="shared" si="56"/>
        <v>191.4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189.55118397415424</v>
      </c>
      <c r="T81" s="59">
        <f t="shared" si="88"/>
        <v>456.28719984856014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36.066927275870043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36.06692727854999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11.447499999999998</v>
      </c>
      <c r="AI81" s="13">
        <f>IF('Données projet'!$A$62&gt;35,AI80+AH81-AQ80,IF(A81&lt;'Données projet'!$A$62,$AF$205^A81,IF(A81='Données projet'!$A$62,'Données projet'!$B$62,AI80+AH81-AQ80)))</f>
        <v>390.37999999999988</v>
      </c>
      <c r="AJ81" s="13">
        <f>AI81*VLOOKUP('Données projet'!$B$10,Paramètres!$A$1:$I$89,3,0)*VLOOKUP('Données projet'!$B$10,Paramètres!$A$1:$I$89,5,0)</f>
        <v>353.21582399999988</v>
      </c>
      <c r="AK81" s="13">
        <f t="shared" si="89"/>
        <v>82.224329909177527</v>
      </c>
      <c r="AL81" s="20">
        <f t="shared" si="58"/>
        <v>758.39160139181729</v>
      </c>
      <c r="AM81" s="59">
        <f t="shared" si="59"/>
        <v>1030.8901279091233</v>
      </c>
      <c r="AN81" s="59">
        <f ca="1">AVERAGE(OFFSET($AM$3,0,0,'Données projet'!$E$10+1,1))-AVERAGE(OFFSET($H$3,0,0,'Données projet'!$E$10+1,1))</f>
        <v>737.88151921331701</v>
      </c>
      <c r="AO81" s="59">
        <f t="shared" si="90"/>
        <v>270.70193491027487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104.59981040644138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104.59981040644138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64.317779959265266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4.45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16.316666666666666</v>
      </c>
      <c r="H82" s="66">
        <f t="shared" si="56"/>
        <v>191.4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189.55118397415424</v>
      </c>
      <c r="T82" s="59">
        <f t="shared" si="88"/>
        <v>456.28719984856014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35.080675252834105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35.080675254729115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11.447499999999998</v>
      </c>
      <c r="AI82" s="13">
        <f>IF('Données projet'!$A$62&gt;35,AI81+AH82-AQ81,IF(A82&lt;'Données projet'!$A$62,$AF$205^A82,IF(A82='Données projet'!$A$62,'Données projet'!$B$62,AI81+AH82-AQ81)))</f>
        <v>401.82749999999987</v>
      </c>
      <c r="AJ82" s="13">
        <f>AI82*VLOOKUP('Données projet'!$B$10,Paramètres!$A$1:$I$89,3,0)*VLOOKUP('Données projet'!$B$10,Paramètres!$A$1:$I$89,5,0)</f>
        <v>363.57352199999985</v>
      </c>
      <c r="AK82" s="13">
        <f t="shared" si="89"/>
        <v>84.351221217134508</v>
      </c>
      <c r="AL82" s="20">
        <f t="shared" si="58"/>
        <v>780.135594436509</v>
      </c>
      <c r="AM82" s="59">
        <f t="shared" si="59"/>
        <v>1052.9955582724233</v>
      </c>
      <c r="AN82" s="59">
        <f ca="1">AVERAGE(OFFSET($AM$3,0,0,'Données projet'!$E$10+1,1))-AVERAGE(OFFSET($H$3,0,0,'Données projet'!$E$10+1,1))</f>
        <v>737.88151921331701</v>
      </c>
      <c r="AO82" s="59">
        <f t="shared" si="90"/>
        <v>270.70193491027487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102.54867192395572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102.54867192395572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64.41635377343114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4.45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16.316666666666666</v>
      </c>
      <c r="H83" s="66">
        <f t="shared" si="56"/>
        <v>191.4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189.55118397415424</v>
      </c>
      <c r="T83" s="59">
        <f t="shared" si="88"/>
        <v>456.28719984856014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34.12139234323282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34.12139234457279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11.447499999999998</v>
      </c>
      <c r="AI83" s="13">
        <f>IF('Données projet'!$A$62&gt;35,AI82+AH83-AQ82,IF(A83&lt;'Données projet'!$A$62,$AF$205^A83,IF(A83='Données projet'!$A$62,'Données projet'!$B$62,AI82+AH83-AQ82)))</f>
        <v>413.27499999999986</v>
      </c>
      <c r="AJ83" s="13">
        <f>AI83*VLOOKUP('Données projet'!$B$10,Paramètres!$A$1:$I$89,3,0)*VLOOKUP('Données projet'!$B$10,Paramètres!$A$1:$I$89,5,0)</f>
        <v>373.93121999999988</v>
      </c>
      <c r="AK83" s="13">
        <f t="shared" si="89"/>
        <v>86.471070274502594</v>
      </c>
      <c r="AL83" s="20">
        <f t="shared" si="58"/>
        <v>801.86732222809178</v>
      </c>
      <c r="AM83" s="59">
        <f t="shared" si="59"/>
        <v>1075.082453253189</v>
      </c>
      <c r="AN83" s="59">
        <f ca="1">AVERAGE(OFFSET($AM$3,0,0,'Données projet'!$E$10+1,1))-AVERAGE(OFFSET($H$3,0,0,'Données projet'!$E$10+1,1))</f>
        <v>737.88151921331701</v>
      </c>
      <c r="AO83" s="59">
        <f t="shared" si="90"/>
        <v>270.70193491027487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100.53775501604068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100.53775501604068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64.513217552299253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4.45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16.316666666666666</v>
      </c>
      <c r="H84" s="66">
        <f t="shared" si="56"/>
        <v>191.4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189.55118397415424</v>
      </c>
      <c r="T84" s="59">
        <f t="shared" si="88"/>
        <v>456.28719984856014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33.188341075241084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33.188341076188586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11.447499999999998</v>
      </c>
      <c r="AI84" s="13">
        <f>IF('Données projet'!$A$62&gt;35,AI83+AH84-AQ83,IF(A84&lt;'Données projet'!$A$62,$AF$205^A84,IF(A84='Données projet'!$A$62,'Données projet'!$B$62,AI83+AH84-AQ83)))</f>
        <v>424.72249999999985</v>
      </c>
      <c r="AJ84" s="13">
        <f>AI84*VLOOKUP('Données projet'!$B$10,Paramètres!$A$1:$I$89,3,0)*VLOOKUP('Données projet'!$B$10,Paramètres!$A$1:$I$89,5,0)</f>
        <v>384.28891799999985</v>
      </c>
      <c r="AK84" s="13">
        <f t="shared" si="89"/>
        <v>88.584094559310827</v>
      </c>
      <c r="AL84" s="20">
        <f t="shared" si="58"/>
        <v>823.58716354079934</v>
      </c>
      <c r="AM84" s="59">
        <f t="shared" si="59"/>
        <v>1097.1513003983823</v>
      </c>
      <c r="AN84" s="59">
        <f ca="1">AVERAGE(OFFSET($AM$3,0,0,'Données projet'!$E$10+1,1))-AVERAGE(OFFSET($H$3,0,0,'Données projet'!$E$10+1,1))</f>
        <v>737.88151921331701</v>
      </c>
      <c r="AO84" s="59">
        <f t="shared" si="90"/>
        <v>270.70193491027487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98.566270962151634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98.566270962151634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64.608400961158978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4.45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16.316666666666666</v>
      </c>
      <c r="H85" s="66">
        <f t="shared" si="56"/>
        <v>191.4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189.55118397415424</v>
      </c>
      <c r="T85" s="59">
        <f t="shared" si="88"/>
        <v>456.28719984856014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32.280804143239614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32.280804143909599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436.17</v>
      </c>
      <c r="AG85" s="12">
        <f>VLOOKUP(A85,'Données projet'!$A$61:$I$81,9,0)</f>
        <v>11.447499999999998</v>
      </c>
      <c r="AH85" s="12">
        <f t="array" ref="AH85">INDEX(AG:AG,MIN(IF(ISNUMBER(AG85:AG281),ROW(AG85:AG281),"")))</f>
        <v>11.447499999999998</v>
      </c>
      <c r="AI85" s="13">
        <f>IF('Données projet'!$A$62&gt;35,AI84+AH85-AQ84,IF(A85&lt;'Données projet'!$A$62,$AF$205^A85,IF(A85='Données projet'!$A$62,'Données projet'!$B$62,AI84+AH85-AQ84)))</f>
        <v>436.16999999999985</v>
      </c>
      <c r="AJ85" s="13">
        <f>AI85*VLOOKUP('Données projet'!$B$10,Paramètres!$A$1:$I$89,3,0)*VLOOKUP('Données projet'!$B$10,Paramètres!$A$1:$I$89,5,0)</f>
        <v>394.64661599999982</v>
      </c>
      <c r="AK85" s="13">
        <f t="shared" si="89"/>
        <v>90.690499158874985</v>
      </c>
      <c r="AL85" s="20">
        <f t="shared" si="58"/>
        <v>845.2954755683736</v>
      </c>
      <c r="AM85" s="59">
        <f t="shared" si="59"/>
        <v>1119.2025637875088</v>
      </c>
      <c r="AN85" s="59">
        <f ca="1">AVERAGE(OFFSET($AM$3,0,0,'Données projet'!$E$10+1,1))-AVERAGE(OFFSET($H$3,0,0,'Données projet'!$E$10+1,1))</f>
        <v>737.88151921331701</v>
      </c>
      <c r="AO85" s="59">
        <f t="shared" si="90"/>
        <v>270.70193491027487</v>
      </c>
      <c r="AP85" s="15">
        <f>IF(ISNA(VLOOKUP(A85,'Données projet'!$A$61:$I$81,3,0)),0,VLOOKUP(A85,'Données projet'!$A$61:$I$81,3,0))</f>
        <v>7</v>
      </c>
      <c r="AQ85" s="15">
        <f>IF(ISNA(VLOOKUP(A85,'Données projet'!$A$61:$I$81,4,0)),0,VLOOKUP(A85,'Données projet'!$A$61:$I$81,4,0))</f>
        <v>53.92</v>
      </c>
      <c r="AR85" s="16">
        <f>IF(ISNA(VLOOKUP(A85,'Données projet'!$A$61:$I$81,5,0)),0%,VLOOKUP(A85,'Données projet'!$A$61:$I$81,5,0)*VLOOKUP('Données projet'!$B$10,Paramètres!$A$1:$I$89,7,0))</f>
        <v>0.43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119.82436990795424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119.82436990795424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64.701933150673213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4.45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16.316666666666666</v>
      </c>
      <c r="H86" s="66">
        <f t="shared" si="56"/>
        <v>191.4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189.55118397415424</v>
      </c>
      <c r="T86" s="59">
        <f t="shared" si="88"/>
        <v>456.28719984856014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31.398083856369016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31.398083856842767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11.14</v>
      </c>
      <c r="AI86" s="13">
        <f>IF('Données projet'!$A$62&gt;35,AI85+AH86-AQ85,IF(A86&lt;'Données projet'!$A$62,$AF$205^A86,IF(A86='Données projet'!$A$62,'Données projet'!$B$62,AI85+AH86-AQ85)))</f>
        <v>393.38999999999982</v>
      </c>
      <c r="AJ86" s="13">
        <f>AI86*VLOOKUP('Données projet'!$B$10,Paramètres!$A$1:$I$89,3,0)*VLOOKUP('Données projet'!$B$10,Paramètres!$A$1:$I$89,5,0)</f>
        <v>355.93927199999985</v>
      </c>
      <c r="AK86" s="13">
        <f t="shared" si="89"/>
        <v>82.784268771868526</v>
      </c>
      <c r="AL86" s="20">
        <f t="shared" si="58"/>
        <v>764.11016684433741</v>
      </c>
      <c r="AM86" s="59">
        <f t="shared" si="59"/>
        <v>1038.3542569856263</v>
      </c>
      <c r="AN86" s="59">
        <f ca="1">AVERAGE(OFFSET($AM$3,0,0,'Données projet'!$E$10+1,1))-AVERAGE(OFFSET($H$3,0,0,'Données projet'!$E$10+1,1))</f>
        <v>737.88151921331701</v>
      </c>
      <c r="AO86" s="59">
        <f t="shared" si="90"/>
        <v>270.70193491027487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117.47468709970829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117.47468709970829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64.793842765806033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4.45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16.316666666666666</v>
      </c>
      <c r="H87" s="66">
        <f t="shared" si="56"/>
        <v>191.4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189.55118397415424</v>
      </c>
      <c r="T87" s="59">
        <f t="shared" si="88"/>
        <v>456.28719984856014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30.539501602163138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30.539501602498131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11.14</v>
      </c>
      <c r="AI87" s="13">
        <f>IF('Données projet'!$A$62&gt;35,AI86+AH87-AQ86,IF(A87&lt;'Données projet'!$A$62,$AF$205^A87,IF(A87='Données projet'!$A$62,'Données projet'!$B$62,AI86+AH87-AQ86)))</f>
        <v>404.5299999999998</v>
      </c>
      <c r="AJ87" s="13">
        <f>AI87*VLOOKUP('Données projet'!$B$10,Paramètres!$A$1:$I$89,3,0)*VLOOKUP('Données projet'!$B$10,Paramètres!$A$1:$I$89,5,0)</f>
        <v>366.0187439999998</v>
      </c>
      <c r="AK87" s="13">
        <f t="shared" si="89"/>
        <v>84.852297129554586</v>
      </c>
      <c r="AL87" s="20">
        <f t="shared" si="58"/>
        <v>785.26706330064053</v>
      </c>
      <c r="AM87" s="59">
        <f t="shared" si="59"/>
        <v>1059.8423091341569</v>
      </c>
      <c r="AN87" s="59">
        <f ca="1">AVERAGE(OFFSET($AM$3,0,0,'Données projet'!$E$10+1,1))-AVERAGE(OFFSET($H$3,0,0,'Données projet'!$E$10+1,1))</f>
        <v>737.88151921331701</v>
      </c>
      <c r="AO87" s="59">
        <f t="shared" si="90"/>
        <v>270.70193491027487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115.17108013816704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115.17108013816704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64.884157954595395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4.45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16.316666666666666</v>
      </c>
      <c r="H88" s="66">
        <f t="shared" si="56"/>
        <v>191.4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189.55118397415424</v>
      </c>
      <c r="T88" s="59">
        <f t="shared" si="88"/>
        <v>456.28719984856014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29.704397324849396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29.704397325086273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11.14</v>
      </c>
      <c r="AI88" s="13">
        <f>IF('Données projet'!$A$62&gt;35,AI87+AH88-AQ87,IF(A88&lt;'Données projet'!$A$62,$AF$205^A88,IF(A88='Données projet'!$A$62,'Données projet'!$B$62,AI87+AH88-AQ87)))</f>
        <v>415.66999999999979</v>
      </c>
      <c r="AJ88" s="13">
        <f>AI88*VLOOKUP('Données projet'!$B$10,Paramètres!$A$1:$I$89,3,0)*VLOOKUP('Données projet'!$B$10,Paramètres!$A$1:$I$89,5,0)</f>
        <v>376.09821599999981</v>
      </c>
      <c r="AK88" s="13">
        <f t="shared" si="89"/>
        <v>86.913706278646288</v>
      </c>
      <c r="AL88" s="20">
        <f t="shared" si="58"/>
        <v>806.41243130197529</v>
      </c>
      <c r="AM88" s="59">
        <f t="shared" si="59"/>
        <v>1081.3130880168123</v>
      </c>
      <c r="AN88" s="59">
        <f ca="1">AVERAGE(OFFSET($AM$3,0,0,'Données projet'!$E$10+1,1))-AVERAGE(OFFSET($H$3,0,0,'Données projet'!$E$10+1,1))</f>
        <v>737.88151921331701</v>
      </c>
      <c r="AO88" s="59">
        <f t="shared" si="90"/>
        <v>270.70193491027487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112.91264550408012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112.91264550408012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64.972906376773778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4.45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16.316666666666666</v>
      </c>
      <c r="H89" s="66">
        <f t="shared" si="56"/>
        <v>191.4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189.55118397415424</v>
      </c>
      <c r="T89" s="59">
        <f t="shared" si="88"/>
        <v>456.28719984856014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28.892129017915025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28.892129018082521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11.14</v>
      </c>
      <c r="AI89" s="13">
        <f>IF('Données projet'!$A$62&gt;35,AI88+AH89-AQ88,IF(A89&lt;'Données projet'!$A$62,$AF$205^A89,IF(A89='Données projet'!$A$62,'Données projet'!$B$62,AI88+AH89-AQ88)))</f>
        <v>426.80999999999977</v>
      </c>
      <c r="AJ89" s="13">
        <f>AI89*VLOOKUP('Données projet'!$B$10,Paramètres!$A$1:$I$89,3,0)*VLOOKUP('Données projet'!$B$10,Paramètres!$A$1:$I$89,5,0)</f>
        <v>386.17768799999982</v>
      </c>
      <c r="AK89" s="13">
        <f t="shared" si="89"/>
        <v>88.968694002826282</v>
      </c>
      <c r="AL89" s="20">
        <f t="shared" si="58"/>
        <v>827.54661532158877</v>
      </c>
      <c r="AM89" s="59">
        <f t="shared" si="59"/>
        <v>1102.7670377664656</v>
      </c>
      <c r="AN89" s="59">
        <f ca="1">AVERAGE(OFFSET($AM$3,0,0,'Données projet'!$E$10+1,1))-AVERAGE(OFFSET($H$3,0,0,'Données projet'!$E$10+1,1))</f>
        <v>737.88151921331701</v>
      </c>
      <c r="AO89" s="59">
        <f t="shared" si="90"/>
        <v>270.70193491027487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110.69849739565852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110.69849739565852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65.06011521223914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4.45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16.316666666666666</v>
      </c>
      <c r="H90" s="66">
        <f t="shared" si="56"/>
        <v>191.4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189.55118397415424</v>
      </c>
      <c r="T90" s="59">
        <f t="shared" si="88"/>
        <v>456.28719984856014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28.102072230549108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28.102072230667545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11.14</v>
      </c>
      <c r="AI90" s="13">
        <f>IF('Données projet'!$A$62&gt;35,AI89+AH90-AQ89,IF(A90&lt;'Données projet'!$A$62,$AF$205^A90,IF(A90='Données projet'!$A$62,'Données projet'!$B$62,AI89+AH90-AQ89)))</f>
        <v>437.94999999999976</v>
      </c>
      <c r="AJ90" s="13">
        <f>AI90*VLOOKUP('Données projet'!$B$10,Paramètres!$A$1:$I$89,3,0)*VLOOKUP('Données projet'!$B$10,Paramètres!$A$1:$I$89,5,0)</f>
        <v>396.25715999999977</v>
      </c>
      <c r="AK90" s="13">
        <f t="shared" si="89"/>
        <v>91.017447173180457</v>
      </c>
      <c r="AL90" s="20">
        <f t="shared" si="58"/>
        <v>848.66994082662222</v>
      </c>
      <c r="AM90" s="59">
        <f t="shared" si="59"/>
        <v>1124.2045817810115</v>
      </c>
      <c r="AN90" s="59">
        <f ca="1">AVERAGE(OFFSET($AM$3,0,0,'Données projet'!$E$10+1,1))-AVERAGE(OFFSET($H$3,0,0,'Données projet'!$E$10+1,1))</f>
        <v>737.88151921331701</v>
      </c>
      <c r="AO90" s="59">
        <f t="shared" si="90"/>
        <v>270.70193491027487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108.52776738114608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108.52776738114608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65.145811169378888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4.45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16.316666666666666</v>
      </c>
      <c r="H91" s="66">
        <f t="shared" si="56"/>
        <v>191.4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189.55118397415424</v>
      </c>
      <c r="T91" s="59">
        <f t="shared" si="88"/>
        <v>456.28719984856014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27.333619587580994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27.333619587664742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11.14</v>
      </c>
      <c r="AI91" s="13">
        <f>IF('Données projet'!$A$62&gt;35,AI90+AH91-AQ90,IF(A91&lt;'Données projet'!$A$62,$AF$205^A91,IF(A91='Données projet'!$A$62,'Données projet'!$B$62,AI90+AH91-AQ90)))</f>
        <v>449.08999999999975</v>
      </c>
      <c r="AJ91" s="13">
        <f>AI91*VLOOKUP('Données projet'!$B$10,Paramètres!$A$1:$I$89,3,0)*VLOOKUP('Données projet'!$B$10,Paramètres!$A$1:$I$89,5,0)</f>
        <v>406.33663199999972</v>
      </c>
      <c r="AK91" s="13">
        <f t="shared" si="89"/>
        <v>93.060142612346141</v>
      </c>
      <c r="AL91" s="20">
        <f t="shared" si="58"/>
        <v>869.78271578316901</v>
      </c>
      <c r="AM91" s="59">
        <f t="shared" si="59"/>
        <v>1145.626124258418</v>
      </c>
      <c r="AN91" s="59">
        <f ca="1">AVERAGE(OFFSET($AM$3,0,0,'Données projet'!$E$10+1,1))-AVERAGE(OFFSET($H$3,0,0,'Données projet'!$E$10+1,1))</f>
        <v>737.88151921331701</v>
      </c>
      <c r="AO91" s="59">
        <f t="shared" si="90"/>
        <v>270.70193491027487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106.39960405820365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106.39960405820365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65.230020493249739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4.45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16.316666666666666</v>
      </c>
      <c r="H92" s="66">
        <f t="shared" si="56"/>
        <v>191.4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189.55118397415424</v>
      </c>
      <c r="T92" s="59">
        <f t="shared" si="88"/>
        <v>456.28719984856014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26.58618032254601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26.58618032260523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11.14</v>
      </c>
      <c r="AI92" s="13">
        <f>IF('Données projet'!$A$62&gt;35,AI91+AH92-AQ91,IF(A92&lt;'Données projet'!$A$62,$AF$205^A92,IF(A92='Données projet'!$A$62,'Données projet'!$B$62,AI91+AH92-AQ91)))</f>
        <v>460.22999999999973</v>
      </c>
      <c r="AJ92" s="13">
        <f>AI92*VLOOKUP('Données projet'!$B$10,Paramètres!$A$1:$I$89,3,0)*VLOOKUP('Données projet'!$B$10,Paramètres!$A$1:$I$89,5,0)</f>
        <v>416.41610399999973</v>
      </c>
      <c r="AK92" s="13">
        <f t="shared" si="89"/>
        <v>95.09694787050303</v>
      </c>
      <c r="AL92" s="20">
        <f t="shared" si="58"/>
        <v>890.8852320077923</v>
      </c>
      <c r="AM92" s="59">
        <f t="shared" si="59"/>
        <v>1167.032051577715</v>
      </c>
      <c r="AN92" s="59">
        <f ca="1">AVERAGE(OFFSET($AM$3,0,0,'Données projet'!$E$10+1,1))-AVERAGE(OFFSET($H$3,0,0,'Données projet'!$E$10+1,1))</f>
        <v>737.88151921331701</v>
      </c>
      <c r="AO92" s="59">
        <f t="shared" si="90"/>
        <v>270.70193491027487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104.31317271997267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104.31317271997267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65.312768973615277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4.45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16.316666666666666</v>
      </c>
      <c r="H93" s="66">
        <f t="shared" si="56"/>
        <v>191.4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189.55118397415424</v>
      </c>
      <c r="T93" s="59">
        <f t="shared" si="88"/>
        <v>456.28719984856014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25.859179823519529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25.859179823561405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471.37</v>
      </c>
      <c r="AG93" s="12">
        <f>VLOOKUP(A93,'Données projet'!$A$61:$I$81,9,0)</f>
        <v>11.14</v>
      </c>
      <c r="AH93" s="12">
        <f t="array" ref="AH93">INDEX(AG:AG,MIN(IF(ISNUMBER(AG93:AG289),ROW(AG93:AG289),"")))</f>
        <v>11.14</v>
      </c>
      <c r="AI93" s="13">
        <f>IF('Données projet'!$A$62&gt;35,AI92+AH93-AQ92,IF(A93&lt;'Données projet'!$A$62,$AF$205^A93,IF(A93='Données projet'!$A$62,'Données projet'!$B$62,AI92+AH93-AQ92)))</f>
        <v>471.36999999999972</v>
      </c>
      <c r="AJ93" s="13">
        <f>AI93*VLOOKUP('Données projet'!$B$10,Paramètres!$A$1:$I$89,3,0)*VLOOKUP('Données projet'!$B$10,Paramètres!$A$1:$I$89,5,0)</f>
        <v>426.49557599999969</v>
      </c>
      <c r="AK93" s="13">
        <f t="shared" si="89"/>
        <v>97.128021924116553</v>
      </c>
      <c r="AL93" s="20">
        <f t="shared" si="58"/>
        <v>911.97776638450239</v>
      </c>
      <c r="AM93" s="59">
        <f t="shared" si="59"/>
        <v>1188.4227335449318</v>
      </c>
      <c r="AN93" s="59">
        <f ca="1">AVERAGE(OFFSET($AM$3,0,0,'Données projet'!$E$10+1,1))-AVERAGE(OFFSET($H$3,0,0,'Données projet'!$E$10+1,1))</f>
        <v>737.88151921331701</v>
      </c>
      <c r="AO93" s="59">
        <f t="shared" si="90"/>
        <v>270.70193491027487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63.25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129.47139955740687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129.47139955740687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65.39408195284436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4.45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16.316666666666666</v>
      </c>
      <c r="H94" s="66">
        <f t="shared" si="56"/>
        <v>191.4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189.55118397415424</v>
      </c>
      <c r="T94" s="59">
        <f t="shared" si="88"/>
        <v>456.28719984856014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25.152059191370224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25.152059191399832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10.754999999999995</v>
      </c>
      <c r="AI94" s="13">
        <f>IF('Données projet'!$A$62&gt;35,AI93+AH94-AQ93,IF(A94&lt;'Données projet'!$A$62,$AF$205^A94,IF(A94='Données projet'!$A$62,'Données projet'!$B$62,AI93+AH94-AQ93)))</f>
        <v>418.87499999999972</v>
      </c>
      <c r="AJ94" s="13">
        <f>AI94*VLOOKUP('Données projet'!$B$10,Paramètres!$A$1:$I$89,3,0)*VLOOKUP('Données projet'!$B$10,Paramètres!$A$1:$I$89,5,0)</f>
        <v>378.99809999999974</v>
      </c>
      <c r="AK94" s="13">
        <f t="shared" si="89"/>
        <v>87.505579858582792</v>
      </c>
      <c r="AL94" s="20">
        <f t="shared" si="58"/>
        <v>812.49390908703117</v>
      </c>
      <c r="AM94" s="59">
        <f t="shared" si="59"/>
        <v>1089.2318516438299</v>
      </c>
      <c r="AN94" s="59">
        <f ca="1">AVERAGE(OFFSET($AM$3,0,0,'Données projet'!$E$10+1,1))-AVERAGE(OFFSET($H$3,0,0,'Données projet'!$E$10+1,1))</f>
        <v>737.88151921331701</v>
      </c>
      <c r="AO94" s="59">
        <f t="shared" si="90"/>
        <v>270.70193491027487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126.93254438184223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126.93254438184223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65.473984333672405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4.45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16.316666666666666</v>
      </c>
      <c r="H95" s="66">
        <f t="shared" si="56"/>
        <v>191.4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189.55118397415424</v>
      </c>
      <c r="T95" s="59">
        <f t="shared" si="88"/>
        <v>456.28719984856014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24.464274810092899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24.464274810113835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10.754999999999995</v>
      </c>
      <c r="AI95" s="13">
        <f>IF('Données projet'!$A$62&gt;35,AI94+AH95-AQ94,IF(A95&lt;'Données projet'!$A$62,$AF$205^A95,IF(A95='Données projet'!$A$62,'Données projet'!$B$62,AI94+AH95-AQ94)))</f>
        <v>429.62999999999971</v>
      </c>
      <c r="AJ95" s="13">
        <f>AI95*VLOOKUP('Données projet'!$B$10,Paramètres!$A$1:$I$89,3,0)*VLOOKUP('Données projet'!$B$10,Paramètres!$A$1:$I$89,5,0)</f>
        <v>388.7292239999997</v>
      </c>
      <c r="AK95" s="13">
        <f t="shared" si="89"/>
        <v>89.487901338654297</v>
      </c>
      <c r="AL95" s="20">
        <f t="shared" si="58"/>
        <v>832.89482663148908</v>
      </c>
      <c r="AM95" s="59">
        <f t="shared" si="59"/>
        <v>1109.9206621165251</v>
      </c>
      <c r="AN95" s="59">
        <f ca="1">AVERAGE(OFFSET($AM$3,0,0,'Données projet'!$E$10+1,1))-AVERAGE(OFFSET($H$3,0,0,'Données projet'!$E$10+1,1))</f>
        <v>737.88151921331701</v>
      </c>
      <c r="AO95" s="59">
        <f t="shared" si="90"/>
        <v>270.70193491027487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124.44347460772167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124.44347460772167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65.552500586828032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4.45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16.316666666666666</v>
      </c>
      <c r="H96" s="66">
        <f t="shared" si="56"/>
        <v>191.4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189.55118397415424</v>
      </c>
      <c r="T96" s="59">
        <f t="shared" si="88"/>
        <v>456.28719984856014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23.795297928890609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23.795297928905413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10.754999999999995</v>
      </c>
      <c r="AI96" s="13">
        <f>IF('Données projet'!$A$62&gt;35,AI95+AH96-AQ95,IF(A96&lt;'Données projet'!$A$62,$AF$205^A96,IF(A96='Données projet'!$A$62,'Données projet'!$B$62,AI95+AH96-AQ95)))</f>
        <v>440.38499999999971</v>
      </c>
      <c r="AJ96" s="13">
        <f>AI96*VLOOKUP('Données projet'!$B$10,Paramètres!$A$1:$I$89,3,0)*VLOOKUP('Données projet'!$B$10,Paramètres!$A$1:$I$89,5,0)</f>
        <v>398.46034799999973</v>
      </c>
      <c r="AK96" s="13">
        <f t="shared" si="89"/>
        <v>91.464454380602817</v>
      </c>
      <c r="AL96" s="20">
        <f t="shared" si="58"/>
        <v>853.28569747954941</v>
      </c>
      <c r="AM96" s="59">
        <f t="shared" si="59"/>
        <v>1130.5944315941501</v>
      </c>
      <c r="AN96" s="59">
        <f ca="1">AVERAGE(OFFSET($AM$3,0,0,'Données projet'!$E$10+1,1))-AVERAGE(OFFSET($H$3,0,0,'Données projet'!$E$10+1,1))</f>
        <v>737.88151921331701</v>
      </c>
      <c r="AO96" s="59">
        <f t="shared" si="90"/>
        <v>270.70193491027487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122.00321397368896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122.00321397368896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65.629654758527465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4.45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16.316666666666666</v>
      </c>
      <c r="H97" s="66">
        <f t="shared" si="56"/>
        <v>191.4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189.55118397415424</v>
      </c>
      <c r="T97" s="59">
        <f t="shared" si="88"/>
        <v>456.28719984856014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23.144614255684761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23.144614255695231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10.754999999999995</v>
      </c>
      <c r="AI97" s="13">
        <f>IF('Données projet'!$A$62&gt;35,AI96+AH97-AQ96,IF(A97&lt;'Données projet'!$A$62,$AF$205^A97,IF(A97='Données projet'!$A$62,'Données projet'!$B$62,AI96+AH97-AQ96)))</f>
        <v>451.1399999999997</v>
      </c>
      <c r="AJ97" s="13">
        <f>AI97*VLOOKUP('Données projet'!$B$10,Paramètres!$A$1:$I$89,3,0)*VLOOKUP('Données projet'!$B$10,Paramètres!$A$1:$I$89,5,0)</f>
        <v>408.19147199999975</v>
      </c>
      <c r="AK97" s="13">
        <f t="shared" si="89"/>
        <v>93.435396066328195</v>
      </c>
      <c r="AL97" s="20">
        <f t="shared" si="58"/>
        <v>873.66679521552112</v>
      </c>
      <c r="AM97" s="59">
        <f t="shared" si="59"/>
        <v>1151.2535203009302</v>
      </c>
      <c r="AN97" s="59">
        <f ca="1">AVERAGE(OFFSET($AM$3,0,0,'Données projet'!$E$10+1,1))-AVERAGE(OFFSET($H$3,0,0,'Données projet'!$E$10+1,1))</f>
        <v>737.88151921331701</v>
      </c>
      <c r="AO97" s="59">
        <f t="shared" si="90"/>
        <v>270.70193491027487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119.6108053622776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119.6108053622776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65.705470477838801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4.45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16.316666666666666</v>
      </c>
      <c r="H98" s="66">
        <f t="shared" si="56"/>
        <v>191.4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189.55118397415424</v>
      </c>
      <c r="T98" s="59">
        <f t="shared" si="88"/>
        <v>456.28719984856014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22.511723561740695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22.511723561748099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10.754999999999995</v>
      </c>
      <c r="AI98" s="13">
        <f>IF('Données projet'!$A$62&gt;35,AI97+AH98-AQ97,IF(A98&lt;'Données projet'!$A$62,$AF$205^A98,IF(A98='Données projet'!$A$62,'Données projet'!$B$62,AI97+AH98-AQ97)))</f>
        <v>461.8949999999997</v>
      </c>
      <c r="AJ98" s="13">
        <f>AI98*VLOOKUP('Données projet'!$B$10,Paramètres!$A$1:$I$89,3,0)*VLOOKUP('Données projet'!$B$10,Paramètres!$A$1:$I$89,5,0)</f>
        <v>417.92259599999971</v>
      </c>
      <c r="AK98" s="13">
        <f t="shared" si="89"/>
        <v>95.400875561025359</v>
      </c>
      <c r="AL98" s="20">
        <f t="shared" si="58"/>
        <v>894.03837963545186</v>
      </c>
      <c r="AM98" s="59">
        <f t="shared" si="59"/>
        <v>1171.8982731698202</v>
      </c>
      <c r="AN98" s="59">
        <f ca="1">AVERAGE(OFFSET($AM$3,0,0,'Données projet'!$E$10+1,1))-AVERAGE(OFFSET($H$3,0,0,'Données projet'!$E$10+1,1))</f>
        <v>737.88151921331701</v>
      </c>
      <c r="AO98" s="59">
        <f t="shared" si="90"/>
        <v>270.70193491027487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117.26531042451086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117.26531042451086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65.779970963918643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4.45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16.316666666666666</v>
      </c>
      <c r="H99" s="66">
        <f t="shared" si="56"/>
        <v>191.4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189.55118397415424</v>
      </c>
      <c r="T99" s="59">
        <f t="shared" si="88"/>
        <v>456.28719984856014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21.896139297104806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21.896139297110039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10.754999999999995</v>
      </c>
      <c r="AI99" s="13">
        <f>IF('Données projet'!$A$62&gt;35,AI98+AH99-AQ98,IF(A99&lt;'Données projet'!$A$62,$AF$205^A99,IF(A99='Données projet'!$A$62,'Données projet'!$B$62,AI98+AH99-AQ98)))</f>
        <v>472.64999999999969</v>
      </c>
      <c r="AJ99" s="13">
        <f>AI99*VLOOKUP('Données projet'!$B$10,Paramètres!$A$1:$I$89,3,0)*VLOOKUP('Données projet'!$B$10,Paramètres!$A$1:$I$89,5,0)</f>
        <v>427.65371999999974</v>
      </c>
      <c r="AK99" s="13">
        <f t="shared" si="89"/>
        <v>97.361034687082608</v>
      </c>
      <c r="AL99" s="20">
        <f t="shared" si="58"/>
        <v>914.40069774666847</v>
      </c>
      <c r="AM99" s="59">
        <f t="shared" si="59"/>
        <v>1192.5290208681199</v>
      </c>
      <c r="AN99" s="59">
        <f ca="1">AVERAGE(OFFSET($AM$3,0,0,'Données projet'!$E$10+1,1))-AVERAGE(OFFSET($H$3,0,0,'Données projet'!$E$10+1,1))</f>
        <v>737.88151921331701</v>
      </c>
      <c r="AO99" s="59">
        <f t="shared" si="90"/>
        <v>270.70193491027487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114.96580921186307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114.96580921186307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65.853179033123126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4.45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16.316666666666666</v>
      </c>
      <c r="H100" s="66">
        <f t="shared" si="56"/>
        <v>191.4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189.55118397415424</v>
      </c>
      <c r="T100" s="59">
        <f t="shared" si="88"/>
        <v>456.28719984856014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21.297388216557554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21.297388216561256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10.754999999999995</v>
      </c>
      <c r="AI100" s="13">
        <f>IF('Données projet'!$A$62&gt;35,AI99+AH100-AQ99,IF(A100&lt;'Données projet'!$A$62,$AF$205^A100,IF(A100='Données projet'!$A$62,'Données projet'!$B$62,AI99+AH100-AQ99)))</f>
        <v>483.40499999999969</v>
      </c>
      <c r="AJ100" s="13">
        <f>AI100*VLOOKUP('Données projet'!$B$10,Paramètres!$A$1:$I$89,3,0)*VLOOKUP('Données projet'!$B$10,Paramètres!$A$1:$I$89,5,0)</f>
        <v>437.3848439999997</v>
      </c>
      <c r="AK100" s="13">
        <f t="shared" si="89"/>
        <v>99.316008444270537</v>
      </c>
      <c r="AL100" s="20">
        <f t="shared" si="58"/>
        <v>934.75398467377056</v>
      </c>
      <c r="AM100" s="59">
        <f t="shared" si="59"/>
        <v>1213.1460807290878</v>
      </c>
      <c r="AN100" s="59">
        <f ca="1">AVERAGE(OFFSET($AM$3,0,0,'Données projet'!$E$10+1,1))-AVERAGE(OFFSET($H$3,0,0,'Données projet'!$E$10+1,1))</f>
        <v>737.88151921331701</v>
      </c>
      <c r="AO100" s="59">
        <f t="shared" si="90"/>
        <v>270.70193491027487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112.71139981543807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112.71139981543807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65.925117105995639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4.45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16.316666666666666</v>
      </c>
      <c r="H101" s="66">
        <f t="shared" si="56"/>
        <v>191.4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189.55118397415424</v>
      </c>
      <c r="T101" s="59">
        <f t="shared" si="88"/>
        <v>456.28719984856014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20.715010015794817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20.715010015797436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10.754999999999995</v>
      </c>
      <c r="AI101" s="13">
        <f>IF('Données projet'!$A$62&gt;35,AI100+AH101-AQ100,IF(A101&lt;'Données projet'!$A$62,$AF$205^A101,IF(A101='Données projet'!$A$62,'Données projet'!$B$62,AI100+AH101-AQ100)))</f>
        <v>494.15999999999968</v>
      </c>
      <c r="AJ101" s="13">
        <f>AI101*VLOOKUP('Données projet'!$B$10,Paramètres!$A$1:$I$89,3,0)*VLOOKUP('Données projet'!$B$10,Paramètres!$A$1:$I$89,5,0)</f>
        <v>447.11596799999973</v>
      </c>
      <c r="AK101" s="13">
        <f t="shared" si="89"/>
        <v>101.26592548233283</v>
      </c>
      <c r="AL101" s="20">
        <f t="shared" si="58"/>
        <v>955.09846448172914</v>
      </c>
      <c r="AM101" s="59">
        <f t="shared" si="59"/>
        <v>1233.7497576002177</v>
      </c>
      <c r="AN101" s="59">
        <f ca="1">AVERAGE(OFFSET($AM$3,0,0,'Données projet'!$E$10+1,1))-AVERAGE(OFFSET($H$3,0,0,'Données projet'!$E$10+1,1))</f>
        <v>737.88151921331701</v>
      </c>
      <c r="AO101" s="59">
        <f t="shared" si="90"/>
        <v>270.70193491027487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110.501198012223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110.501198012223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65.995807214133251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4.45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16.316666666666666</v>
      </c>
      <c r="H102" s="66">
        <f t="shared" si="56"/>
        <v>191.4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189.55118397415424</v>
      </c>
      <c r="T102" s="59">
        <f t="shared" si="88"/>
        <v>456.28719984856014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20.148556977557877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20.148556977559728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10.754999999999995</v>
      </c>
      <c r="AI102" s="13">
        <f>IF('Données projet'!$A$62&gt;35,AI101+AH102-AQ101,IF(A102&lt;'Données projet'!$A$62,$AF$205^A102,IF(A102='Données projet'!$A$62,'Données projet'!$B$62,AI101+AH102-AQ101)))</f>
        <v>504.91499999999968</v>
      </c>
      <c r="AJ102" s="13">
        <f>AI102*VLOOKUP('Données projet'!$B$10,Paramètres!$A$1:$I$89,3,0)*VLOOKUP('Données projet'!$B$10,Paramètres!$A$1:$I$89,5,0)</f>
        <v>456.84709199999969</v>
      </c>
      <c r="AK102" s="13">
        <f t="shared" si="89"/>
        <v>103.21090853127453</v>
      </c>
      <c r="AL102" s="20">
        <f t="shared" si="58"/>
        <v>975.43435092530251</v>
      </c>
      <c r="AM102" s="59">
        <f t="shared" si="59"/>
        <v>1254.3403446173941</v>
      </c>
      <c r="AN102" s="59">
        <f ca="1">AVERAGE(OFFSET($AM$3,0,0,'Données projet'!$E$10+1,1))-AVERAGE(OFFSET($H$3,0,0,'Données projet'!$E$10+1,1))</f>
        <v>737.88151921331701</v>
      </c>
      <c r="AO102" s="59">
        <f t="shared" si="90"/>
        <v>270.70193491027487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108.33433691827899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108.33433691827899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66.065271006934083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4.45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16.316666666666666</v>
      </c>
      <c r="H103" s="66">
        <f t="shared" si="56"/>
        <v>191.4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189.55118397415424</v>
      </c>
      <c r="T103" s="59">
        <f t="shared" si="88"/>
        <v>456.28719984856014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19.597593627439995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19.597593627441302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515.66999999999996</v>
      </c>
      <c r="AG103" s="12">
        <f>VLOOKUP(A103,'Données projet'!$A$61:$I$81,9,0)</f>
        <v>10.754999999999995</v>
      </c>
      <c r="AH103" s="12">
        <f t="array" ref="AH103">INDEX(AG:AG,MIN(IF(ISNUMBER(AG103:AG299),ROW(AG103:AG299),"")))</f>
        <v>10.754999999999995</v>
      </c>
      <c r="AI103" s="13">
        <f>IF('Données projet'!$A$62&gt;35,AI102+AH103-AQ102,IF(A103&lt;'Données projet'!$A$62,$AF$205^A103,IF(A103='Données projet'!$A$62,'Données projet'!$B$62,AI102+AH103-AQ102)))</f>
        <v>515.66999999999962</v>
      </c>
      <c r="AJ103" s="13">
        <f>AI103*VLOOKUP('Données projet'!$B$10,Paramètres!$A$1:$I$89,3,0)*VLOOKUP('Données projet'!$B$10,Paramètres!$A$1:$I$89,5,0)</f>
        <v>466.57821599999966</v>
      </c>
      <c r="AK103" s="13">
        <f t="shared" si="89"/>
        <v>105.15107479395371</v>
      </c>
      <c r="AL103" s="20">
        <f t="shared" si="58"/>
        <v>995.76184813280224</v>
      </c>
      <c r="AM103" s="59">
        <f t="shared" si="59"/>
        <v>1274.91812391297</v>
      </c>
      <c r="AN103" s="59">
        <f ca="1">AVERAGE(OFFSET($AM$3,0,0,'Données projet'!$E$10+1,1))-AVERAGE(OFFSET($H$3,0,0,'Données projet'!$E$10+1,1))</f>
        <v>737.88151921331701</v>
      </c>
      <c r="AO103" s="59">
        <f t="shared" si="90"/>
        <v>270.70193491027487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85.23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142.86728121423491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142.86728121423491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66.133529758227596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4.45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16.316666666666666</v>
      </c>
      <c r="H104" s="66">
        <f t="shared" si="56"/>
        <v>191.4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189.55118397415424</v>
      </c>
      <c r="T104" s="59">
        <f t="shared" si="88"/>
        <v>456.28719984856014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19.061696399104989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19.061696399105912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10.060000000000002</v>
      </c>
      <c r="AI104" s="13">
        <f>IF('Données projet'!$A$62&gt;35,AI103+AH104-AQ103,IF(A104&lt;'Données projet'!$A$62,$AF$205^A104,IF(A104='Données projet'!$A$62,'Données projet'!$B$62,AI103+AH104-AQ103)))</f>
        <v>440.49999999999955</v>
      </c>
      <c r="AJ104" s="13">
        <f>AI104*VLOOKUP('Données projet'!$B$10,Paramètres!$A$1:$I$89,3,0)*VLOOKUP('Données projet'!$B$10,Paramètres!$A$1:$I$89,5,0)</f>
        <v>398.56439999999958</v>
      </c>
      <c r="AK104" s="13">
        <f t="shared" si="89"/>
        <v>91.48555847776619</v>
      </c>
      <c r="AL104" s="20">
        <f t="shared" si="58"/>
        <v>853.50367768210856</v>
      </c>
      <c r="AM104" s="59">
        <f t="shared" si="59"/>
        <v>1132.9058937156715</v>
      </c>
      <c r="AN104" s="59">
        <f ca="1">AVERAGE(OFFSET($AM$3,0,0,'Données projet'!$E$10+1,1))-AVERAGE(OFFSET($H$3,0,0,'Données projet'!$E$10+1,1))</f>
        <v>737.88151921331701</v>
      </c>
      <c r="AO104" s="59">
        <f t="shared" si="90"/>
        <v>270.70193491027487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140.06574097006089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140.06574097006089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66.200604372789869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4.45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16.316666666666666</v>
      </c>
      <c r="H105" s="66">
        <f t="shared" si="56"/>
        <v>191.4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189.55118397415424</v>
      </c>
      <c r="T105" s="59">
        <f t="shared" si="88"/>
        <v>456.28719984856014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18.540453308660414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18.540453308661068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10.060000000000002</v>
      </c>
      <c r="AI105" s="13">
        <f>IF('Données projet'!$A$62&gt;35,AI104+AH105-AQ104,IF(A105&lt;'Données projet'!$A$62,$AF$205^A105,IF(A105='Données projet'!$A$62,'Données projet'!$B$62,AI104+AH105-AQ104)))</f>
        <v>450.55999999999955</v>
      </c>
      <c r="AJ105" s="13">
        <f>AI105*VLOOKUP('Données projet'!$B$10,Paramètres!$A$1:$I$89,3,0)*VLOOKUP('Données projet'!$B$10,Paramètres!$A$1:$I$89,5,0)</f>
        <v>407.66668799999957</v>
      </c>
      <c r="AK105" s="13">
        <f t="shared" si="89"/>
        <v>93.329246968763528</v>
      </c>
      <c r="AL105" s="20">
        <f t="shared" si="58"/>
        <v>872.56792007059573</v>
      </c>
      <c r="AM105" s="59">
        <f t="shared" si="59"/>
        <v>1152.2118098439973</v>
      </c>
      <c r="AN105" s="59">
        <f ca="1">AVERAGE(OFFSET($AM$3,0,0,'Données projet'!$E$10+1,1))-AVERAGE(OFFSET($H$3,0,0,'Données projet'!$E$10+1,1))</f>
        <v>737.88151921331701</v>
      </c>
      <c r="AO105" s="59">
        <f t="shared" si="90"/>
        <v>270.70193491027487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137.31913722130432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137.31913722130432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66.266515392745859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4.45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16.316666666666666</v>
      </c>
      <c r="H106" s="66">
        <f t="shared" si="56"/>
        <v>191.4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189.55118397415424</v>
      </c>
      <c r="T106" s="59">
        <f t="shared" si="88"/>
        <v>456.28719984856014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18.033463637935029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18.03346363793549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10.060000000000002</v>
      </c>
      <c r="AI106" s="13">
        <f>IF('Données projet'!$A$62&gt;35,AI105+AH106-AQ105,IF(A106&lt;'Données projet'!$A$62,$AF$205^A106,IF(A106='Données projet'!$A$62,'Données projet'!$B$62,AI105+AH106-AQ105)))</f>
        <v>460.61999999999955</v>
      </c>
      <c r="AJ106" s="13">
        <f>AI106*VLOOKUP('Données projet'!$B$10,Paramètres!$A$1:$I$89,3,0)*VLOOKUP('Données projet'!$B$10,Paramètres!$A$1:$I$89,5,0)</f>
        <v>416.76897599999961</v>
      </c>
      <c r="AK106" s="13">
        <f t="shared" si="89"/>
        <v>95.168149602065114</v>
      </c>
      <c r="AL106" s="20">
        <f t="shared" si="58"/>
        <v>891.62382709026269</v>
      </c>
      <c r="AM106" s="59">
        <f t="shared" si="59"/>
        <v>1171.5051981044182</v>
      </c>
      <c r="AN106" s="59">
        <f ca="1">AVERAGE(OFFSET($AM$3,0,0,'Données projet'!$E$10+1,1))-AVERAGE(OFFSET($H$3,0,0,'Données projet'!$E$10+1,1))</f>
        <v>737.88151921331701</v>
      </c>
      <c r="AO106" s="59">
        <f t="shared" si="90"/>
        <v>270.70193491027487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134.62639269679798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134.62639269679798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66.331283003860591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4.45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16.316666666666666</v>
      </c>
      <c r="H107" s="66">
        <f t="shared" si="56"/>
        <v>191.4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189.55118397415424</v>
      </c>
      <c r="T107" s="59">
        <f t="shared" si="88"/>
        <v>456.28719984856014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17.54033762641706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17.540337626417386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10.060000000000002</v>
      </c>
      <c r="AI107" s="13">
        <f>IF('Données projet'!$A$62&gt;35,AI106+AH107-AQ106,IF(A107&lt;'Données projet'!$A$62,$AF$205^A107,IF(A107='Données projet'!$A$62,'Données projet'!$B$62,AI106+AH107-AQ106)))</f>
        <v>470.67999999999955</v>
      </c>
      <c r="AJ107" s="13">
        <f>AI107*VLOOKUP('Données projet'!$B$10,Paramètres!$A$1:$I$89,3,0)*VLOOKUP('Données projet'!$B$10,Paramètres!$A$1:$I$89,5,0)</f>
        <v>425.87126399999954</v>
      </c>
      <c r="AK107" s="13">
        <f t="shared" si="89"/>
        <v>97.002382938501356</v>
      </c>
      <c r="AL107" s="20">
        <f t="shared" si="58"/>
        <v>910.67160175122228</v>
      </c>
      <c r="AM107" s="59">
        <f t="shared" si="59"/>
        <v>1190.7863342375331</v>
      </c>
      <c r="AN107" s="59">
        <f ca="1">AVERAGE(OFFSET($AM$3,0,0,'Données projet'!$E$10+1,1))-AVERAGE(OFFSET($H$3,0,0,'Données projet'!$E$10+1,1))</f>
        <v>737.88151921331701</v>
      </c>
      <c r="AO107" s="59">
        <f t="shared" si="90"/>
        <v>270.70193491027487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131.98645125000525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131.98645125000525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66.394927041721147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4.45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16.316666666666666</v>
      </c>
      <c r="H108" s="66">
        <f t="shared" si="56"/>
        <v>191.4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189.55118397415424</v>
      </c>
      <c r="T108" s="59">
        <f t="shared" si="88"/>
        <v>456.28719984856014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17.060696171616417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17.060696171616648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10.060000000000002</v>
      </c>
      <c r="AI108" s="13">
        <f>IF('Données projet'!$A$62&gt;35,AI107+AH108-AQ107,IF(A108&lt;'Données projet'!$A$62,$AF$205^A108,IF(A108='Données projet'!$A$62,'Données projet'!$B$62,AI107+AH108-AQ107)))</f>
        <v>480.73999999999955</v>
      </c>
      <c r="AJ108" s="13">
        <f>AI108*VLOOKUP('Données projet'!$B$10,Paramètres!$A$1:$I$89,3,0)*VLOOKUP('Données projet'!$B$10,Paramètres!$A$1:$I$89,5,0)</f>
        <v>434.97355199999959</v>
      </c>
      <c r="AK108" s="13">
        <f t="shared" si="89"/>
        <v>98.83205827167825</v>
      </c>
      <c r="AL108" s="20">
        <f t="shared" si="58"/>
        <v>929.71143788983875</v>
      </c>
      <c r="AM108" s="59">
        <f t="shared" si="59"/>
        <v>1210.0554835484813</v>
      </c>
      <c r="AN108" s="59">
        <f ca="1">AVERAGE(OFFSET($AM$3,0,0,'Données projet'!$E$10+1,1))-AVERAGE(OFFSET($H$3,0,0,'Données projet'!$E$10+1,1))</f>
        <v>737.88151921331701</v>
      </c>
      <c r="AO108" s="59">
        <f t="shared" si="90"/>
        <v>270.70193491027487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129.39827744477881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129.39827744477881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66.457466997811594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4.45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16.316666666666666</v>
      </c>
      <c r="H109" s="66">
        <f t="shared" si="56"/>
        <v>191.4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189.55118397415424</v>
      </c>
      <c r="T109" s="59">
        <f t="shared" si="88"/>
        <v>456.28719984856014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16.594170537620549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16.594170537620712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10.060000000000002</v>
      </c>
      <c r="AI109" s="13">
        <f>IF('Données projet'!$A$62&gt;35,AI108+AH109-AQ108,IF(A109&lt;'Données projet'!$A$62,$AF$205^A109,IF(A109='Données projet'!$A$62,'Données projet'!$B$62,AI108+AH109-AQ108)))</f>
        <v>490.79999999999956</v>
      </c>
      <c r="AJ109" s="13">
        <f>AI109*VLOOKUP('Données projet'!$B$10,Paramètres!$A$1:$I$89,3,0)*VLOOKUP('Données projet'!$B$10,Paramètres!$A$1:$I$89,5,0)</f>
        <v>444.07583999999957</v>
      </c>
      <c r="AK109" s="13">
        <f t="shared" si="89"/>
        <v>100.65728197115644</v>
      </c>
      <c r="AL109" s="20">
        <f t="shared" si="58"/>
        <v>948.74352076643015</v>
      </c>
      <c r="AM109" s="59">
        <f t="shared" si="59"/>
        <v>1229.3129015265317</v>
      </c>
      <c r="AN109" s="59">
        <f ca="1">AVERAGE(OFFSET($AM$3,0,0,'Données projet'!$E$10+1,1))-AVERAGE(OFFSET($H$3,0,0,'Données projet'!$E$10+1,1))</f>
        <v>737.88151921331701</v>
      </c>
      <c r="AO109" s="59">
        <f t="shared" si="90"/>
        <v>270.70193491027487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126.86085614924274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126.86085614924274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66.518922025482254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4.45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16.316666666666666</v>
      </c>
      <c r="H110" s="66">
        <f t="shared" si="56"/>
        <v>191.4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189.55118397415424</v>
      </c>
      <c r="T110" s="59">
        <f t="shared" si="88"/>
        <v>456.28719984856014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16.140402071619814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16.140402071619931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10.060000000000002</v>
      </c>
      <c r="AI110" s="13">
        <f>IF('Données projet'!$A$62&gt;35,AI109+AH110-AQ109,IF(A110&lt;'Données projet'!$A$62,$AF$205^A110,IF(A110='Données projet'!$A$62,'Données projet'!$B$62,AI109+AH110-AQ109)))</f>
        <v>500.85999999999956</v>
      </c>
      <c r="AJ110" s="13">
        <f>AI110*VLOOKUP('Données projet'!$B$10,Paramètres!$A$1:$I$89,3,0)*VLOOKUP('Données projet'!$B$10,Paramètres!$A$1:$I$89,5,0)</f>
        <v>453.17812799999962</v>
      </c>
      <c r="AK110" s="13">
        <f t="shared" si="89"/>
        <v>102.47815579669938</v>
      </c>
      <c r="AL110" s="20">
        <f t="shared" si="58"/>
        <v>967.76802761258398</v>
      </c>
      <c r="AM110" s="59">
        <f t="shared" si="59"/>
        <v>1248.5588344139082</v>
      </c>
      <c r="AN110" s="59">
        <f ca="1">AVERAGE(OFFSET($AM$3,0,0,'Données projet'!$E$10+1,1))-AVERAGE(OFFSET($H$3,0,0,'Données projet'!$E$10+1,1))</f>
        <v>737.88151921331701</v>
      </c>
      <c r="AO110" s="59">
        <f t="shared" si="90"/>
        <v>270.70193491027487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124.37319213763794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124.37319213763794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66.579310945815692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4.45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16.316666666666666</v>
      </c>
      <c r="H111" s="66">
        <f t="shared" si="56"/>
        <v>191.4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189.55118397415424</v>
      </c>
      <c r="T111" s="59">
        <f t="shared" si="88"/>
        <v>456.28719984856014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15.699041928184515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15.699041928184597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10.060000000000002</v>
      </c>
      <c r="AI111" s="13">
        <f>IF('Données projet'!$A$62&gt;35,AI110+AH111-AQ110,IF(A111&lt;'Données projet'!$A$62,$AF$205^A111,IF(A111='Données projet'!$A$62,'Données projet'!$B$62,AI110+AH111-AQ110)))</f>
        <v>510.91999999999956</v>
      </c>
      <c r="AJ111" s="13">
        <f>AI111*VLOOKUP('Données projet'!$B$10,Paramètres!$A$1:$I$89,3,0)*VLOOKUP('Données projet'!$B$10,Paramètres!$A$1:$I$89,5,0)</f>
        <v>462.28041599999955</v>
      </c>
      <c r="AK111" s="13">
        <f t="shared" si="89"/>
        <v>104.29477718656059</v>
      </c>
      <c r="AL111" s="20">
        <f t="shared" si="58"/>
        <v>986.7851281332587</v>
      </c>
      <c r="AM111" s="59">
        <f t="shared" si="59"/>
        <v>1267.7935197290249</v>
      </c>
      <c r="AN111" s="59">
        <f ca="1">AVERAGE(OFFSET($AM$3,0,0,'Données projet'!$E$10+1,1))-AVERAGE(OFFSET($H$3,0,0,'Données projet'!$E$10+1,1))</f>
        <v>737.88151921331701</v>
      </c>
      <c r="AO111" s="59">
        <f t="shared" si="90"/>
        <v>270.70193491027487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121.9343096999755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121.9343096999755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66.638652253390759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4.45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16.316666666666666</v>
      </c>
      <c r="H112" s="66">
        <f t="shared" si="56"/>
        <v>191.4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189.55118397415424</v>
      </c>
      <c r="T112" s="59">
        <f t="shared" si="88"/>
        <v>456.28719984856014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15.269750801081575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15.269750801081633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10.060000000000002</v>
      </c>
      <c r="AI112" s="13">
        <f>IF('Données projet'!$A$62&gt;35,AI111+AH112-AQ111,IF(A112&lt;'Données projet'!$A$62,$AF$205^A112,IF(A112='Données projet'!$A$62,'Données projet'!$B$62,AI111+AH112-AQ111)))</f>
        <v>520.97999999999956</v>
      </c>
      <c r="AJ112" s="13">
        <f>AI112*VLOOKUP('Données projet'!$B$10,Paramètres!$A$1:$I$89,3,0)*VLOOKUP('Données projet'!$B$10,Paramètres!$A$1:$I$89,5,0)</f>
        <v>471.38270399999959</v>
      </c>
      <c r="AK112" s="13">
        <f t="shared" si="89"/>
        <v>106.10723952242445</v>
      </c>
      <c r="AL112" s="20">
        <f t="shared" si="58"/>
        <v>1005.7949849682217</v>
      </c>
      <c r="AM112" s="59">
        <f t="shared" si="59"/>
        <v>1287.0171867486929</v>
      </c>
      <c r="AN112" s="59">
        <f ca="1">AVERAGE(OFFSET($AM$3,0,0,'Données projet'!$E$10+1,1))-AVERAGE(OFFSET($H$3,0,0,'Données projet'!$E$10+1,1))</f>
        <v>737.88151921331701</v>
      </c>
      <c r="AO112" s="59">
        <f t="shared" si="90"/>
        <v>270.70193491027487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119.54325225934421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119.54325225934421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66.696964121946664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4.45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16.316666666666666</v>
      </c>
      <c r="H113" s="66">
        <f t="shared" si="56"/>
        <v>191.4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189.55118397415424</v>
      </c>
      <c r="T113" s="59">
        <f t="shared" si="88"/>
        <v>456.28719984856014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14.852198662424703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14.852198662424744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531.04</v>
      </c>
      <c r="AG113" s="12">
        <f>VLOOKUP(A113,'Données projet'!$A$61:$I$81,9,0)</f>
        <v>10.060000000000002</v>
      </c>
      <c r="AH113" s="12">
        <f t="array" ref="AH113">INDEX(AG:AG,MIN(IF(ISNUMBER(AG113:AG309),ROW(AG113:AG309),"")))</f>
        <v>10.060000000000002</v>
      </c>
      <c r="AI113" s="13">
        <f>IF('Données projet'!$A$62&gt;35,AI112+AH113-AQ112,IF(A113&lt;'Données projet'!$A$62,$AF$205^A113,IF(A113='Données projet'!$A$62,'Données projet'!$B$62,AI112+AH113-AQ112)))</f>
        <v>531.03999999999951</v>
      </c>
      <c r="AJ113" s="13">
        <f>AI113*VLOOKUP('Données projet'!$B$10,Paramètres!$A$1:$I$89,3,0)*VLOOKUP('Données projet'!$B$10,Paramètres!$A$1:$I$89,5,0)</f>
        <v>480.48499199999958</v>
      </c>
      <c r="AK113" s="13">
        <f t="shared" si="89"/>
        <v>107.91563237330452</v>
      </c>
      <c r="AL113" s="20">
        <f t="shared" si="58"/>
        <v>1024.797754116838</v>
      </c>
      <c r="AM113" s="59">
        <f t="shared" si="59"/>
        <v>1306.2300569533174</v>
      </c>
      <c r="AN113" s="59">
        <f ca="1">AVERAGE(OFFSET($AM$3,0,0,'Données projet'!$E$10+1,1))-AVERAGE(OFFSET($H$3,0,0,'Données projet'!$E$10+1,1))</f>
        <v>737.88151921331701</v>
      </c>
      <c r="AO113" s="59">
        <f t="shared" si="90"/>
        <v>270.70193491027487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67.22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146.11031847558075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146.11031847558075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66.754264409948945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4.45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16.316666666666666</v>
      </c>
      <c r="H114" s="66">
        <f t="shared" si="56"/>
        <v>191.4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189.55118397415424</v>
      </c>
      <c r="T114" s="59">
        <f t="shared" si="88"/>
        <v>456.28719984856014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14.446064508957518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14.446064508957546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10.118000000000006</v>
      </c>
      <c r="AI114" s="13">
        <f>IF('Données projet'!$A$62&gt;35,AI113+AH114-AQ113,IF(A114&lt;'Données projet'!$A$62,$AF$205^A114,IF(A114='Données projet'!$A$62,'Données projet'!$B$62,AI113+AH114-AQ113)))</f>
        <v>473.93799999999953</v>
      </c>
      <c r="AJ114" s="13">
        <f>AI114*VLOOKUP('Données projet'!$B$10,Paramètres!$A$1:$I$89,3,0)*VLOOKUP('Données projet'!$B$10,Paramètres!$A$1:$I$89,5,0)</f>
        <v>428.81910239999951</v>
      </c>
      <c r="AK114" s="13">
        <f t="shared" si="89"/>
        <v>97.59542964993237</v>
      </c>
      <c r="AL114" s="20">
        <f t="shared" si="58"/>
        <v>916.83864332029782</v>
      </c>
      <c r="AM114" s="59">
        <f t="shared" si="59"/>
        <v>1198.4774024291794</v>
      </c>
      <c r="AN114" s="59">
        <f ca="1">AVERAGE(OFFSET($AM$3,0,0,'Données projet'!$E$10+1,1))-AVERAGE(OFFSET($H$3,0,0,'Données projet'!$E$10+1,1))</f>
        <v>737.88151921331701</v>
      </c>
      <c r="AO114" s="59">
        <f t="shared" si="90"/>
        <v>270.70193491027487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143.24518424876916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143.24518424876916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66.810570666058624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4.45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16.316666666666666</v>
      </c>
      <c r="H115" s="66">
        <f t="shared" si="56"/>
        <v>191.4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189.55118397415424</v>
      </c>
      <c r="T115" s="59">
        <f t="shared" si="88"/>
        <v>456.28719984856014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14.05103611527456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14.051036115274581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10.118000000000006</v>
      </c>
      <c r="AI115" s="13">
        <f>IF('Données projet'!$A$62&gt;35,AI114+AH115-AQ114,IF(A115&lt;'Données projet'!$A$62,$AF$205^A115,IF(A115='Données projet'!$A$62,'Données projet'!$B$62,AI114+AH115-AQ114)))</f>
        <v>484.05599999999953</v>
      </c>
      <c r="AJ115" s="13">
        <f>AI115*VLOOKUP('Données projet'!$B$10,Paramètres!$A$1:$I$89,3,0)*VLOOKUP('Données projet'!$B$10,Paramètres!$A$1:$I$89,5,0)</f>
        <v>437.97386879999954</v>
      </c>
      <c r="AK115" s="13">
        <f t="shared" si="89"/>
        <v>99.434179411722852</v>
      </c>
      <c r="AL115" s="20">
        <f t="shared" si="58"/>
        <v>935.98568396874987</v>
      </c>
      <c r="AM115" s="59">
        <f t="shared" si="59"/>
        <v>1217.8273177952747</v>
      </c>
      <c r="AN115" s="59">
        <f ca="1">AVERAGE(OFFSET($AM$3,0,0,'Données projet'!$E$10+1,1))-AVERAGE(OFFSET($H$3,0,0,'Données projet'!$E$10+1,1))</f>
        <v>737.88151921331701</v>
      </c>
      <c r="AO115" s="59">
        <f t="shared" si="90"/>
        <v>270.70193491027487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140.43623355658602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140.43623355658602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66.865900134506745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4.45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16.316666666666666</v>
      </c>
      <c r="H116" s="66">
        <f t="shared" si="56"/>
        <v>191.4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189.55118397415424</v>
      </c>
      <c r="T116" s="59">
        <f t="shared" si="88"/>
        <v>456.28719984856014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13.666809793790501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13.666809793790515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10.118000000000006</v>
      </c>
      <c r="AI116" s="13">
        <f>IF('Données projet'!$A$62&gt;35,AI115+AH116-AQ115,IF(A116&lt;'Données projet'!$A$62,$AF$205^A116,IF(A116='Données projet'!$A$62,'Données projet'!$B$62,AI115+AH116-AQ115)))</f>
        <v>494.17399999999952</v>
      </c>
      <c r="AJ116" s="13">
        <f>AI116*VLOOKUP('Données projet'!$B$10,Paramètres!$A$1:$I$89,3,0)*VLOOKUP('Données projet'!$B$10,Paramètres!$A$1:$I$89,5,0)</f>
        <v>447.12863519999956</v>
      </c>
      <c r="AK116" s="13">
        <f t="shared" si="89"/>
        <v>101.26846048706624</v>
      </c>
      <c r="AL116" s="20">
        <f t="shared" si="58"/>
        <v>955.12494165497276</v>
      </c>
      <c r="AM116" s="59">
        <f t="shared" si="59"/>
        <v>1237.1659307763493</v>
      </c>
      <c r="AN116" s="59">
        <f ca="1">AVERAGE(OFFSET($AM$3,0,0,'Données projet'!$E$10+1,1))-AVERAGE(OFFSET($H$3,0,0,'Données projet'!$E$10+1,1))</f>
        <v>737.88151921331701</v>
      </c>
      <c r="AO116" s="59">
        <f t="shared" si="90"/>
        <v>270.70193491027487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137.68236467418583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137.68236467418583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66.920269760375447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4.45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16.316666666666666</v>
      </c>
      <c r="H117" s="66">
        <f t="shared" si="56"/>
        <v>191.4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189.55118397415424</v>
      </c>
      <c r="T117" s="59">
        <f t="shared" si="88"/>
        <v>456.28719984856014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13.293090161273009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13.293090161273019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10.118000000000006</v>
      </c>
      <c r="AI117" s="13">
        <f>IF('Données projet'!$A$62&gt;35,AI116+AH117-AQ116,IF(A117&lt;'Données projet'!$A$62,$AF$205^A117,IF(A117='Données projet'!$A$62,'Données projet'!$B$62,AI116+AH117-AQ116)))</f>
        <v>504.29199999999952</v>
      </c>
      <c r="AJ117" s="13">
        <f>AI117*VLOOKUP('Données projet'!$B$10,Paramètres!$A$1:$I$89,3,0)*VLOOKUP('Données projet'!$B$10,Paramètres!$A$1:$I$89,5,0)</f>
        <v>456.28340159999954</v>
      </c>
      <c r="AK117" s="13">
        <f t="shared" si="89"/>
        <v>103.09837491311735</v>
      </c>
      <c r="AL117" s="20">
        <f t="shared" si="58"/>
        <v>974.25659409367847</v>
      </c>
      <c r="AM117" s="59">
        <f t="shared" si="59"/>
        <v>1256.493480141233</v>
      </c>
      <c r="AN117" s="59">
        <f ca="1">AVERAGE(OFFSET($AM$3,0,0,'Données projet'!$E$10+1,1))-AVERAGE(OFFSET($H$3,0,0,'Données projet'!$E$10+1,1))</f>
        <v>737.88151921331701</v>
      </c>
      <c r="AO117" s="59">
        <f t="shared" si="90"/>
        <v>270.70193491027487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134.98249748087537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134.98249748087537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66.973696194787607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4.45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16.316666666666666</v>
      </c>
      <c r="H118" s="66">
        <f t="shared" si="56"/>
        <v>191.4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189.55118397415424</v>
      </c>
      <c r="T118" s="59">
        <f t="shared" si="88"/>
        <v>456.28719984856014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12.929589911759768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12.929589911759775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10.118000000000006</v>
      </c>
      <c r="AI118" s="13">
        <f>IF('Données projet'!$A$62&gt;35,AI117+AH118-AQ117,IF(A118&lt;'Données projet'!$A$62,$AF$205^A118,IF(A118='Données projet'!$A$62,'Données projet'!$B$62,AI117+AH118-AQ117)))</f>
        <v>514.40999999999951</v>
      </c>
      <c r="AJ118" s="13">
        <f>AI118*VLOOKUP('Données projet'!$B$10,Paramètres!$A$1:$I$89,3,0)*VLOOKUP('Données projet'!$B$10,Paramètres!$A$1:$I$89,5,0)</f>
        <v>465.43816799999956</v>
      </c>
      <c r="AK118" s="13">
        <f t="shared" si="89"/>
        <v>104.92402039841517</v>
      </c>
      <c r="AL118" s="20">
        <f t="shared" si="58"/>
        <v>993.3808114605722</v>
      </c>
      <c r="AM118" s="59">
        <f t="shared" si="59"/>
        <v>1275.8101960605954</v>
      </c>
      <c r="AN118" s="59">
        <f ca="1">AVERAGE(OFFSET($AM$3,0,0,'Données projet'!$E$10+1,1))-AVERAGE(OFFSET($H$3,0,0,'Données projet'!$E$10+1,1))</f>
        <v>737.88151921331701</v>
      </c>
      <c r="AO118" s="59">
        <f t="shared" si="90"/>
        <v>270.70193491027487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132.33557303646933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132.33557303646933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67.026195800006334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4.45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16.316666666666666</v>
      </c>
      <c r="H119" s="66">
        <f t="shared" si="56"/>
        <v>191.4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189.55118397415424</v>
      </c>
      <c r="T119" s="59">
        <f t="shared" si="88"/>
        <v>456.28719984856014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12.576029595685116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12.576029595685121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10.118000000000006</v>
      </c>
      <c r="AI119" s="13">
        <f>IF('Données projet'!$A$62&gt;35,AI118+AH119-AQ118,IF(A119&lt;'Données projet'!$A$62,$AF$205^A119,IF(A119='Données projet'!$A$62,'Données projet'!$B$62,AI118+AH119-AQ118)))</f>
        <v>524.52799999999957</v>
      </c>
      <c r="AJ119" s="13">
        <f>AI119*VLOOKUP('Données projet'!$B$10,Paramètres!$A$1:$I$89,3,0)*VLOOKUP('Données projet'!$B$10,Paramètres!$A$1:$I$89,5,0)</f>
        <v>474.59293439999959</v>
      </c>
      <c r="AK119" s="13">
        <f t="shared" si="89"/>
        <v>106.74549058797768</v>
      </c>
      <c r="AL119" s="20">
        <f t="shared" si="58"/>
        <v>1012.4977568540604</v>
      </c>
      <c r="AM119" s="59">
        <f t="shared" si="59"/>
        <v>1295.1163005870292</v>
      </c>
      <c r="AN119" s="59">
        <f ca="1">AVERAGE(OFFSET($AM$3,0,0,'Données projet'!$E$10+1,1))-AVERAGE(OFFSET($H$3,0,0,'Données projet'!$E$10+1,1))</f>
        <v>737.88151921331701</v>
      </c>
      <c r="AO119" s="59">
        <f t="shared" si="90"/>
        <v>270.70193491027487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129.7405531659536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129.7405531659536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67.077784654446035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4.45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16.316666666666666</v>
      </c>
      <c r="H120" s="66">
        <f t="shared" si="56"/>
        <v>191.4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189.55118397415424</v>
      </c>
      <c r="T120" s="59">
        <f t="shared" si="88"/>
        <v>456.28719984856014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12.232137405046453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12.232137405046457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10.118000000000006</v>
      </c>
      <c r="AI120" s="13">
        <f>IF('Données projet'!$A$62&gt;35,AI119+AH120-AQ119,IF(A120&lt;'Données projet'!$A$62,$AF$205^A120,IF(A120='Données projet'!$A$62,'Données projet'!$B$62,AI119+AH120-AQ119)))</f>
        <v>534.64599999999962</v>
      </c>
      <c r="AJ120" s="13">
        <f>AI120*VLOOKUP('Données projet'!$B$10,Paramètres!$A$1:$I$89,3,0)*VLOOKUP('Données projet'!$B$10,Paramètres!$A$1:$I$89,5,0)</f>
        <v>483.74770079999962</v>
      </c>
      <c r="AK120" s="13">
        <f t="shared" si="89"/>
        <v>108.56287530736564</v>
      </c>
      <c r="AL120" s="20">
        <f t="shared" si="58"/>
        <v>1031.6075867203278</v>
      </c>
      <c r="AM120" s="59">
        <f t="shared" si="59"/>
        <v>1314.412008098182</v>
      </c>
      <c r="AN120" s="59">
        <f ca="1">AVERAGE(OFFSET($AM$3,0,0,'Données projet'!$E$10+1,1))-AVERAGE(OFFSET($H$3,0,0,'Données projet'!$E$10+1,1))</f>
        <v>737.88151921331701</v>
      </c>
      <c r="AO120" s="59">
        <f t="shared" si="90"/>
        <v>270.70193491027487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127.19642005229285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127.19642005229285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67.128478557596608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4.45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16.316666666666666</v>
      </c>
      <c r="H121" s="66">
        <f t="shared" si="56"/>
        <v>191.4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189.55118397415424</v>
      </c>
      <c r="T121" s="59">
        <f t="shared" si="88"/>
        <v>456.28719984856014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11.897648964445308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11.89764896444531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10.118000000000006</v>
      </c>
      <c r="AI121" s="13">
        <f>IF('Données projet'!$A$62&gt;35,AI120+AH121-AQ120,IF(A121&lt;'Données projet'!$A$62,$AF$205^A121,IF(A121='Données projet'!$A$62,'Données projet'!$B$62,AI120+AH121-AQ120)))</f>
        <v>544.76399999999967</v>
      </c>
      <c r="AJ121" s="13">
        <f>AI121*VLOOKUP('Données projet'!$B$10,Paramètres!$A$1:$I$89,3,0)*VLOOKUP('Données projet'!$B$10,Paramètres!$A$1:$I$89,5,0)</f>
        <v>492.90246719999965</v>
      </c>
      <c r="AK121" s="13">
        <f t="shared" si="89"/>
        <v>110.37626078774746</v>
      </c>
      <c r="AL121" s="20">
        <f t="shared" si="58"/>
        <v>1050.7104512453261</v>
      </c>
      <c r="AM121" s="59">
        <f t="shared" si="59"/>
        <v>1333.6975257064871</v>
      </c>
      <c r="AN121" s="59">
        <f ca="1">AVERAGE(OFFSET($AM$3,0,0,'Données projet'!$E$10+1,1))-AVERAGE(OFFSET($H$3,0,0,'Données projet'!$E$10+1,1))</f>
        <v>737.88151921331701</v>
      </c>
      <c r="AO121" s="59">
        <f t="shared" si="90"/>
        <v>270.70193491027487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124.70217583722302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124.70217583722302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67.178293034862108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4.45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16.316666666666666</v>
      </c>
      <c r="H122" s="66">
        <f t="shared" si="56"/>
        <v>191.4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189.55118397415424</v>
      </c>
      <c r="T122" s="59">
        <f t="shared" si="88"/>
        <v>456.28719984856014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11.572307127842384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11.572307127842386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10.118000000000006</v>
      </c>
      <c r="AI122" s="13">
        <f>IF('Données projet'!$A$62&gt;35,AI121+AH122-AQ121,IF(A122&lt;'Données projet'!$A$62,$AF$205^A122,IF(A122='Données projet'!$A$62,'Données projet'!$B$62,AI121+AH122-AQ121)))</f>
        <v>554.88199999999972</v>
      </c>
      <c r="AJ122" s="13">
        <f>AI122*VLOOKUP('Données projet'!$B$10,Paramètres!$A$1:$I$89,3,0)*VLOOKUP('Données projet'!$B$10,Paramètres!$A$1:$I$89,5,0)</f>
        <v>502.05723359999968</v>
      </c>
      <c r="AK122" s="13">
        <f t="shared" si="89"/>
        <v>112.18572987377097</v>
      </c>
      <c r="AL122" s="20">
        <f t="shared" si="58"/>
        <v>1069.806494716817</v>
      </c>
      <c r="AM122" s="59">
        <f t="shared" si="59"/>
        <v>1352.9730536386407</v>
      </c>
      <c r="AN122" s="59">
        <f ca="1">AVERAGE(OFFSET($AM$3,0,0,'Données projet'!$E$10+1,1))-AVERAGE(OFFSET($H$3,0,0,'Données projet'!$E$10+1,1))</f>
        <v>737.88151921331701</v>
      </c>
      <c r="AO122" s="59">
        <f t="shared" si="90"/>
        <v>270.70193491027487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122.25684222987196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122.25684222987196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67.227243342315532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4.45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16.316666666666666</v>
      </c>
      <c r="H123" s="66">
        <f t="shared" si="56"/>
        <v>191.4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189.55118397415424</v>
      </c>
      <c r="T123" s="59">
        <f t="shared" si="88"/>
        <v>456.28719984856014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11.255861780870351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11.255861780870353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565</v>
      </c>
      <c r="AG123" s="12">
        <f>VLOOKUP(A123,'Données projet'!$A$61:$I$81,9,0)</f>
        <v>10.118000000000006</v>
      </c>
      <c r="AH123" s="12">
        <f t="array" ref="AH123">INDEX(AG:AG,MIN(IF(ISNUMBER(AG123:AG319),ROW(AG123:AG319),"")))</f>
        <v>10.118000000000006</v>
      </c>
      <c r="AI123" s="13">
        <f>IF('Données projet'!$A$62&gt;35,AI122+AH123-AQ122,IF(A123&lt;'Données projet'!$A$62,$AF$205^A123,IF(A123='Données projet'!$A$62,'Données projet'!$B$62,AI122+AH123-AQ122)))</f>
        <v>564.99999999999977</v>
      </c>
      <c r="AJ123" s="13">
        <f>AI123*VLOOKUP('Données projet'!$B$10,Paramètres!$A$1:$I$89,3,0)*VLOOKUP('Données projet'!$B$10,Paramètres!$A$1:$I$89,5,0)</f>
        <v>511.21199999999976</v>
      </c>
      <c r="AK123" s="13">
        <f t="shared" si="89"/>
        <v>113.99136221584421</v>
      </c>
      <c r="AL123" s="20">
        <f t="shared" si="58"/>
        <v>1088.8958558592615</v>
      </c>
      <c r="AM123" s="59">
        <f t="shared" si="59"/>
        <v>1372.2387855876223</v>
      </c>
      <c r="AN123" s="59">
        <f ca="1">AVERAGE(OFFSET($AM$3,0,0,'Données projet'!$E$10+1,1))-AVERAGE(OFFSET($H$3,0,0,'Données projet'!$E$10+1,1))</f>
        <v>737.88151921331701</v>
      </c>
      <c r="AO123" s="59">
        <f t="shared" si="90"/>
        <v>270.70193491027487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60.46</v>
      </c>
      <c r="AR123" s="16">
        <f>IF(ISNA(VLOOKUP(A123,'Données projet'!$A$61:$I$81,5,0)),0%,VLOOKUP(A123,'Données projet'!$A$61:$I$81,5,0)*VLOOKUP('Données projet'!$B$10,Paramètres!$A$1:$I$89,7,0))</f>
        <v>0.43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145.86322920237291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145.86322920237291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67.275344471371156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4.45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16.316666666666666</v>
      </c>
      <c r="H124" s="66">
        <f t="shared" si="56"/>
        <v>191.4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189.55118397415424</v>
      </c>
      <c r="T124" s="59">
        <f t="shared" si="88"/>
        <v>456.28719984856014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10.948069648552405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10.948069648552407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10.186999999999994</v>
      </c>
      <c r="AI124" s="13">
        <f>IF('Données projet'!$A$62&gt;35,AI123+AH124-AQ123,IF(A124&lt;'Données projet'!$A$62,$AF$205^A124,IF(A124='Données projet'!$A$62,'Données projet'!$B$62,AI123+AH124-AQ123)))</f>
        <v>514.72699999999975</v>
      </c>
      <c r="AJ124" s="13">
        <f>AI124*VLOOKUP('Données projet'!$B$10,Paramètres!$A$1:$I$89,3,0)*VLOOKUP('Données projet'!$B$10,Paramètres!$A$1:$I$89,5,0)</f>
        <v>465.72498959999973</v>
      </c>
      <c r="AK124" s="13">
        <f t="shared" si="89"/>
        <v>104.9811504896077</v>
      </c>
      <c r="AL124" s="20">
        <f t="shared" si="58"/>
        <v>993.97986065606619</v>
      </c>
      <c r="AM124" s="59">
        <f t="shared" si="59"/>
        <v>1277.496101551777</v>
      </c>
      <c r="AN124" s="59">
        <f ca="1">AVERAGE(OFFSET($AM$3,0,0,'Données projet'!$E$10+1,1))-AVERAGE(OFFSET($H$3,0,0,'Données projet'!$E$10+1,1))</f>
        <v>737.88151921331701</v>
      </c>
      <c r="AO124" s="59">
        <f t="shared" si="90"/>
        <v>270.70193491027487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143.00294024549936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143.00294024549936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67.322611153375661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4.45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16.316666666666666</v>
      </c>
      <c r="H125" s="66">
        <f t="shared" si="56"/>
        <v>191.4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189.55118397415424</v>
      </c>
      <c r="T125" s="59">
        <f t="shared" si="88"/>
        <v>456.28719984856014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10.648694108278779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10.648694108278779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10.186999999999994</v>
      </c>
      <c r="AI125" s="13">
        <f>IF('Données projet'!$A$62&gt;35,AI124+AH125-AQ124,IF(A125&lt;'Données projet'!$A$62,$AF$205^A125,IF(A125='Données projet'!$A$62,'Données projet'!$B$62,AI124+AH125-AQ124)))</f>
        <v>524.91399999999976</v>
      </c>
      <c r="AJ125" s="13">
        <f>AI125*VLOOKUP('Données projet'!$B$10,Paramètres!$A$1:$I$89,3,0)*VLOOKUP('Données projet'!$B$10,Paramètres!$A$1:$I$89,5,0)</f>
        <v>474.94218719999981</v>
      </c>
      <c r="AK125" s="13">
        <f t="shared" si="89"/>
        <v>106.81489790824931</v>
      </c>
      <c r="AL125" s="20">
        <f t="shared" si="58"/>
        <v>1013.2269232302006</v>
      </c>
      <c r="AM125" s="59">
        <f t="shared" si="59"/>
        <v>1296.9134687319734</v>
      </c>
      <c r="AN125" s="59">
        <f ca="1">AVERAGE(OFFSET($AM$3,0,0,'Données projet'!$E$10+1,1))-AVERAGE(OFFSET($H$3,0,0,'Données projet'!$E$10+1,1))</f>
        <v>737.88151921331701</v>
      </c>
      <c r="AO125" s="59">
        <f t="shared" si="90"/>
        <v>270.70193491027487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140.19873981046609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140.19873981046609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67.369057864119867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4.45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16.316666666666666</v>
      </c>
      <c r="H126" s="66">
        <f t="shared" si="56"/>
        <v>191.4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189.55118397415424</v>
      </c>
      <c r="T126" s="59">
        <f t="shared" si="88"/>
        <v>456.28719984856014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10.35750500789741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10.35750500789741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10.186999999999994</v>
      </c>
      <c r="AI126" s="13">
        <f>IF('Données projet'!$A$62&gt;35,AI125+AH126-AQ125,IF(A126&lt;'Données projet'!$A$62,$AF$205^A126,IF(A126='Données projet'!$A$62,'Données projet'!$B$62,AI125+AH126-AQ125)))</f>
        <v>535.10099999999977</v>
      </c>
      <c r="AJ126" s="13">
        <f>AI126*VLOOKUP('Données projet'!$B$10,Paramètres!$A$1:$I$89,3,0)*VLOOKUP('Données projet'!$B$10,Paramètres!$A$1:$I$89,5,0)</f>
        <v>484.15938479999977</v>
      </c>
      <c r="AK126" s="13">
        <f t="shared" si="89"/>
        <v>108.64450734079013</v>
      </c>
      <c r="AL126" s="20">
        <f t="shared" si="58"/>
        <v>1032.4667788118757</v>
      </c>
      <c r="AM126" s="59">
        <f t="shared" si="59"/>
        <v>1316.3206745155394</v>
      </c>
      <c r="AN126" s="59">
        <f ca="1">AVERAGE(OFFSET($AM$3,0,0,'Données projet'!$E$10+1,1))-AVERAGE(OFFSET($H$3,0,0,'Données projet'!$E$10+1,1))</f>
        <v>737.88151921331701</v>
      </c>
      <c r="AO126" s="59">
        <f t="shared" si="90"/>
        <v>270.70193491027487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137.44952803557044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137.44952803557044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67.414698828271938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4.45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16.316666666666666</v>
      </c>
      <c r="H127" s="66">
        <f t="shared" si="56"/>
        <v>191.4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189.55118397415424</v>
      </c>
      <c r="T127" s="59">
        <f t="shared" si="88"/>
        <v>456.28719984856014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10.07427848877894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10.07427848877894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10.186999999999994</v>
      </c>
      <c r="AI127" s="13">
        <f>IF('Données projet'!$A$62&gt;35,AI126+AH127-AQ126,IF(A127&lt;'Données projet'!$A$62,$AF$205^A127,IF(A127='Données projet'!$A$62,'Données projet'!$B$62,AI126+AH127-AQ126)))</f>
        <v>545.28799999999978</v>
      </c>
      <c r="AJ127" s="13">
        <f>AI127*VLOOKUP('Données projet'!$B$10,Paramètres!$A$1:$I$89,3,0)*VLOOKUP('Données projet'!$B$10,Paramètres!$A$1:$I$89,5,0)</f>
        <v>493.37658239999979</v>
      </c>
      <c r="AK127" s="13">
        <f t="shared" si="89"/>
        <v>110.47006664723473</v>
      </c>
      <c r="AL127" s="20">
        <f t="shared" si="58"/>
        <v>1051.6995804239334</v>
      </c>
      <c r="AM127" s="59">
        <f t="shared" si="59"/>
        <v>1335.7179231776242</v>
      </c>
      <c r="AN127" s="59">
        <f ca="1">AVERAGE(OFFSET($AM$3,0,0,'Données projet'!$E$10+1,1))-AVERAGE(OFFSET($H$3,0,0,'Données projet'!$E$10+1,1))</f>
        <v>737.88151921331701</v>
      </c>
      <c r="AO127" s="59">
        <f t="shared" si="90"/>
        <v>270.70193491027487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134.7542266267269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134.7542266267269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67.459548023733888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4.45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16.316666666666666</v>
      </c>
      <c r="H128" s="66">
        <f t="shared" si="56"/>
        <v>191.4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189.55118397415424</v>
      </c>
      <c r="T128" s="59">
        <f t="shared" si="88"/>
        <v>456.28719984856014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9.7987968137199992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9.7987968137199992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10.186999999999994</v>
      </c>
      <c r="AI128" s="13">
        <f>IF('Données projet'!$A$62&gt;35,AI127+AH128-AQ127,IF(A128&lt;'Données projet'!$A$62,$AF$205^A128,IF(A128='Données projet'!$A$62,'Données projet'!$B$62,AI127+AH128-AQ127)))</f>
        <v>555.4749999999998</v>
      </c>
      <c r="AJ128" s="13">
        <f>AI128*VLOOKUP('Données projet'!$B$10,Paramètres!$A$1:$I$89,3,0)*VLOOKUP('Données projet'!$B$10,Paramètres!$A$1:$I$89,5,0)</f>
        <v>502.59377999999987</v>
      </c>
      <c r="AK128" s="13">
        <f t="shared" si="89"/>
        <v>112.29166021692112</v>
      </c>
      <c r="AL128" s="20">
        <f t="shared" si="58"/>
        <v>1070.9254750444707</v>
      </c>
      <c r="AM128" s="59">
        <f t="shared" si="59"/>
        <v>1355.1054120595193</v>
      </c>
      <c r="AN128" s="59">
        <f ca="1">AVERAGE(OFFSET($AM$3,0,0,'Données projet'!$E$10+1,1))-AVERAGE(OFFSET($H$3,0,0,'Données projet'!$E$10+1,1))</f>
        <v>737.88151921331701</v>
      </c>
      <c r="AO128" s="59">
        <f t="shared" si="90"/>
        <v>270.70193491027487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132.11177843453925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132.11177843453925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67.503619185922346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4.45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16.316666666666666</v>
      </c>
      <c r="H129" s="66">
        <f t="shared" si="56"/>
        <v>191.4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189.55118397415424</v>
      </c>
      <c r="T129" s="59">
        <f t="shared" si="88"/>
        <v>456.28719984856014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9.5308481995524961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9.5308481995524961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10.186999999999994</v>
      </c>
      <c r="AI129" s="13">
        <f>IF('Données projet'!$A$62&gt;35,AI128+AH129-AQ128,IF(A129&lt;'Données projet'!$A$62,$AF$205^A129,IF(A129='Données projet'!$A$62,'Données projet'!$B$62,AI128+AH129-AQ128)))</f>
        <v>565.66199999999981</v>
      </c>
      <c r="AJ129" s="13">
        <f>AI129*VLOOKUP('Données projet'!$B$10,Paramètres!$A$1:$I$89,3,0)*VLOOKUP('Données projet'!$B$10,Paramètres!$A$1:$I$89,5,0)</f>
        <v>511.81097759999983</v>
      </c>
      <c r="AK129" s="13">
        <f t="shared" si="89"/>
        <v>114.10936916671025</v>
      </c>
      <c r="AL129" s="20">
        <f t="shared" si="58"/>
        <v>1090.1446039520199</v>
      </c>
      <c r="AM129" s="59">
        <f t="shared" si="59"/>
        <v>1374.4833319292622</v>
      </c>
      <c r="AN129" s="59">
        <f ca="1">AVERAGE(OFFSET($AM$3,0,0,'Données projet'!$E$10+1,1))-AVERAGE(OFFSET($H$3,0,0,'Données projet'!$E$10+1,1))</f>
        <v>737.88151921331701</v>
      </c>
      <c r="AO129" s="59">
        <f t="shared" si="90"/>
        <v>270.70193491027487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129.52114703966615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129.52114703966615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67.5469258119752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4.45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16.316666666666666</v>
      </c>
      <c r="H130" s="66">
        <f t="shared" si="56"/>
        <v>191.4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189.55118397415424</v>
      </c>
      <c r="T130" s="59">
        <f t="shared" si="88"/>
        <v>456.28719984856014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9.2702266543302088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9.2702266543302088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10.186999999999994</v>
      </c>
      <c r="AI130" s="13">
        <f>IF('Données projet'!$A$62&gt;35,AI129+AH130-AQ129,IF(A130&lt;'Données projet'!$A$62,$AF$205^A130,IF(A130='Données projet'!$A$62,'Données projet'!$B$62,AI129+AH130-AQ129)))</f>
        <v>575.84899999999982</v>
      </c>
      <c r="AJ130" s="13">
        <f>AI130*VLOOKUP('Données projet'!$B$10,Paramètres!$A$1:$I$89,3,0)*VLOOKUP('Données projet'!$B$10,Paramètres!$A$1:$I$89,5,0)</f>
        <v>521.02817519999985</v>
      </c>
      <c r="AK130" s="13">
        <f t="shared" si="89"/>
        <v>115.92327152449572</v>
      </c>
      <c r="AL130" s="20">
        <f t="shared" si="58"/>
        <v>1109.3571030451628</v>
      </c>
      <c r="AM130" s="59">
        <f t="shared" si="59"/>
        <v>1393.8518673164083</v>
      </c>
      <c r="AN130" s="59">
        <f ca="1">AVERAGE(OFFSET($AM$3,0,0,'Données projet'!$E$10+1,1))-AVERAGE(OFFSET($H$3,0,0,'Données projet'!$E$10+1,1))</f>
        <v>737.88151921331701</v>
      </c>
      <c r="AO130" s="59">
        <f t="shared" si="90"/>
        <v>270.70193491027487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126.98131634631737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126.98131634631737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67.589481164885143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4.45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16.316666666666666</v>
      </c>
      <c r="H131" s="66">
        <f t="shared" si="56"/>
        <v>191.4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189.55118397415424</v>
      </c>
      <c r="T131" s="59">
        <f t="shared" si="88"/>
        <v>456.28719984856014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9.0167318189675161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9.0167318189675161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10.186999999999994</v>
      </c>
      <c r="AI131" s="13">
        <f>IF('Données projet'!$A$62&gt;35,AI130+AH131-AQ130,IF(A131&lt;'Données projet'!$A$62,$AF$205^A131,IF(A131='Données projet'!$A$62,'Données projet'!$B$62,AI130+AH131-AQ130)))</f>
        <v>586.03599999999983</v>
      </c>
      <c r="AJ131" s="13">
        <f>AI131*VLOOKUP('Données projet'!$B$10,Paramètres!$A$1:$I$89,3,0)*VLOOKUP('Données projet'!$B$10,Paramètres!$A$1:$I$89,5,0)</f>
        <v>530.24537279999981</v>
      </c>
      <c r="AK131" s="13">
        <f t="shared" si="89"/>
        <v>117.73344239935948</v>
      </c>
      <c r="AL131" s="20">
        <f t="shared" si="58"/>
        <v>1128.5631031388839</v>
      </c>
      <c r="AM131" s="59">
        <f t="shared" si="59"/>
        <v>1413.2111968232766</v>
      </c>
      <c r="AN131" s="59">
        <f ca="1">AVERAGE(OFFSET($AM$3,0,0,'Données projet'!$E$10+1,1))-AVERAGE(OFFSET($H$3,0,0,'Données projet'!$E$10+1,1))</f>
        <v>737.88151921331701</v>
      </c>
      <c r="AO131" s="59">
        <f t="shared" si="90"/>
        <v>270.70193491027487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124.49129018372142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124.49129018372142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67.631298277561626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4.45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16.316666666666666</v>
      </c>
      <c r="H132" s="66">
        <f t="shared" ref="H132:H195" si="110">(B132+E132+F132)*44/12+(C132+D132)*0.475*44/12</f>
        <v>191.4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189.55118397415424</v>
      </c>
      <c r="T132" s="59">
        <f t="shared" si="88"/>
        <v>456.28719984856014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8.7701688132085316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8.7701688132085316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10.186999999999994</v>
      </c>
      <c r="AI132" s="13">
        <f>IF('Données projet'!$A$62&gt;35,AI131+AH132-AQ131,IF(A132&lt;'Données projet'!$A$62,$AF$205^A132,IF(A132='Données projet'!$A$62,'Données projet'!$B$62,AI131+AH132-AQ131)))</f>
        <v>596.22299999999984</v>
      </c>
      <c r="AJ132" s="13">
        <f>AI132*VLOOKUP('Données projet'!$B$10,Paramètres!$A$1:$I$89,3,0)*VLOOKUP('Données projet'!$B$10,Paramètres!$A$1:$I$89,5,0)</f>
        <v>539.46257039999989</v>
      </c>
      <c r="AK132" s="13">
        <f t="shared" si="89"/>
        <v>119.53995413956184</v>
      </c>
      <c r="AL132" s="20">
        <f t="shared" ref="AL132:AL153" si="112">(AJ132+AK132)*0.475*44/12</f>
        <v>1147.7627302397366</v>
      </c>
      <c r="AM132" s="59">
        <f t="shared" ref="AM132:AM195" si="113">AL132+(AD132+AE132)*44/12</f>
        <v>1432.5614934147513</v>
      </c>
      <c r="AN132" s="59">
        <f ca="1">AVERAGE(OFFSET($AM$3,0,0,'Données projet'!$E$10+1,1))-AVERAGE(OFFSET($H$3,0,0,'Données projet'!$E$10+1,1))</f>
        <v>737.88151921331701</v>
      </c>
      <c r="AO132" s="59">
        <f t="shared" si="90"/>
        <v>270.70193491027487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122.05009191540798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122.05009191540798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67.672389956822229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4.45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16.316666666666666</v>
      </c>
      <c r="H133" s="66">
        <f t="shared" si="110"/>
        <v>191.4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189.55118397415424</v>
      </c>
      <c r="T133" s="59">
        <f t="shared" ref="T133:T196" si="142">$T$3</f>
        <v>456.28719984856014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8.5303480858082104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8.5303480858082104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606.41</v>
      </c>
      <c r="AG133" s="12">
        <f>VLOOKUP(A133,'Données projet'!$A$61:$I$81,9,0)</f>
        <v>10.186999999999994</v>
      </c>
      <c r="AH133" s="12">
        <f t="array" ref="AH133">INDEX(AG:AG,MIN(IF(ISNUMBER(AG133:AG329),ROW(AG133:AG329),"")))</f>
        <v>10.186999999999994</v>
      </c>
      <c r="AI133" s="13">
        <f>IF('Données projet'!$A$62&gt;35,AI132+AH133-AQ132,IF(A133&lt;'Données projet'!$A$62,$AF$205^A133,IF(A133='Données projet'!$A$62,'Données projet'!$B$62,AI132+AH133-AQ132)))</f>
        <v>606.40999999999985</v>
      </c>
      <c r="AJ133" s="13">
        <f>AI133*VLOOKUP('Données projet'!$B$10,Paramètres!$A$1:$I$89,3,0)*VLOOKUP('Données projet'!$B$10,Paramètres!$A$1:$I$89,5,0)</f>
        <v>548.67976799999985</v>
      </c>
      <c r="AK133" s="13">
        <f t="shared" ref="AK133:AK153" si="143">EXP(-1.0587+0.8836*LN(AJ133)+0.284)</f>
        <v>121.34287647942783</v>
      </c>
      <c r="AL133" s="20">
        <f t="shared" si="112"/>
        <v>1166.9561058016695</v>
      </c>
      <c r="AM133" s="59">
        <f t="shared" si="113"/>
        <v>1451.9029246884907</v>
      </c>
      <c r="AN133" s="59">
        <f ca="1">AVERAGE(OFFSET($AM$3,0,0,'Données projet'!$E$10+1,1))-AVERAGE(OFFSET($H$3,0,0,'Données projet'!$E$10+1,1))</f>
        <v>737.88151921331701</v>
      </c>
      <c r="AO133" s="59">
        <f t="shared" ref="AO133:AO196" si="144">$AO$3</f>
        <v>270.70193491027487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69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149.33357627039217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149.33357627039217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67.712768787314886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4.45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16.316666666666666</v>
      </c>
      <c r="H134" s="66">
        <f t="shared" si="110"/>
        <v>191.4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189.55118397415424</v>
      </c>
      <c r="T134" s="59">
        <f t="shared" si="142"/>
        <v>456.28719984856014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8.2970852688102745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8.2970852688102745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10.163999999999998</v>
      </c>
      <c r="AI134" s="13">
        <f>IF('Données projet'!$A$62&gt;35,AI133+AH134-AQ133,IF(A134&lt;'Données projet'!$A$62,$AF$205^A134,IF(A134='Données projet'!$A$62,'Données projet'!$B$62,AI133+AH134-AQ133)))</f>
        <v>547.57399999999984</v>
      </c>
      <c r="AJ134" s="13">
        <f>AI134*VLOOKUP('Données projet'!$B$10,Paramètres!$A$1:$I$89,3,0)*VLOOKUP('Données projet'!$B$10,Paramètres!$A$1:$I$89,5,0)</f>
        <v>495.44495519999981</v>
      </c>
      <c r="AK134" s="13">
        <f t="shared" si="143"/>
        <v>110.87918107650623</v>
      </c>
      <c r="AL134" s="20">
        <f t="shared" si="112"/>
        <v>1056.0145373482478</v>
      </c>
      <c r="AM134" s="59">
        <f t="shared" si="113"/>
        <v>1341.1068435112786</v>
      </c>
      <c r="AN134" s="59">
        <f ca="1">AVERAGE(OFFSET($AM$3,0,0,'Données projet'!$E$10+1,1))-AVERAGE(OFFSET($H$3,0,0,'Données projet'!$E$10+1,1))</f>
        <v>737.88151921331701</v>
      </c>
      <c r="AO134" s="59">
        <f t="shared" si="144"/>
        <v>270.70193491027487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146.40523592421746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146.40523592421746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67.752447135372037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4.45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16.316666666666666</v>
      </c>
      <c r="H135" s="66">
        <f t="shared" si="110"/>
        <v>191.4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189.55118397415424</v>
      </c>
      <c r="T135" s="59">
        <f t="shared" si="142"/>
        <v>456.28719984856014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8.070201035809907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8.070201035809907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10.163999999999998</v>
      </c>
      <c r="AI135" s="13">
        <f>IF('Données projet'!$A$62&gt;35,AI134+AH135-AQ134,IF(A135&lt;'Données projet'!$A$62,$AF$205^A135,IF(A135='Données projet'!$A$62,'Données projet'!$B$62,AI134+AH135-AQ134)))</f>
        <v>557.73799999999983</v>
      </c>
      <c r="AJ135" s="13">
        <f>AI135*VLOOKUP('Données projet'!$B$10,Paramètres!$A$1:$I$89,3,0)*VLOOKUP('Données projet'!$B$10,Paramètres!$A$1:$I$89,5,0)</f>
        <v>504.64134239999987</v>
      </c>
      <c r="AK135" s="13">
        <f t="shared" si="143"/>
        <v>112.69578958899113</v>
      </c>
      <c r="AL135" s="20">
        <f t="shared" si="112"/>
        <v>1075.1955048808261</v>
      </c>
      <c r="AM135" s="59">
        <f t="shared" si="113"/>
        <v>1360.4307744410851</v>
      </c>
      <c r="AN135" s="59">
        <f ca="1">AVERAGE(OFFSET($AM$3,0,0,'Données projet'!$E$10+1,1))-AVERAGE(OFFSET($H$3,0,0,'Données projet'!$E$10+1,1))</f>
        <v>737.88151921331701</v>
      </c>
      <c r="AO135" s="59">
        <f t="shared" si="144"/>
        <v>270.70193491027487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143.53431854612001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143.53431854612001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67.791437152797883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4.45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16.316666666666666</v>
      </c>
      <c r="H136" s="66">
        <f t="shared" si="110"/>
        <v>191.4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189.55118397415424</v>
      </c>
      <c r="T136" s="59">
        <f t="shared" si="142"/>
        <v>456.28719984856014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7.8495209640922576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7.8495209640922576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10.163999999999998</v>
      </c>
      <c r="AI136" s="13">
        <f>IF('Données projet'!$A$62&gt;35,AI135+AH136-AQ135,IF(A136&lt;'Données projet'!$A$62,$AF$205^A136,IF(A136='Données projet'!$A$62,'Données projet'!$B$62,AI135+AH136-AQ135)))</f>
        <v>567.90199999999982</v>
      </c>
      <c r="AJ136" s="13">
        <f>AI136*VLOOKUP('Données projet'!$B$10,Paramètres!$A$1:$I$89,3,0)*VLOOKUP('Données projet'!$B$10,Paramètres!$A$1:$I$89,5,0)</f>
        <v>513.83772959999976</v>
      </c>
      <c r="AK136" s="13">
        <f t="shared" si="143"/>
        <v>114.5085485190572</v>
      </c>
      <c r="AL136" s="20">
        <f t="shared" si="112"/>
        <v>1094.3697677240241</v>
      </c>
      <c r="AM136" s="59">
        <f t="shared" si="113"/>
        <v>1379.7455205861875</v>
      </c>
      <c r="AN136" s="59">
        <f ca="1">AVERAGE(OFFSET($AM$3,0,0,'Données projet'!$E$10+1,1))-AVERAGE(OFFSET($H$3,0,0,'Données projet'!$E$10+1,1))</f>
        <v>737.88151921331701</v>
      </c>
      <c r="AO136" s="59">
        <f t="shared" si="144"/>
        <v>270.70193491027487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140.71969810672033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140.71969810672033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67.829750780590018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4.45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16.316666666666666</v>
      </c>
      <c r="H137" s="66">
        <f t="shared" si="110"/>
        <v>191.4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189.55118397415424</v>
      </c>
      <c r="T137" s="59">
        <f t="shared" si="142"/>
        <v>456.28719984856014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7.6348754005407873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7.6348754005407873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10.163999999999998</v>
      </c>
      <c r="AI137" s="13">
        <f>IF('Données projet'!$A$62&gt;35,AI136+AH137-AQ136,IF(A137&lt;'Données projet'!$A$62,$AF$205^A137,IF(A137='Données projet'!$A$62,'Données projet'!$B$62,AI136+AH137-AQ136)))</f>
        <v>578.0659999999998</v>
      </c>
      <c r="AJ137" s="13">
        <f>AI137*VLOOKUP('Données projet'!$B$10,Paramètres!$A$1:$I$89,3,0)*VLOOKUP('Données projet'!$B$10,Paramètres!$A$1:$I$89,5,0)</f>
        <v>523.03411679999988</v>
      </c>
      <c r="AK137" s="13">
        <f t="shared" si="143"/>
        <v>116.31753471233222</v>
      </c>
      <c r="AL137" s="20">
        <f t="shared" si="112"/>
        <v>1113.5374597173118</v>
      </c>
      <c r="AM137" s="59">
        <f t="shared" si="113"/>
        <v>1399.0512588101651</v>
      </c>
      <c r="AN137" s="59">
        <f ca="1">AVERAGE(OFFSET($AM$3,0,0,'Données projet'!$E$10+1,1))-AVERAGE(OFFSET($H$3,0,0,'Données projet'!$E$10+1,1))</f>
        <v>737.88151921331701</v>
      </c>
      <c r="AO137" s="59">
        <f t="shared" si="144"/>
        <v>270.70193491027487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137.96027065738832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137.96027065738832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67.867399752596398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4.45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16.316666666666666</v>
      </c>
      <c r="H138" s="66">
        <f t="shared" si="110"/>
        <v>191.4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189.55118397415424</v>
      </c>
      <c r="T138" s="59">
        <f t="shared" si="142"/>
        <v>456.28719984856014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7.4260993312123516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7.4260993312123516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10.163999999999998</v>
      </c>
      <c r="AI138" s="13">
        <f>IF('Données projet'!$A$62&gt;35,AI137+AH138-AQ137,IF(A138&lt;'Données projet'!$A$62,$AF$205^A138,IF(A138='Données projet'!$A$62,'Données projet'!$B$62,AI137+AH138-AQ137)))</f>
        <v>588.22999999999979</v>
      </c>
      <c r="AJ138" s="13">
        <f>AI138*VLOOKUP('Données projet'!$B$10,Paramètres!$A$1:$I$89,3,0)*VLOOKUP('Données projet'!$B$10,Paramètres!$A$1:$I$89,5,0)</f>
        <v>532.23050399999977</v>
      </c>
      <c r="AK138" s="13">
        <f t="shared" si="143"/>
        <v>118.12282215733531</v>
      </c>
      <c r="AL138" s="20">
        <f t="shared" si="112"/>
        <v>1132.6987097240253</v>
      </c>
      <c r="AM138" s="59">
        <f t="shared" si="113"/>
        <v>1418.3481602540915</v>
      </c>
      <c r="AN138" s="59">
        <f ca="1">AVERAGE(OFFSET($AM$3,0,0,'Données projet'!$E$10+1,1))-AVERAGE(OFFSET($H$3,0,0,'Données projet'!$E$10+1,1))</f>
        <v>737.88151921331701</v>
      </c>
      <c r="AO138" s="59">
        <f t="shared" si="144"/>
        <v>270.70193491027487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135.25495389725316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135.25495389725316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67.904395599108966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4.45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16.316666666666666</v>
      </c>
      <c r="H139" s="66">
        <f t="shared" si="110"/>
        <v>191.4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189.55118397415424</v>
      </c>
      <c r="T139" s="59">
        <f t="shared" si="142"/>
        <v>456.28719984856014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7.2230322544787589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7.2230322544787589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10.163999999999998</v>
      </c>
      <c r="AI139" s="13">
        <f>IF('Données projet'!$A$62&gt;35,AI138+AH139-AQ138,IF(A139&lt;'Données projet'!$A$62,$AF$205^A139,IF(A139='Données projet'!$A$62,'Données projet'!$B$62,AI138+AH139-AQ138)))</f>
        <v>598.39399999999978</v>
      </c>
      <c r="AJ139" s="13">
        <f>AI139*VLOOKUP('Données projet'!$B$10,Paramètres!$A$1:$I$89,3,0)*VLOOKUP('Données projet'!$B$10,Paramètres!$A$1:$I$89,5,0)</f>
        <v>541.42689119999977</v>
      </c>
      <c r="AK139" s="13">
        <f t="shared" si="143"/>
        <v>119.92448213920237</v>
      </c>
      <c r="AL139" s="20">
        <f t="shared" si="112"/>
        <v>1151.8536418991105</v>
      </c>
      <c r="AM139" s="59">
        <f t="shared" si="113"/>
        <v>1437.6363906172251</v>
      </c>
      <c r="AN139" s="59">
        <f ca="1">AVERAGE(OFFSET($AM$3,0,0,'Données projet'!$E$10+1,1))-AVERAGE(OFFSET($H$3,0,0,'Données projet'!$E$10+1,1))</f>
        <v>737.88151921331701</v>
      </c>
      <c r="AO139" s="59">
        <f t="shared" si="144"/>
        <v>270.70193491027487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132.60268674870397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132.60268674870397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67.940749650394864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4.45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16.316666666666666</v>
      </c>
      <c r="H140" s="66">
        <f t="shared" si="110"/>
        <v>191.4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189.55118397415424</v>
      </c>
      <c r="T140" s="59">
        <f t="shared" si="142"/>
        <v>456.28719984856014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7.0255180576372798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7.0255180576372798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10.163999999999998</v>
      </c>
      <c r="AI140" s="13">
        <f>IF('Données projet'!$A$62&gt;35,AI139+AH140-AQ139,IF(A140&lt;'Données projet'!$A$62,$AF$205^A140,IF(A140='Données projet'!$A$62,'Données projet'!$B$62,AI139+AH140-AQ139)))</f>
        <v>608.55799999999977</v>
      </c>
      <c r="AJ140" s="13">
        <f>AI140*VLOOKUP('Données projet'!$B$10,Paramètres!$A$1:$I$89,3,0)*VLOOKUP('Données projet'!$B$10,Paramètres!$A$1:$I$89,5,0)</f>
        <v>550.62327839999978</v>
      </c>
      <c r="AK140" s="13">
        <f t="shared" si="143"/>
        <v>121.72258338267243</v>
      </c>
      <c r="AL140" s="20">
        <f t="shared" si="112"/>
        <v>1171.0023759381538</v>
      </c>
      <c r="AM140" s="59">
        <f t="shared" si="113"/>
        <v>1456.916110418764</v>
      </c>
      <c r="AN140" s="59">
        <f ca="1">AVERAGE(OFFSET($AM$3,0,0,'Données projet'!$E$10+1,1))-AVERAGE(OFFSET($H$3,0,0,'Données projet'!$E$10+1,1))</f>
        <v>737.88151921331701</v>
      </c>
      <c r="AO140" s="59">
        <f t="shared" si="144"/>
        <v>270.70193491027487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130.00242894121459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130.00242894121459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67.976473040166425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4.45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16.316666666666666</v>
      </c>
      <c r="H141" s="66">
        <f t="shared" si="110"/>
        <v>191.4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189.55118397415424</v>
      </c>
      <c r="T141" s="59">
        <f t="shared" si="142"/>
        <v>456.28719984856014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6.8334048968952503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6.8334048968952503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10.163999999999998</v>
      </c>
      <c r="AI141" s="13">
        <f>IF('Données projet'!$A$62&gt;35,AI140+AH141-AQ140,IF(A141&lt;'Données projet'!$A$62,$AF$205^A141,IF(A141='Données projet'!$A$62,'Données projet'!$B$62,AI140+AH141-AQ140)))</f>
        <v>618.72199999999975</v>
      </c>
      <c r="AJ141" s="13">
        <f>AI141*VLOOKUP('Données projet'!$B$10,Paramètres!$A$1:$I$89,3,0)*VLOOKUP('Données projet'!$B$10,Paramètres!$A$1:$I$89,5,0)</f>
        <v>559.81966559999978</v>
      </c>
      <c r="AK141" s="13">
        <f t="shared" si="143"/>
        <v>123.5171921852493</v>
      </c>
      <c r="AL141" s="20">
        <f t="shared" si="112"/>
        <v>1190.1450273093087</v>
      </c>
      <c r="AM141" s="59">
        <f t="shared" si="113"/>
        <v>1476.1874752422757</v>
      </c>
      <c r="AN141" s="59">
        <f ca="1">AVERAGE(OFFSET($AM$3,0,0,'Données projet'!$E$10+1,1))-AVERAGE(OFFSET($H$3,0,0,'Données projet'!$E$10+1,1))</f>
        <v>737.88151921331701</v>
      </c>
      <c r="AO141" s="59">
        <f t="shared" si="144"/>
        <v>270.70193491027487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127.45316060332942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127.45316060332942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68.011576708990987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4.45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16.316666666666666</v>
      </c>
      <c r="H142" s="66">
        <f t="shared" si="110"/>
        <v>191.4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189.55118397415424</v>
      </c>
      <c r="T142" s="59">
        <f t="shared" si="142"/>
        <v>456.28719984856014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6.6465450806365043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6.6465450806365043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10.163999999999998</v>
      </c>
      <c r="AI142" s="13">
        <f>IF('Données projet'!$A$62&gt;35,AI141+AH142-AQ141,IF(A142&lt;'Données projet'!$A$62,$AF$205^A142,IF(A142='Données projet'!$A$62,'Données projet'!$B$62,AI141+AH142-AQ141)))</f>
        <v>628.88599999999974</v>
      </c>
      <c r="AJ142" s="13">
        <f>AI142*VLOOKUP('Données projet'!$B$10,Paramètres!$A$1:$I$89,3,0)*VLOOKUP('Données projet'!$B$10,Paramètres!$A$1:$I$89,5,0)</f>
        <v>569.01605279999967</v>
      </c>
      <c r="AK142" s="13">
        <f t="shared" si="143"/>
        <v>125.30837254136628</v>
      </c>
      <c r="AL142" s="20">
        <f t="shared" si="112"/>
        <v>1209.2817074695456</v>
      </c>
      <c r="AM142" s="59">
        <f t="shared" si="113"/>
        <v>1495.450635964231</v>
      </c>
      <c r="AN142" s="59">
        <f ca="1">AVERAGE(OFFSET($AM$3,0,0,'Données projet'!$E$10+1,1))-AVERAGE(OFFSET($H$3,0,0,'Données projet'!$E$10+1,1))</f>
        <v>737.88151921331701</v>
      </c>
      <c r="AO142" s="59">
        <f t="shared" si="144"/>
        <v>270.70193491027487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124.95388186265004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124.95388186265004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68.046071407641492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4.45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16.316666666666666</v>
      </c>
      <c r="H143" s="66">
        <f t="shared" si="110"/>
        <v>191.4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189.55118397415424</v>
      </c>
      <c r="T143" s="59">
        <f t="shared" si="142"/>
        <v>456.28719984856014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6.4647949558798841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6.4647949558798841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639.04999999999995</v>
      </c>
      <c r="AG143" s="12">
        <f>VLOOKUP(A143,'Données projet'!$A$61:$I$81,9,0)</f>
        <v>10.163999999999998</v>
      </c>
      <c r="AH143" s="12">
        <f t="array" ref="AH143">INDEX(AG:AG,MIN(IF(ISNUMBER(AG143:AG339),ROW(AG143:AG339),"")))</f>
        <v>10.163999999999998</v>
      </c>
      <c r="AI143" s="13">
        <f>IF('Données projet'!$A$62&gt;35,AI142+AH143-AQ142,IF(A143&lt;'Données projet'!$A$62,$AF$205^A143,IF(A143='Données projet'!$A$62,'Données projet'!$B$62,AI142+AH143-AQ142)))</f>
        <v>639.04999999999973</v>
      </c>
      <c r="AJ143" s="13">
        <f>AI143*VLOOKUP('Données projet'!$B$10,Paramètres!$A$1:$I$89,3,0)*VLOOKUP('Données projet'!$B$10,Paramètres!$A$1:$I$89,5,0)</f>
        <v>578.21243999999979</v>
      </c>
      <c r="AK143" s="13">
        <f t="shared" si="143"/>
        <v>127.09618625829569</v>
      </c>
      <c r="AL143" s="20">
        <f t="shared" si="112"/>
        <v>1228.4125240665314</v>
      </c>
      <c r="AM143" s="59">
        <f t="shared" si="113"/>
        <v>1514.7057389679578</v>
      </c>
      <c r="AN143" s="59">
        <f ca="1">AVERAGE(OFFSET($AM$3,0,0,'Données projet'!$E$10+1,1))-AVERAGE(OFFSET($H$3,0,0,'Données projet'!$E$10+1,1))</f>
        <v>737.88151921331701</v>
      </c>
      <c r="AO143" s="59">
        <f t="shared" si="144"/>
        <v>270.70193491027487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67.930000000000007</v>
      </c>
      <c r="AR143" s="16">
        <f>IF(ISNA(VLOOKUP(A143,'Données projet'!$A$61:$I$81,5,0)),0%,VLOOKUP(A143,'Données projet'!$A$61:$I$81,5,0)*VLOOKUP('Données projet'!$B$10,Paramètres!$A$1:$I$89,7,0))</f>
        <v>0.43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151.7202190292212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151.7202190292212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68.079967700389005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4.45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16.316666666666666</v>
      </c>
      <c r="H144" s="66">
        <f t="shared" si="110"/>
        <v>191.4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189.55118397415424</v>
      </c>
      <c r="T144" s="59">
        <f t="shared" si="142"/>
        <v>456.28719984856014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6.2880147978425578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6.2880147978425578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10.201000000000011</v>
      </c>
      <c r="AI144" s="13">
        <f>IF('Données projet'!$A$62&gt;35,AI143+AH144-AQ143,IF(A144&lt;'Données projet'!$A$62,$AF$205^A144,IF(A144='Données projet'!$A$62,'Données projet'!$B$62,AI143+AH144-AQ143)))</f>
        <v>581.32099999999969</v>
      </c>
      <c r="AJ144" s="13">
        <f>AI144*VLOOKUP('Données projet'!$B$10,Paramètres!$A$1:$I$89,3,0)*VLOOKUP('Données projet'!$B$10,Paramètres!$A$1:$I$89,5,0)</f>
        <v>525.97924079999962</v>
      </c>
      <c r="AK144" s="13">
        <f t="shared" si="143"/>
        <v>116.89607340782435</v>
      </c>
      <c r="AL144" s="20">
        <f t="shared" si="112"/>
        <v>1119.6745055786266</v>
      </c>
      <c r="AM144" s="59">
        <f t="shared" si="113"/>
        <v>1406.0898507954996</v>
      </c>
      <c r="AN144" s="59">
        <f ca="1">AVERAGE(OFFSET($AM$3,0,0,'Données projet'!$E$10+1,1))-AVERAGE(OFFSET($H$3,0,0,'Données projet'!$E$10+1,1))</f>
        <v>737.88151921331701</v>
      </c>
      <c r="AO144" s="59">
        <f t="shared" si="144"/>
        <v>270.70193491027487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148.7450780742542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148.7450780742542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68.113275968238099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4.45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16.316666666666666</v>
      </c>
      <c r="H145" s="66">
        <f t="shared" si="110"/>
        <v>191.4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189.55118397415424</v>
      </c>
      <c r="T145" s="59">
        <f t="shared" si="142"/>
        <v>456.28719984856014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6.1160687025232265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6.1160687025232265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10.201000000000011</v>
      </c>
      <c r="AI145" s="13">
        <f>IF('Données projet'!$A$62&gt;35,AI144+AH145-AQ144,IF(A145&lt;'Données projet'!$A$62,$AF$205^A145,IF(A145='Données projet'!$A$62,'Données projet'!$B$62,AI144+AH145-AQ144)))</f>
        <v>591.52199999999971</v>
      </c>
      <c r="AJ145" s="13">
        <f>AI145*VLOOKUP('Données projet'!$B$10,Paramètres!$A$1:$I$89,3,0)*VLOOKUP('Données projet'!$B$10,Paramètres!$A$1:$I$89,5,0)</f>
        <v>535.2091055999997</v>
      </c>
      <c r="AK145" s="13">
        <f t="shared" si="143"/>
        <v>118.70675243343008</v>
      </c>
      <c r="AL145" s="20">
        <f t="shared" si="112"/>
        <v>1138.9034527415567</v>
      </c>
      <c r="AM145" s="59">
        <f t="shared" si="113"/>
        <v>1425.438809585946</v>
      </c>
      <c r="AN145" s="59">
        <f ca="1">AVERAGE(OFFSET($AM$3,0,0,'Données projet'!$E$10+1,1))-AVERAGE(OFFSET($H$3,0,0,'Données projet'!$E$10+1,1))</f>
        <v>737.88151921331701</v>
      </c>
      <c r="AO145" s="59">
        <f t="shared" si="144"/>
        <v>270.70193491027487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145.8282778187573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145.8282778187573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68.146006412106161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4.45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16.316666666666666</v>
      </c>
      <c r="H146" s="66">
        <f t="shared" si="110"/>
        <v>191.4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189.55118397415424</v>
      </c>
      <c r="T146" s="59">
        <f t="shared" si="142"/>
        <v>456.28719984856014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5.9488244822226539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5.9488244822226539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10.201000000000011</v>
      </c>
      <c r="AI146" s="13">
        <f>IF('Données projet'!$A$62&gt;35,AI145+AH146-AQ145,IF(A146&lt;'Données projet'!$A$62,$AF$205^A146,IF(A146='Données projet'!$A$62,'Données projet'!$B$62,AI145+AH146-AQ145)))</f>
        <v>601.72299999999973</v>
      </c>
      <c r="AJ146" s="13">
        <f>AI146*VLOOKUP('Données projet'!$B$10,Paramètres!$A$1:$I$89,3,0)*VLOOKUP('Données projet'!$B$10,Paramètres!$A$1:$I$89,5,0)</f>
        <v>544.43897039999968</v>
      </c>
      <c r="AK146" s="13">
        <f t="shared" si="143"/>
        <v>120.51380023339244</v>
      </c>
      <c r="AL146" s="20">
        <f t="shared" si="112"/>
        <v>1158.1260755198246</v>
      </c>
      <c r="AM146" s="59">
        <f t="shared" si="113"/>
        <v>1444.7793620582984</v>
      </c>
      <c r="AN146" s="59">
        <f ca="1">AVERAGE(OFFSET($AM$3,0,0,'Données projet'!$E$10+1,1))-AVERAGE(OFFSET($H$3,0,0,'Données projet'!$E$10+1,1))</f>
        <v>737.88151921331701</v>
      </c>
      <c r="AO146" s="59">
        <f t="shared" si="144"/>
        <v>270.70193491027487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142.9686742371982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142.9686742371982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68.178169055947407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4.45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16.316666666666666</v>
      </c>
      <c r="H147" s="66">
        <f t="shared" si="110"/>
        <v>191.4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189.55118397415424</v>
      </c>
      <c r="T147" s="59">
        <f t="shared" si="142"/>
        <v>456.28719984856014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5.7861535639211921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5.7861535639211921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10.201000000000011</v>
      </c>
      <c r="AI147" s="13">
        <f>IF('Données projet'!$A$62&gt;35,AI146+AH147-AQ146,IF(A147&lt;'Données projet'!$A$62,$AF$205^A147,IF(A147='Données projet'!$A$62,'Données projet'!$B$62,AI146+AH147-AQ146)))</f>
        <v>611.92399999999975</v>
      </c>
      <c r="AJ147" s="13">
        <f>AI147*VLOOKUP('Données projet'!$B$10,Paramètres!$A$1:$I$89,3,0)*VLOOKUP('Données projet'!$B$10,Paramètres!$A$1:$I$89,5,0)</f>
        <v>553.66883519999976</v>
      </c>
      <c r="AK147" s="13">
        <f t="shared" si="143"/>
        <v>122.31728547227995</v>
      </c>
      <c r="AL147" s="20">
        <f t="shared" si="112"/>
        <v>1177.3424935042206</v>
      </c>
      <c r="AM147" s="59">
        <f t="shared" si="113"/>
        <v>1464.1116639202378</v>
      </c>
      <c r="AN147" s="59">
        <f ca="1">AVERAGE(OFFSET($AM$3,0,0,'Données projet'!$E$10+1,1))-AVERAGE(OFFSET($H$3,0,0,'Données projet'!$E$10+1,1))</f>
        <v>737.88151921331701</v>
      </c>
      <c r="AO147" s="59">
        <f t="shared" si="144"/>
        <v>270.70193491027487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140.16514573768751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140.16514573768751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68.209773749822915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4.45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16.316666666666666</v>
      </c>
      <c r="H148" s="66">
        <f t="shared" si="110"/>
        <v>191.4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189.55118397415424</v>
      </c>
      <c r="T148" s="59">
        <f t="shared" si="142"/>
        <v>456.28719984856014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5.6279308904351755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5.6279308904351755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10.201000000000011</v>
      </c>
      <c r="AI148" s="13">
        <f>IF('Données projet'!$A$62&gt;35,AI147+AH148-AQ147,IF(A148&lt;'Données projet'!$A$62,$AF$205^A148,IF(A148='Données projet'!$A$62,'Données projet'!$B$62,AI147+AH148-AQ147)))</f>
        <v>622.12499999999977</v>
      </c>
      <c r="AJ148" s="13">
        <f>AI148*VLOOKUP('Données projet'!$B$10,Paramètres!$A$1:$I$89,3,0)*VLOOKUP('Données projet'!$B$10,Paramètres!$A$1:$I$89,5,0)</f>
        <v>562.89869999999985</v>
      </c>
      <c r="AK148" s="13">
        <f t="shared" si="143"/>
        <v>124.11727439410858</v>
      </c>
      <c r="AL148" s="20">
        <f t="shared" si="112"/>
        <v>1196.5528220697386</v>
      </c>
      <c r="AM148" s="59">
        <f t="shared" si="113"/>
        <v>1483.4358660371015</v>
      </c>
      <c r="AN148" s="59">
        <f ca="1">AVERAGE(OFFSET($AM$3,0,0,'Données projet'!$E$10+1,1))-AVERAGE(OFFSET($H$3,0,0,'Données projet'!$E$10+1,1))</f>
        <v>737.88151921331701</v>
      </c>
      <c r="AO148" s="59">
        <f t="shared" si="144"/>
        <v>270.70193491027487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137.41659272206869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137.41659272206869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68.240830172917171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4.45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16.316666666666666</v>
      </c>
      <c r="H149" s="66">
        <f t="shared" si="110"/>
        <v>191.4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189.55118397415424</v>
      </c>
      <c r="T149" s="59">
        <f t="shared" si="142"/>
        <v>456.28719984856014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5.4740348242762025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5.4740348242762025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10.201000000000011</v>
      </c>
      <c r="AI149" s="13">
        <f>IF('Données projet'!$A$62&gt;35,AI148+AH149-AQ148,IF(A149&lt;'Données projet'!$A$62,$AF$205^A149,IF(A149='Données projet'!$A$62,'Données projet'!$B$62,AI148+AH149-AQ148)))</f>
        <v>632.32599999999979</v>
      </c>
      <c r="AJ149" s="13">
        <f>AI149*VLOOKUP('Données projet'!$B$10,Paramètres!$A$1:$I$89,3,0)*VLOOKUP('Données projet'!$B$10,Paramètres!$A$1:$I$89,5,0)</f>
        <v>572.12856479999982</v>
      </c>
      <c r="AK149" s="13">
        <f t="shared" si="143"/>
        <v>125.91383094593489</v>
      </c>
      <c r="AL149" s="20">
        <f t="shared" si="112"/>
        <v>1215.7571725908363</v>
      </c>
      <c r="AM149" s="59">
        <f t="shared" si="113"/>
        <v>1502.7521146580123</v>
      </c>
      <c r="AN149" s="59">
        <f ca="1">AVERAGE(OFFSET($AM$3,0,0,'Données projet'!$E$10+1,1))-AVERAGE(OFFSET($H$3,0,0,'Données projet'!$E$10+1,1))</f>
        <v>737.88151921331701</v>
      </c>
      <c r="AO149" s="59">
        <f t="shared" si="144"/>
        <v>270.70193491027487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134.72193715463436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134.72193715463436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68.271347836502528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4.45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16.316666666666666</v>
      </c>
      <c r="H150" s="66">
        <f t="shared" si="110"/>
        <v>191.4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189.55118397415424</v>
      </c>
      <c r="T150" s="59">
        <f t="shared" si="142"/>
        <v>456.28719984856014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5.3243470541393894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5.3243470541393894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10.201000000000011</v>
      </c>
      <c r="AI150" s="13">
        <f>IF('Données projet'!$A$62&gt;35,AI149+AH150-AQ149,IF(A150&lt;'Données projet'!$A$62,$AF$205^A150,IF(A150='Données projet'!$A$62,'Données projet'!$B$62,AI149+AH150-AQ149)))</f>
        <v>642.52699999999982</v>
      </c>
      <c r="AJ150" s="13">
        <f>AI150*VLOOKUP('Données projet'!$B$10,Paramètres!$A$1:$I$89,3,0)*VLOOKUP('Données projet'!$B$10,Paramètres!$A$1:$I$89,5,0)</f>
        <v>581.35842959999979</v>
      </c>
      <c r="AK150" s="13">
        <f t="shared" si="143"/>
        <v>127.70701689324794</v>
      </c>
      <c r="AL150" s="20">
        <f t="shared" si="112"/>
        <v>1234.9556526424064</v>
      </c>
      <c r="AM150" s="59">
        <f t="shared" si="113"/>
        <v>1522.0605516275302</v>
      </c>
      <c r="AN150" s="59">
        <f ca="1">AVERAGE(OFFSET($AM$3,0,0,'Données projet'!$E$10+1,1))-AVERAGE(OFFSET($H$3,0,0,'Données projet'!$E$10+1,1))</f>
        <v>737.88151921331701</v>
      </c>
      <c r="AO150" s="59">
        <f t="shared" si="144"/>
        <v>270.70193491027487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132.08012213929982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132.08012213929982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68.301336086851933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4.45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16.316666666666666</v>
      </c>
      <c r="H151" s="66">
        <f t="shared" si="110"/>
        <v>191.4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189.55118397415424</v>
      </c>
      <c r="T151" s="59">
        <f t="shared" si="142"/>
        <v>456.28719984856014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5.1787525039487052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5.1787525039487052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10.201000000000011</v>
      </c>
      <c r="AI151" s="13">
        <f>IF('Données projet'!$A$62&gt;35,AI150+AH151-AQ150,IF(A151&lt;'Données projet'!$A$62,$AF$205^A151,IF(A151='Données projet'!$A$62,'Données projet'!$B$62,AI150+AH151-AQ150)))</f>
        <v>652.72799999999984</v>
      </c>
      <c r="AJ151" s="13">
        <f>AI151*VLOOKUP('Données projet'!$B$10,Paramètres!$A$1:$I$89,3,0)*VLOOKUP('Données projet'!$B$10,Paramètres!$A$1:$I$89,5,0)</f>
        <v>590.58829439999988</v>
      </c>
      <c r="AK151" s="13">
        <f t="shared" si="143"/>
        <v>129.49689192782623</v>
      </c>
      <c r="AL151" s="20">
        <f t="shared" si="112"/>
        <v>1254.1483661876305</v>
      </c>
      <c r="AM151" s="59">
        <f t="shared" si="113"/>
        <v>1541.3613145840025</v>
      </c>
      <c r="AN151" s="59">
        <f ca="1">AVERAGE(OFFSET($AM$3,0,0,'Données projet'!$E$10+1,1))-AVERAGE(OFFSET($H$3,0,0,'Données projet'!$E$10+1,1))</f>
        <v>737.88151921331701</v>
      </c>
      <c r="AO151" s="59">
        <f t="shared" si="144"/>
        <v>270.70193491027487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129.49011150506792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129.49011150506792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68.330804108101475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4.45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16.316666666666666</v>
      </c>
      <c r="H152" s="66">
        <f t="shared" si="110"/>
        <v>191.4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189.55118397415424</v>
      </c>
      <c r="T152" s="59">
        <f t="shared" si="142"/>
        <v>456.28719984856014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5.0371392443894702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5.0371392443894702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10.201000000000011</v>
      </c>
      <c r="AI152" s="13">
        <f>IF('Données projet'!$A$62&gt;35,AI151+AH152-AQ151,IF(A152&lt;'Données projet'!$A$62,$AF$205^A152,IF(A152='Données projet'!$A$62,'Données projet'!$B$62,AI151+AH152-AQ151)))</f>
        <v>662.92899999999986</v>
      </c>
      <c r="AJ152" s="13">
        <f>AI152*VLOOKUP('Données projet'!$B$10,Paramètres!$A$1:$I$89,3,0)*VLOOKUP('Données projet'!$B$10,Paramètres!$A$1:$I$89,5,0)</f>
        <v>599.81815919999985</v>
      </c>
      <c r="AK152" s="13">
        <f t="shared" si="143"/>
        <v>131.28351376865865</v>
      </c>
      <c r="AL152" s="20">
        <f t="shared" si="112"/>
        <v>1273.3354137537467</v>
      </c>
      <c r="AM152" s="59">
        <f t="shared" si="113"/>
        <v>1560.6545371456441</v>
      </c>
      <c r="AN152" s="59">
        <f ca="1">AVERAGE(OFFSET($AM$3,0,0,'Données projet'!$E$10+1,1))-AVERAGE(OFFSET($H$3,0,0,'Données projet'!$E$10+1,1))</f>
        <v>737.88151921331701</v>
      </c>
      <c r="AO152" s="59">
        <f t="shared" si="144"/>
        <v>270.70193491027487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126.95088939962281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126.95088939962281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68.359760925062957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4.45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16.316666666666666</v>
      </c>
      <c r="H153" s="66">
        <f t="shared" si="110"/>
        <v>191.4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189.55118397415424</v>
      </c>
      <c r="T153" s="59">
        <f t="shared" si="142"/>
        <v>456.28719984856014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4.8993984068599996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4.8993984068599996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673.13</v>
      </c>
      <c r="AG153" s="12">
        <f>VLOOKUP(A153,'Données projet'!$A$61:$I$81,9,0)</f>
        <v>10.201000000000011</v>
      </c>
      <c r="AH153" s="12">
        <f t="array" ref="AH153">INDEX(AG:AG,MIN(IF(ISNUMBER(AG153:AG349),ROW(AG153:AG349),"")))</f>
        <v>10.201000000000011</v>
      </c>
      <c r="AI153" s="13">
        <f>IF('Données projet'!$A$62&gt;35,AI152+AH153-AQ152,IF(A153&lt;'Données projet'!$A$62,$AF$205^A153,IF(A153='Données projet'!$A$62,'Données projet'!$B$62,AI152+AH153-AQ152)))</f>
        <v>673.12999999999988</v>
      </c>
      <c r="AJ153" s="13">
        <f>AI153*VLOOKUP('Données projet'!$B$10,Paramètres!$A$1:$I$89,3,0)*VLOOKUP('Données projet'!$B$10,Paramètres!$A$1:$I$89,5,0)</f>
        <v>609.04802399999994</v>
      </c>
      <c r="AK153" s="13">
        <f t="shared" si="143"/>
        <v>133.06693825647992</v>
      </c>
      <c r="AL153" s="20">
        <f t="shared" si="112"/>
        <v>1292.5168925967025</v>
      </c>
      <c r="AM153" s="59">
        <f t="shared" si="113"/>
        <v>1579.9403490853249</v>
      </c>
      <c r="AN153" s="59">
        <f ca="1">AVERAGE(OFFSET($AM$3,0,0,'Données projet'!$E$10+1,1))-AVERAGE(OFFSET($H$3,0,0,'Données projet'!$E$10+1,1))</f>
        <v>737.88151921331701</v>
      </c>
      <c r="AO153" s="59">
        <f t="shared" si="144"/>
        <v>270.70193491027487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234.51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225.32391253381184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225.32391253381184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68.388215405987907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4.45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16.316666666666666</v>
      </c>
      <c r="H154" s="66">
        <f t="shared" si="110"/>
        <v>191.4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189.55118397415424</v>
      </c>
      <c r="T154" s="59">
        <f t="shared" si="142"/>
        <v>456.28719984856014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4.765424099776248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4.765424099776248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-1.216666666666659</v>
      </c>
      <c r="AI154" s="13">
        <f>IF('Données projet'!$A$62&gt;35,AI153+AH154-AQ153,IF(A154&lt;'Données projet'!$A$62,$AF$205^A154,IF(A154='Données projet'!$A$62,'Données projet'!$B$62,AI153+AH154-AQ153)))</f>
        <v>437.40333333333319</v>
      </c>
      <c r="AJ154" s="13">
        <f>AI154*VLOOKUP('Données projet'!$B$10,Paramètres!$A$1:$I$89,3,0)*VLOOKUP('Données projet'!$B$10,Paramètres!$A$1:$I$89,5,0)</f>
        <v>395.76253599999984</v>
      </c>
      <c r="AK154" s="13">
        <f t="shared" ref="AK154:AK203" si="164">EXP(-1.0587+0.8836*LN(AJ154)+0.284)</f>
        <v>90.917052658600085</v>
      </c>
      <c r="AL154" s="20">
        <f t="shared" ref="AL154:AL203" si="165">(AJ154+AK154)*0.475*44/12</f>
        <v>847.63361691372813</v>
      </c>
      <c r="AM154" s="59">
        <f t="shared" si="113"/>
        <v>1135.159596553101</v>
      </c>
      <c r="AN154" s="59">
        <f ca="1">AVERAGE(OFFSET($AM$3,0,0,'Données projet'!$E$10+1,1))-AVERAGE(OFFSET($H$3,0,0,'Données projet'!$E$10+1,1))</f>
        <v>737.88151921331701</v>
      </c>
      <c r="AO154" s="59">
        <f t="shared" si="144"/>
        <v>270.70193491027487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220.90544804303994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220.90544804303994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68.416176265283497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4.45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16.316666666666666</v>
      </c>
      <c r="H155" s="66">
        <f t="shared" si="110"/>
        <v>191.4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189.55118397415424</v>
      </c>
      <c r="T155" s="59">
        <f t="shared" si="142"/>
        <v>456.28719984856014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4.6351133271651044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4.6351133271651044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-1.216666666666659</v>
      </c>
      <c r="AI155" s="13">
        <f>IF('Données projet'!$A$62&gt;35,AI154+AH155-AQ154,IF(A155&lt;'Données projet'!$A$62,$AF$205^A155,IF(A155='Données projet'!$A$62,'Données projet'!$B$62,AI154+AH155-AQ154)))</f>
        <v>436.18666666666655</v>
      </c>
      <c r="AJ155" s="13">
        <f>AI155*VLOOKUP('Données projet'!$B$10,Paramètres!$A$1:$I$89,3,0)*VLOOKUP('Données projet'!$B$10,Paramètres!$A$1:$I$89,5,0)</f>
        <v>394.66169599999989</v>
      </c>
      <c r="AK155" s="13">
        <f t="shared" si="164"/>
        <v>90.693561189231957</v>
      </c>
      <c r="AL155" s="20">
        <f t="shared" si="165"/>
        <v>845.32707293791202</v>
      </c>
      <c r="AM155" s="59">
        <f t="shared" si="113"/>
        <v>1132.9537971805771</v>
      </c>
      <c r="AN155" s="59">
        <f ca="1">AVERAGE(OFFSET($AM$3,0,0,'Données projet'!$E$10+1,1))-AVERAGE(OFFSET($H$3,0,0,'Données projet'!$E$10+1,1))</f>
        <v>737.88151921331701</v>
      </c>
      <c r="AO155" s="59">
        <f t="shared" si="144"/>
        <v>270.70193491027487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216.57362694593485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216.57362694593485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68.443652066181414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4.45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16.316666666666666</v>
      </c>
      <c r="H156" s="66">
        <f t="shared" si="110"/>
        <v>191.4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189.55118397415424</v>
      </c>
      <c r="T156" s="59">
        <f t="shared" si="142"/>
        <v>456.28719984856014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4.508365909483758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4.508365909483758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434.97</v>
      </c>
      <c r="AG156" s="12">
        <f>VLOOKUP(A156,'Données projet'!$A$61:$I$81,9,0)</f>
        <v>-1.216666666666659</v>
      </c>
      <c r="AH156" s="12">
        <f t="array" ref="AH156">INDEX(AG:AG,MIN(IF(ISNUMBER(AG156:AG352),ROW(AG156:AG352),"")))</f>
        <v>-1.216666666666659</v>
      </c>
      <c r="AI156" s="13">
        <f>IF('Données projet'!$A$62&gt;35,AI155+AH156-AQ155,IF(A156&lt;'Données projet'!$A$62,$AF$205^A156,IF(A156='Données projet'!$A$62,'Données projet'!$B$62,AI155+AH156-AQ155)))</f>
        <v>434.96999999999991</v>
      </c>
      <c r="AJ156" s="13">
        <f>AI156*VLOOKUP('Données projet'!$B$10,Paramètres!$A$1:$I$89,3,0)*VLOOKUP('Données projet'!$B$10,Paramètres!$A$1:$I$89,5,0)</f>
        <v>393.56085599999994</v>
      </c>
      <c r="AK156" s="13">
        <f t="shared" si="164"/>
        <v>90.469997145329941</v>
      </c>
      <c r="AL156" s="20">
        <f t="shared" si="165"/>
        <v>843.02040256144949</v>
      </c>
      <c r="AM156" s="59">
        <f t="shared" si="113"/>
        <v>1130.7461237137711</v>
      </c>
      <c r="AN156" s="59">
        <f ca="1">AVERAGE(OFFSET($AM$3,0,0,'Données projet'!$E$10+1,1))-AVERAGE(OFFSET($H$3,0,0,'Données projet'!$E$10+1,1))</f>
        <v>737.88151921331701</v>
      </c>
      <c r="AO156" s="59">
        <f t="shared" si="144"/>
        <v>270.70193491027487</v>
      </c>
      <c r="AP156" s="15">
        <f>IF(ISNA(VLOOKUP(A156,'Données projet'!$A$61:$I$81,3,0)),0,VLOOKUP(A156,'Données projet'!$A$61:$I$81,3,0))</f>
        <v>15</v>
      </c>
      <c r="AQ156" s="15">
        <f>IF(ISNA(VLOOKUP(A156,'Données projet'!$A$61:$I$81,4,0)),0,VLOOKUP(A156,'Données projet'!$A$61:$I$81,4,0))</f>
        <v>141.22</v>
      </c>
      <c r="AR156" s="16">
        <f>IF(ISNA(VLOOKUP(A156,'Données projet'!$A$61:$I$81,5,0)),0%,VLOOKUP(A156,'Données projet'!$A$61:$I$81,5,0)*VLOOKUP('Données projet'!$B$10,Paramètres!$A$1:$I$89,7,0))</f>
        <v>0.43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273.06529255020507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273.06529255020507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68.470651223360463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4.45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16.316666666666666</v>
      </c>
      <c r="H157" s="66">
        <f t="shared" si="110"/>
        <v>191.4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189.55118397415424</v>
      </c>
      <c r="T157" s="59">
        <f t="shared" si="142"/>
        <v>456.28719984856014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4.3850844066042658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4.3850844066042658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-0.93999999999999773</v>
      </c>
      <c r="AI157" s="13">
        <f>IF('Données projet'!$A$62&gt;35,AI156+AH157-AQ156,IF(A157&lt;'Données projet'!$A$62,$AF$205^A157,IF(A157='Données projet'!$A$62,'Données projet'!$B$62,AI156+AH157-AQ156)))</f>
        <v>292.80999999999995</v>
      </c>
      <c r="AJ157" s="13">
        <f>AI157*VLOOKUP('Données projet'!$B$10,Paramètres!$A$1:$I$89,3,0)*VLOOKUP('Données projet'!$B$10,Paramètres!$A$1:$I$89,5,0)</f>
        <v>264.93448799999993</v>
      </c>
      <c r="AK157" s="13">
        <f t="shared" si="164"/>
        <v>63.7730576950527</v>
      </c>
      <c r="AL157" s="20">
        <f t="shared" si="165"/>
        <v>572.49897541888333</v>
      </c>
      <c r="AM157" s="59">
        <f t="shared" si="113"/>
        <v>860.32197610580283</v>
      </c>
      <c r="AN157" s="59">
        <f ca="1">AVERAGE(OFFSET($AM$3,0,0,'Données projet'!$E$10+1,1))-AVERAGE(OFFSET($H$3,0,0,'Données projet'!$E$10+1,1))</f>
        <v>737.88151921331701</v>
      </c>
      <c r="AO157" s="59">
        <f t="shared" si="144"/>
        <v>270.70193491027487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267.71064871667824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267.71064871667824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68.497182005523499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4.45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16.316666666666666</v>
      </c>
      <c r="H158" s="66">
        <f t="shared" si="110"/>
        <v>191.4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189.55118397415424</v>
      </c>
      <c r="T158" s="59">
        <f t="shared" si="142"/>
        <v>456.28719984856014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4.2651740429041052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4.2651740429041052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-0.93999999999999773</v>
      </c>
      <c r="AI158" s="13">
        <f>IF('Données projet'!$A$62&gt;35,AI157+AH158-AQ157,IF(A158&lt;'Données projet'!$A$62,$AF$205^A158,IF(A158='Données projet'!$A$62,'Données projet'!$B$62,AI157+AH158-AQ157)))</f>
        <v>291.86999999999995</v>
      </c>
      <c r="AJ158" s="13">
        <f>AI158*VLOOKUP('Données projet'!$B$10,Paramètres!$A$1:$I$89,3,0)*VLOOKUP('Données projet'!$B$10,Paramètres!$A$1:$I$89,5,0)</f>
        <v>264.08397599999995</v>
      </c>
      <c r="AK158" s="13">
        <f t="shared" si="164"/>
        <v>63.592125384717555</v>
      </c>
      <c r="AL158" s="20">
        <f t="shared" si="165"/>
        <v>570.7025432450497</v>
      </c>
      <c r="AM158" s="59">
        <f t="shared" si="113"/>
        <v>858.62113588412626</v>
      </c>
      <c r="AN158" s="59">
        <f ca="1">AVERAGE(OFFSET($AM$3,0,0,'Données projet'!$E$10+1,1))-AVERAGE(OFFSET($H$3,0,0,'Données projet'!$E$10+1,1))</f>
        <v>737.88151921331701</v>
      </c>
      <c r="AO158" s="59">
        <f t="shared" si="144"/>
        <v>270.70193491027487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262.46100618271663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262.46100618271663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68.523252537929977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4.45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16.316666666666666</v>
      </c>
      <c r="H159" s="66">
        <f t="shared" si="110"/>
        <v>191.4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189.55118397415424</v>
      </c>
      <c r="T159" s="59">
        <f t="shared" si="142"/>
        <v>456.28719984856014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4.1485426344051373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4.1485426344051373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290.93</v>
      </c>
      <c r="AG159" s="12">
        <f>VLOOKUP(A159,'Données projet'!$A$61:$I$81,9,0)</f>
        <v>-0.93999999999999773</v>
      </c>
      <c r="AH159" s="12">
        <f t="array" ref="AH159">INDEX(AG:AG,MIN(IF(ISNUMBER(AG159:AG355),ROW(AG159:AG355),"")))</f>
        <v>-0.93999999999999773</v>
      </c>
      <c r="AI159" s="13">
        <f>IF('Données projet'!$A$62&gt;35,AI158+AH159-AQ158,IF(A159&lt;'Données projet'!$A$62,$AF$205^A159,IF(A159='Données projet'!$A$62,'Données projet'!$B$62,AI158+AH159-AQ158)))</f>
        <v>290.92999999999995</v>
      </c>
      <c r="AJ159" s="13">
        <f>AI159*VLOOKUP('Données projet'!$B$10,Paramètres!$A$1:$I$89,3,0)*VLOOKUP('Données projet'!$B$10,Paramètres!$A$1:$I$89,5,0)</f>
        <v>263.23346399999997</v>
      </c>
      <c r="AK159" s="13">
        <f t="shared" si="164"/>
        <v>63.411125233778442</v>
      </c>
      <c r="AL159" s="20">
        <f t="shared" si="165"/>
        <v>568.90599291549734</v>
      </c>
      <c r="AM159" s="59">
        <f t="shared" si="113"/>
        <v>856.91851920007252</v>
      </c>
      <c r="AN159" s="59">
        <f ca="1">AVERAGE(OFFSET($AM$3,0,0,'Données projet'!$E$10+1,1))-AVERAGE(OFFSET($H$3,0,0,'Données projet'!$E$10+1,1))</f>
        <v>737.88151921331701</v>
      </c>
      <c r="AO159" s="59">
        <f t="shared" si="144"/>
        <v>270.70193491027487</v>
      </c>
      <c r="AP159" s="15">
        <f>IF(ISNA(VLOOKUP(A159,'Données projet'!$A$61:$I$81,3,0)),0,VLOOKUP(A159,'Données projet'!$A$61:$I$81,3,0))</f>
        <v>16</v>
      </c>
      <c r="AQ159" s="15">
        <f>IF(ISNA(VLOOKUP(A159,'Données projet'!$A$61:$I$81,4,0)),0,VLOOKUP(A159,'Données projet'!$A$61:$I$81,4,0))</f>
        <v>87.28</v>
      </c>
      <c r="AR159" s="16">
        <f>IF(ISNA(VLOOKUP(A159,'Données projet'!$A$61:$I$81,5,0)),0%,VLOOKUP(A159,'Données projet'!$A$61:$I$81,5,0)*VLOOKUP('Données projet'!$B$10,Paramètres!$A$1:$I$89,7,0))</f>
        <v>0.43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294.85332289425503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294.85332289425503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68.54887080488416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4.45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16.316666666666666</v>
      </c>
      <c r="H160" s="66">
        <f t="shared" si="110"/>
        <v>191.4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189.55118397415424</v>
      </c>
      <c r="T160" s="59">
        <f t="shared" si="142"/>
        <v>456.28719984856014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4.0351005179049535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4.0351005179049535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-0.7233333333333386</v>
      </c>
      <c r="AI160" s="13">
        <f>IF('Données projet'!$A$62&gt;35,AI159+AH160-AQ159,IF(A160&lt;'Données projet'!$A$62,$AF$205^A160,IF(A160='Données projet'!$A$62,'Données projet'!$B$62,AI159+AH160-AQ159)))</f>
        <v>202.92666666666659</v>
      </c>
      <c r="AJ160" s="13">
        <f>AI160*VLOOKUP('Données projet'!$B$10,Paramètres!$A$1:$I$89,3,0)*VLOOKUP('Données projet'!$B$10,Paramètres!$A$1:$I$89,5,0)</f>
        <v>183.60804799999991</v>
      </c>
      <c r="AK160" s="13">
        <f t="shared" si="164"/>
        <v>46.123980824578709</v>
      </c>
      <c r="AL160" s="20">
        <f t="shared" si="165"/>
        <v>400.1166168694744</v>
      </c>
      <c r="AM160" s="59">
        <f t="shared" si="113"/>
        <v>688.22144726080319</v>
      </c>
      <c r="AN160" s="59">
        <f ca="1">AVERAGE(OFFSET($AM$3,0,0,'Données projet'!$E$10+1,1))-AVERAGE(OFFSET($H$3,0,0,'Données projet'!$E$10+1,1))</f>
        <v>737.88151921331701</v>
      </c>
      <c r="AO160" s="59">
        <f t="shared" si="144"/>
        <v>270.70193491027487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289.07142907506767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289.07142907506767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68.574044652180575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4.45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16.316666666666666</v>
      </c>
      <c r="H161" s="66">
        <f t="shared" si="110"/>
        <v>191.4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189.55118397415424</v>
      </c>
      <c r="T161" s="59">
        <f t="shared" si="142"/>
        <v>456.28719984856014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3.9247604820461288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3.9247604820461288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-0.7233333333333386</v>
      </c>
      <c r="AI161" s="13">
        <f>IF('Données projet'!$A$62&gt;35,AI160+AH161-AQ160,IF(A161&lt;'Données projet'!$A$62,$AF$205^A161,IF(A161='Données projet'!$A$62,'Données projet'!$B$62,AI160+AH161-AQ160)))</f>
        <v>202.20333333333326</v>
      </c>
      <c r="AJ161" s="13">
        <f>AI161*VLOOKUP('Données projet'!$B$10,Paramètres!$A$1:$I$89,3,0)*VLOOKUP('Données projet'!$B$10,Paramètres!$A$1:$I$89,5,0)</f>
        <v>182.95357599999991</v>
      </c>
      <c r="AK161" s="13">
        <f t="shared" si="164"/>
        <v>45.978678669970051</v>
      </c>
      <c r="AL161" s="20">
        <f t="shared" si="165"/>
        <v>398.72367688353097</v>
      </c>
      <c r="AM161" s="59">
        <f t="shared" si="113"/>
        <v>686.91921011172212</v>
      </c>
      <c r="AN161" s="59">
        <f ca="1">AVERAGE(OFFSET($AM$3,0,0,'Données projet'!$E$10+1,1))-AVERAGE(OFFSET($H$3,0,0,'Données projet'!$E$10+1,1))</f>
        <v>737.88151921331701</v>
      </c>
      <c r="AO161" s="59">
        <f t="shared" si="144"/>
        <v>270.70193491027487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283.40291466706753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283.40291466706753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68.598781789506674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4.45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16.316666666666666</v>
      </c>
      <c r="H162" s="66">
        <f t="shared" si="110"/>
        <v>191.4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189.55118397415424</v>
      </c>
      <c r="T162" s="59">
        <f t="shared" si="142"/>
        <v>456.28719984856014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3.8174377002703936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3.8174377002703936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201.48</v>
      </c>
      <c r="AG162" s="12">
        <f>VLOOKUP(A162,'Données projet'!$A$61:$I$81,9,0)</f>
        <v>-0.7233333333333386</v>
      </c>
      <c r="AH162" s="12">
        <f t="array" ref="AH162">INDEX(AG:AG,MIN(IF(ISNUMBER(AG162:AG358),ROW(AG162:AG358),"")))</f>
        <v>-0.7233333333333386</v>
      </c>
      <c r="AI162" s="13">
        <f>IF('Données projet'!$A$62&gt;35,AI161+AH162-AQ161,IF(A162&lt;'Données projet'!$A$62,$AF$205^A162,IF(A162='Données projet'!$A$62,'Données projet'!$B$62,AI161+AH162-AQ161)))</f>
        <v>201.47999999999993</v>
      </c>
      <c r="AJ162" s="13">
        <f>AI162*VLOOKUP('Données projet'!$B$10,Paramètres!$A$1:$I$89,3,0)*VLOOKUP('Données projet'!$B$10,Paramètres!$A$1:$I$89,5,0)</f>
        <v>182.29910399999991</v>
      </c>
      <c r="AK162" s="13">
        <f t="shared" si="164"/>
        <v>45.833315999864332</v>
      </c>
      <c r="AL162" s="20">
        <f t="shared" si="165"/>
        <v>397.33063149976351</v>
      </c>
      <c r="AM162" s="59">
        <f t="shared" si="113"/>
        <v>685.61529407337866</v>
      </c>
      <c r="AN162" s="59">
        <f ca="1">AVERAGE(OFFSET($AM$3,0,0,'Données projet'!$E$10+1,1))-AVERAGE(OFFSET($H$3,0,0,'Données projet'!$E$10+1,1))</f>
        <v>737.88151921331701</v>
      </c>
      <c r="AO162" s="59">
        <f t="shared" si="144"/>
        <v>270.70193491027487</v>
      </c>
      <c r="AP162" s="15">
        <f>IF(ISNA(VLOOKUP(A162,'Données projet'!$A$61:$I$81,3,0)),0,VLOOKUP(A162,'Données projet'!$A$61:$I$81,3,0))</f>
        <v>17</v>
      </c>
      <c r="AQ162" s="15">
        <f>IF(ISNA(VLOOKUP(A162,'Données projet'!$A$61:$I$81,4,0)),0,VLOOKUP(A162,'Données projet'!$A$61:$I$81,4,0))</f>
        <v>180.6</v>
      </c>
      <c r="AR162" s="16">
        <f>IF(ISNA(VLOOKUP(A162,'Données projet'!$A$61:$I$81,5,0)),0%,VLOOKUP(A162,'Données projet'!$A$61:$I$81,5,0)*VLOOKUP('Données projet'!$B$10,Paramètres!$A$1:$I$89,7,0))</f>
        <v>0.43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355.52138659947087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355.52138659947087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68.623089792804109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4.45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16.316666666666666</v>
      </c>
      <c r="H163" s="66">
        <f t="shared" si="110"/>
        <v>191.4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189.55118397415424</v>
      </c>
      <c r="T163" s="59">
        <f t="shared" si="142"/>
        <v>456.28719984856014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3.7130496656061758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3.7130496656061758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20.879999999999939</v>
      </c>
      <c r="AJ163" s="13">
        <f>AI163*VLOOKUP('Données projet'!$B$10,Paramètres!$A$1:$I$89,3,0)*VLOOKUP('Données projet'!$B$10,Paramètres!$A$1:$I$89,5,0)</f>
        <v>18.892223999999942</v>
      </c>
      <c r="AK163" s="13">
        <f t="shared" si="164"/>
        <v>6.184089977612083</v>
      </c>
      <c r="AL163" s="20">
        <f t="shared" si="165"/>
        <v>43.674580177674272</v>
      </c>
      <c r="AM163" s="59">
        <f t="shared" si="113"/>
        <v>332.04682590183359</v>
      </c>
      <c r="AN163" s="59">
        <f ca="1">AVERAGE(OFFSET($AM$3,0,0,'Données projet'!$E$10+1,1))-AVERAGE(OFFSET($H$3,0,0,'Données projet'!$E$10+1,1))</f>
        <v>737.88151921331701</v>
      </c>
      <c r="AO163" s="59">
        <f t="shared" si="144"/>
        <v>270.70193491027487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348.54982905488924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348.54982905488924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68.646976106588909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4.45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16.316666666666666</v>
      </c>
      <c r="H164" s="66">
        <f t="shared" si="110"/>
        <v>191.4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189.55118397415424</v>
      </c>
      <c r="T164" s="59">
        <f t="shared" si="142"/>
        <v>456.28719984856014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3.6115161272393794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3.6115161272393794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20.879999999999939</v>
      </c>
      <c r="AJ164" s="13">
        <f>AI164*VLOOKUP('Données projet'!$B$10,Paramètres!$A$1:$I$89,3,0)*VLOOKUP('Données projet'!$B$10,Paramètres!$A$1:$I$89,5,0)</f>
        <v>18.892223999999942</v>
      </c>
      <c r="AK164" s="13">
        <f t="shared" si="164"/>
        <v>6.184089977612083</v>
      </c>
      <c r="AL164" s="20">
        <f t="shared" si="165"/>
        <v>43.674580177674272</v>
      </c>
      <c r="AM164" s="59">
        <f t="shared" si="113"/>
        <v>332.13288968052245</v>
      </c>
      <c r="AN164" s="59">
        <f ca="1">AVERAGE(OFFSET($AM$3,0,0,'Données projet'!$E$10+1,1))-AVERAGE(OFFSET($H$3,0,0,'Données projet'!$E$10+1,1))</f>
        <v>737.88151921331701</v>
      </c>
      <c r="AO164" s="59">
        <f t="shared" si="144"/>
        <v>270.70193491027487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341.71497950152661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341.71497950152661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68.670448046231328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4.45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16.316666666666666</v>
      </c>
      <c r="H165" s="66">
        <f t="shared" si="110"/>
        <v>191.4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189.55118397415424</v>
      </c>
      <c r="T165" s="59">
        <f t="shared" si="142"/>
        <v>456.28719984856014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3.5127590288186399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3.5127590288186399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20.879999999999939</v>
      </c>
      <c r="AJ165" s="13">
        <f>AI165*VLOOKUP('Données projet'!$B$10,Paramètres!$A$1:$I$89,3,0)*VLOOKUP('Données projet'!$B$10,Paramètres!$A$1:$I$89,5,0)</f>
        <v>18.892223999999942</v>
      </c>
      <c r="AK165" s="13">
        <f t="shared" si="164"/>
        <v>6.184089977612083</v>
      </c>
      <c r="AL165" s="20">
        <f t="shared" si="165"/>
        <v>43.674580177674272</v>
      </c>
      <c r="AM165" s="59">
        <f t="shared" si="113"/>
        <v>332.21746044506085</v>
      </c>
      <c r="AN165" s="59">
        <f ca="1">AVERAGE(OFFSET($AM$3,0,0,'Données projet'!$E$10+1,1))-AVERAGE(OFFSET($H$3,0,0,'Données projet'!$E$10+1,1))</f>
        <v>737.88151921331701</v>
      </c>
      <c r="AO165" s="59">
        <f t="shared" si="144"/>
        <v>270.70193491027487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335.01415717905888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335.01415717905888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68.693512800196345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4.45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16.316666666666666</v>
      </c>
      <c r="H166" s="66">
        <f t="shared" si="110"/>
        <v>191.4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189.55118397415424</v>
      </c>
      <c r="T166" s="59">
        <f t="shared" si="142"/>
        <v>456.28719984856014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3.4167024484476252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3.4167024484476252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20.879999999999939</v>
      </c>
      <c r="AJ166" s="13">
        <f>AI166*VLOOKUP('Données projet'!$B$10,Paramètres!$A$1:$I$89,3,0)*VLOOKUP('Données projet'!$B$10,Paramètres!$A$1:$I$89,5,0)</f>
        <v>18.892223999999942</v>
      </c>
      <c r="AK166" s="13">
        <f t="shared" si="164"/>
        <v>6.184089977612083</v>
      </c>
      <c r="AL166" s="20">
        <f t="shared" si="165"/>
        <v>43.674580177674272</v>
      </c>
      <c r="AM166" s="59">
        <f t="shared" si="113"/>
        <v>332.30056409590645</v>
      </c>
      <c r="AN166" s="59">
        <f ca="1">AVERAGE(OFFSET($AM$3,0,0,'Données projet'!$E$10+1,1))-AVERAGE(OFFSET($H$3,0,0,'Données projet'!$E$10+1,1))</f>
        <v>737.88151921331701</v>
      </c>
      <c r="AO166" s="59">
        <f t="shared" si="144"/>
        <v>270.70193491027487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328.44473389523665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328.44473389523665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68.716177432245132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4.45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16.316666666666666</v>
      </c>
      <c r="H167" s="66">
        <f t="shared" si="110"/>
        <v>191.4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189.55118397415424</v>
      </c>
      <c r="T167" s="59">
        <f t="shared" si="142"/>
        <v>456.28719984856014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3.3232725403182521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3.3232725403182521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20.879999999999939</v>
      </c>
      <c r="AJ167" s="13">
        <f>AI167*VLOOKUP('Données projet'!$B$10,Paramètres!$A$1:$I$89,3,0)*VLOOKUP('Données projet'!$B$10,Paramètres!$A$1:$I$89,5,0)</f>
        <v>18.892223999999942</v>
      </c>
      <c r="AK167" s="13">
        <f t="shared" si="164"/>
        <v>6.184089977612083</v>
      </c>
      <c r="AL167" s="20">
        <f t="shared" si="165"/>
        <v>43.674580177674272</v>
      </c>
      <c r="AM167" s="59">
        <f t="shared" si="113"/>
        <v>332.38222608420176</v>
      </c>
      <c r="AN167" s="59">
        <f ca="1">AVERAGE(OFFSET($AM$3,0,0,'Données projet'!$E$10+1,1))-AVERAGE(OFFSET($H$3,0,0,'Données projet'!$E$10+1,1))</f>
        <v>737.88151921331701</v>
      </c>
      <c r="AO167" s="59">
        <f t="shared" si="144"/>
        <v>270.70193491027487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322.00413299505766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322.00413299505766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68.738448883598409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4.45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16.316666666666666</v>
      </c>
      <c r="H168" s="66">
        <f t="shared" si="110"/>
        <v>191.4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189.55118397415424</v>
      </c>
      <c r="T168" s="59">
        <f t="shared" si="142"/>
        <v>456.28719984856014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3.232397477939942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3.232397477939942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20.879999999999939</v>
      </c>
      <c r="AJ168" s="13">
        <f>AI168*VLOOKUP('Données projet'!$B$10,Paramètres!$A$1:$I$89,3,0)*VLOOKUP('Données projet'!$B$10,Paramètres!$A$1:$I$89,5,0)</f>
        <v>18.892223999999942</v>
      </c>
      <c r="AK168" s="13">
        <f t="shared" si="164"/>
        <v>6.184089977612083</v>
      </c>
      <c r="AL168" s="20">
        <f t="shared" si="165"/>
        <v>43.674580177674272</v>
      </c>
      <c r="AM168" s="59">
        <f t="shared" si="113"/>
        <v>332.462471419569</v>
      </c>
      <c r="AN168" s="59">
        <f ca="1">AVERAGE(OFFSET($AM$3,0,0,'Données projet'!$E$10+1,1))-AVERAGE(OFFSET($H$3,0,0,'Données projet'!$E$10+1,1))</f>
        <v>737.88151921331701</v>
      </c>
      <c r="AO168" s="59">
        <f t="shared" si="144"/>
        <v>270.70193491027487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315.68982835015248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315.68982835015248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68.760333975062196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4.45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16.316666666666666</v>
      </c>
      <c r="H169" s="66">
        <f t="shared" si="110"/>
        <v>191.4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189.55118397415424</v>
      </c>
      <c r="T169" s="59">
        <f t="shared" si="142"/>
        <v>456.28719984856014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3.1440073989212789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3.1440073989212789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20.879999999999939</v>
      </c>
      <c r="AJ169" s="13">
        <f>AI169*VLOOKUP('Données projet'!$B$10,Paramètres!$A$1:$I$89,3,0)*VLOOKUP('Données projet'!$B$10,Paramètres!$A$1:$I$89,5,0)</f>
        <v>18.892223999999942</v>
      </c>
      <c r="AK169" s="13">
        <f t="shared" si="164"/>
        <v>6.184089977612083</v>
      </c>
      <c r="AL169" s="20">
        <f t="shared" si="165"/>
        <v>43.674580177674272</v>
      </c>
      <c r="AM169" s="59">
        <f t="shared" si="113"/>
        <v>332.54132467776935</v>
      </c>
      <c r="AN169" s="59">
        <f ca="1">AVERAGE(OFFSET($AM$3,0,0,'Données projet'!$E$10+1,1))-AVERAGE(OFFSET($H$3,0,0,'Données projet'!$E$10+1,1))</f>
        <v>737.88151921331701</v>
      </c>
      <c r="AO169" s="59">
        <f t="shared" si="144"/>
        <v>270.70193491027487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309.49934336798839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309.49934336798839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68.781839409116841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4.45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16.316666666666666</v>
      </c>
      <c r="H170" s="66">
        <f t="shared" si="110"/>
        <v>191.4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189.55118397415424</v>
      </c>
      <c r="T170" s="59">
        <f t="shared" si="142"/>
        <v>456.28719984856014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3.0580343512616133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3.0580343512616133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20.879999999999939</v>
      </c>
      <c r="AJ170" s="13">
        <f>AI170*VLOOKUP('Données projet'!$B$10,Paramètres!$A$1:$I$89,3,0)*VLOOKUP('Données projet'!$B$10,Paramètres!$A$1:$I$89,5,0)</f>
        <v>18.892223999999942</v>
      </c>
      <c r="AK170" s="13">
        <f t="shared" si="164"/>
        <v>6.184089977612083</v>
      </c>
      <c r="AL170" s="20">
        <f t="shared" si="165"/>
        <v>43.674580177674272</v>
      </c>
      <c r="AM170" s="59">
        <f t="shared" si="113"/>
        <v>332.61881000822939</v>
      </c>
      <c r="AN170" s="59">
        <f ca="1">AVERAGE(OFFSET($AM$3,0,0,'Données projet'!$E$10+1,1))-AVERAGE(OFFSET($H$3,0,0,'Données projet'!$E$10+1,1))</f>
        <v>737.88151921331701</v>
      </c>
      <c r="AO170" s="59">
        <f t="shared" si="144"/>
        <v>270.70193491027487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303.43025002050149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303.43025002050149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68.802971771969581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4.45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16.316666666666666</v>
      </c>
      <c r="H171" s="66">
        <f t="shared" si="110"/>
        <v>191.4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189.55118397415424</v>
      </c>
      <c r="T171" s="59">
        <f t="shared" si="142"/>
        <v>456.28719984856014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2.974412241111327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2.974412241111327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20.879999999999939</v>
      </c>
      <c r="AJ171" s="13">
        <f>AI171*VLOOKUP('Données projet'!$B$10,Paramètres!$A$1:$I$89,3,0)*VLOOKUP('Données projet'!$B$10,Paramètres!$A$1:$I$89,5,0)</f>
        <v>18.892223999999942</v>
      </c>
      <c r="AK171" s="13">
        <f t="shared" si="164"/>
        <v>6.184089977612083</v>
      </c>
      <c r="AL171" s="20">
        <f t="shared" si="165"/>
        <v>43.674580177674272</v>
      </c>
      <c r="AM171" s="59">
        <f t="shared" si="113"/>
        <v>332.69495114143717</v>
      </c>
      <c r="AN171" s="59">
        <f ca="1">AVERAGE(OFFSET($AM$3,0,0,'Données projet'!$E$10+1,1))-AVERAGE(OFFSET($H$3,0,0,'Données projet'!$E$10+1,1))</f>
        <v>737.88151921331701</v>
      </c>
      <c r="AO171" s="59">
        <f t="shared" si="144"/>
        <v>270.70193491027487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297.4801678917774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297.4801678917774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68.823737535571709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4.45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16.316666666666666</v>
      </c>
      <c r="H172" s="66">
        <f t="shared" si="110"/>
        <v>191.4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189.55118397415424</v>
      </c>
      <c r="T172" s="59">
        <f t="shared" si="142"/>
        <v>456.28719984856014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2.893076781960596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2.893076781960596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20.879999999999939</v>
      </c>
      <c r="AJ172" s="13">
        <f>AI172*VLOOKUP('Données projet'!$B$10,Paramètres!$A$1:$I$89,3,0)*VLOOKUP('Données projet'!$B$10,Paramètres!$A$1:$I$89,5,0)</f>
        <v>18.892223999999942</v>
      </c>
      <c r="AK172" s="13">
        <f t="shared" si="164"/>
        <v>6.184089977612083</v>
      </c>
      <c r="AL172" s="20">
        <f t="shared" si="165"/>
        <v>43.674580177674272</v>
      </c>
      <c r="AM172" s="59">
        <f t="shared" si="113"/>
        <v>332.76977139620999</v>
      </c>
      <c r="AN172" s="59">
        <f ca="1">AVERAGE(OFFSET($AM$3,0,0,'Données projet'!$E$10+1,1))-AVERAGE(OFFSET($H$3,0,0,'Données projet'!$E$10+1,1))</f>
        <v>737.88151921331701</v>
      </c>
      <c r="AO172" s="59">
        <f t="shared" si="144"/>
        <v>270.70193491027487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291.64676324440586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291.64676324440586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68.84414305960064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4.45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16.316666666666666</v>
      </c>
      <c r="H173" s="66">
        <f t="shared" si="110"/>
        <v>191.4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189.55118397415424</v>
      </c>
      <c r="T173" s="59">
        <f t="shared" si="142"/>
        <v>456.28719984856014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2.8139654452175877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2.8139654452175877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20.879999999999939</v>
      </c>
      <c r="AJ173" s="13">
        <f>AI173*VLOOKUP('Données projet'!$B$10,Paramètres!$A$1:$I$89,3,0)*VLOOKUP('Données projet'!$B$10,Paramètres!$A$1:$I$89,5,0)</f>
        <v>18.892223999999942</v>
      </c>
      <c r="AK173" s="13">
        <f t="shared" si="164"/>
        <v>6.184089977612083</v>
      </c>
      <c r="AL173" s="20">
        <f t="shared" si="165"/>
        <v>43.674580177674272</v>
      </c>
      <c r="AM173" s="59">
        <f t="shared" si="113"/>
        <v>332.8432936868353</v>
      </c>
      <c r="AN173" s="59">
        <f ca="1">AVERAGE(OFFSET($AM$3,0,0,'Données projet'!$E$10+1,1))-AVERAGE(OFFSET($H$3,0,0,'Données projet'!$E$10+1,1))</f>
        <v>737.88151921331701</v>
      </c>
      <c r="AO173" s="59">
        <f t="shared" si="144"/>
        <v>270.70193491027487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285.92774810414375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285.92774810414375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68.864194593407561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4.45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16.316666666666666</v>
      </c>
      <c r="H174" s="66">
        <f t="shared" si="110"/>
        <v>191.4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189.55118397415424</v>
      </c>
      <c r="T174" s="59">
        <f t="shared" si="142"/>
        <v>456.28719984856014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2.7370174121381012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2.7370174121381012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20.879999999999939</v>
      </c>
      <c r="AJ174" s="13">
        <f>AI174*VLOOKUP('Données projet'!$B$10,Paramètres!$A$1:$I$89,3,0)*VLOOKUP('Données projet'!$B$10,Paramètres!$A$1:$I$89,5,0)</f>
        <v>18.892223999999942</v>
      </c>
      <c r="AK174" s="13">
        <f t="shared" si="164"/>
        <v>6.184089977612083</v>
      </c>
      <c r="AL174" s="20">
        <f t="shared" si="165"/>
        <v>43.674580177674272</v>
      </c>
      <c r="AM174" s="59">
        <f t="shared" si="113"/>
        <v>332.91554053008963</v>
      </c>
      <c r="AN174" s="59">
        <f ca="1">AVERAGE(OFFSET($AM$3,0,0,'Données projet'!$E$10+1,1))-AVERAGE(OFFSET($H$3,0,0,'Données projet'!$E$10+1,1))</f>
        <v>737.88151921331701</v>
      </c>
      <c r="AO174" s="59">
        <f t="shared" si="144"/>
        <v>270.70193491027487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280.32087936252736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280.32087936252736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68.883898277931465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4.45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16.316666666666666</v>
      </c>
      <c r="H175" s="66">
        <f t="shared" si="110"/>
        <v>191.4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189.55118397415424</v>
      </c>
      <c r="T175" s="59">
        <f t="shared" si="142"/>
        <v>456.28719984856014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2.6621735270696947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2.6621735270696947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20.879999999999939</v>
      </c>
      <c r="AJ175" s="13">
        <f>AI175*VLOOKUP('Données projet'!$B$10,Paramètres!$A$1:$I$89,3,0)*VLOOKUP('Données projet'!$B$10,Paramètres!$A$1:$I$89,5,0)</f>
        <v>18.892223999999942</v>
      </c>
      <c r="AK175" s="13">
        <f t="shared" si="164"/>
        <v>6.184089977612083</v>
      </c>
      <c r="AL175" s="20">
        <f t="shared" si="165"/>
        <v>43.674580177674272</v>
      </c>
      <c r="AM175" s="59">
        <f t="shared" si="113"/>
        <v>332.98653405213327</v>
      </c>
      <c r="AN175" s="59">
        <f ca="1">AVERAGE(OFFSET($AM$3,0,0,'Données projet'!$E$10+1,1))-AVERAGE(OFFSET($H$3,0,0,'Données projet'!$E$10+1,1))</f>
        <v>737.88151921331701</v>
      </c>
      <c r="AO175" s="59">
        <f t="shared" si="144"/>
        <v>270.70193491027487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274.82395789708187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274.82395789708187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68.903260147579715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4.45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16.316666666666666</v>
      </c>
      <c r="H176" s="66">
        <f t="shared" si="110"/>
        <v>191.4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189.55118397415424</v>
      </c>
      <c r="T176" s="59">
        <f t="shared" si="142"/>
        <v>456.28719984856014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2.5893762519743526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2.5893762519743526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20.879999999999939</v>
      </c>
      <c r="AJ176" s="13">
        <f>AI176*VLOOKUP('Données projet'!$B$10,Paramètres!$A$1:$I$89,3,0)*VLOOKUP('Données projet'!$B$10,Paramètres!$A$1:$I$89,5,0)</f>
        <v>18.892223999999942</v>
      </c>
      <c r="AK176" s="13">
        <f t="shared" si="164"/>
        <v>6.184089977612083</v>
      </c>
      <c r="AL176" s="20">
        <f t="shared" si="165"/>
        <v>43.674580177674272</v>
      </c>
      <c r="AM176" s="59">
        <f t="shared" si="113"/>
        <v>333.05629599528709</v>
      </c>
      <c r="AN176" s="59">
        <f ca="1">AVERAGE(OFFSET($AM$3,0,0,'Données projet'!$E$10+1,1))-AVERAGE(OFFSET($H$3,0,0,'Données projet'!$E$10+1,1))</f>
        <v>737.88151921331701</v>
      </c>
      <c r="AO176" s="59">
        <f t="shared" si="144"/>
        <v>270.70193491027487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269.43482770878273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269.43482770878273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68.922286132076223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4.45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16.316666666666666</v>
      </c>
      <c r="H177" s="66">
        <f t="shared" si="110"/>
        <v>191.4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189.55118397415424</v>
      </c>
      <c r="T177" s="59">
        <f t="shared" si="142"/>
        <v>456.28719984856014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2.5185696221947351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2.5185696221947351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20.879999999999939</v>
      </c>
      <c r="AJ177" s="13">
        <f>AI177*VLOOKUP('Données projet'!$B$10,Paramètres!$A$1:$I$89,3,0)*VLOOKUP('Données projet'!$B$10,Paramètres!$A$1:$I$89,5,0)</f>
        <v>18.892223999999942</v>
      </c>
      <c r="AK177" s="13">
        <f t="shared" si="164"/>
        <v>6.184089977612083</v>
      </c>
      <c r="AL177" s="20">
        <f t="shared" si="165"/>
        <v>43.674580177674272</v>
      </c>
      <c r="AM177" s="59">
        <f t="shared" si="113"/>
        <v>333.12484772469162</v>
      </c>
      <c r="AN177" s="59">
        <f ca="1">AVERAGE(OFFSET($AM$3,0,0,'Données projet'!$E$10+1,1))-AVERAGE(OFFSET($H$3,0,0,'Données projet'!$E$10+1,1))</f>
        <v>737.88151921331701</v>
      </c>
      <c r="AO177" s="59">
        <f t="shared" si="144"/>
        <v>270.70193491027487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264.15137507643129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264.15137507643129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68.940982058277456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4.45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16.316666666666666</v>
      </c>
      <c r="H178" s="66">
        <f t="shared" si="110"/>
        <v>191.4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189.55118397415424</v>
      </c>
      <c r="T178" s="59">
        <f t="shared" si="142"/>
        <v>456.28719984856014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2.4496992034299998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2.4496992034299998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20.879999999999939</v>
      </c>
      <c r="AJ178" s="13">
        <f>AI178*VLOOKUP('Données projet'!$B$10,Paramètres!$A$1:$I$89,3,0)*VLOOKUP('Données projet'!$B$10,Paramètres!$A$1:$I$89,5,0)</f>
        <v>18.892223999999942</v>
      </c>
      <c r="AK178" s="13">
        <f t="shared" si="164"/>
        <v>6.184089977612083</v>
      </c>
      <c r="AL178" s="20">
        <f t="shared" si="165"/>
        <v>43.674580177674272</v>
      </c>
      <c r="AM178" s="59">
        <f t="shared" si="113"/>
        <v>333.1922102348496</v>
      </c>
      <c r="AN178" s="59">
        <f ca="1">AVERAGE(OFFSET($AM$3,0,0,'Données projet'!$E$10+1,1))-AVERAGE(OFFSET($H$3,0,0,'Données projet'!$E$10+1,1))</f>
        <v>737.88151921331701</v>
      </c>
      <c r="AO178" s="59">
        <f t="shared" si="144"/>
        <v>270.70193491027487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258.97152772761234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258.97152772761234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68.959353651956903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4.45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16.316666666666666</v>
      </c>
      <c r="H179" s="66">
        <f t="shared" si="110"/>
        <v>191.4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189.55118397415424</v>
      </c>
      <c r="T179" s="59">
        <f t="shared" si="142"/>
        <v>456.28719984856014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2.382712049888124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2.382712049888124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20.879999999999939</v>
      </c>
      <c r="AJ179" s="13">
        <f>AI179*VLOOKUP('Données projet'!$B$10,Paramètres!$A$1:$I$89,3,0)*VLOOKUP('Données projet'!$B$10,Paramètres!$A$1:$I$89,5,0)</f>
        <v>18.892223999999942</v>
      </c>
      <c r="AK179" s="13">
        <f t="shared" si="164"/>
        <v>6.184089977612083</v>
      </c>
      <c r="AL179" s="20">
        <f t="shared" si="165"/>
        <v>43.674580177674272</v>
      </c>
      <c r="AM179" s="59">
        <f t="shared" si="113"/>
        <v>333.25840415605643</v>
      </c>
      <c r="AN179" s="59">
        <f ca="1">AVERAGE(OFFSET($AM$3,0,0,'Données projet'!$E$10+1,1))-AVERAGE(OFFSET($H$3,0,0,'Données projet'!$E$10+1,1))</f>
        <v>737.88151921331701</v>
      </c>
      <c r="AO179" s="59">
        <f t="shared" si="144"/>
        <v>270.70193491027487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253.89325402590882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253.89325402590882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68.977406539558771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4.45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16.316666666666666</v>
      </c>
      <c r="H180" s="66">
        <f t="shared" si="110"/>
        <v>191.4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189.55118397415424</v>
      </c>
      <c r="T180" s="59">
        <f t="shared" si="142"/>
        <v>456.28719984856014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2.3175566635825522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2.3175566635825522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20.879999999999939</v>
      </c>
      <c r="AJ180" s="13">
        <f>AI180*VLOOKUP('Données projet'!$B$10,Paramètres!$A$1:$I$89,3,0)*VLOOKUP('Données projet'!$B$10,Paramètres!$A$1:$I$89,5,0)</f>
        <v>18.892223999999942</v>
      </c>
      <c r="AK180" s="13">
        <f t="shared" si="164"/>
        <v>6.184089977612083</v>
      </c>
      <c r="AL180" s="20">
        <f t="shared" si="165"/>
        <v>43.674580177674272</v>
      </c>
      <c r="AM180" s="59">
        <f t="shared" si="113"/>
        <v>333.32344976071772</v>
      </c>
      <c r="AN180" s="59">
        <f ca="1">AVERAGE(OFFSET($AM$3,0,0,'Données projet'!$E$10+1,1))-AVERAGE(OFFSET($H$3,0,0,'Données projet'!$E$10+1,1))</f>
        <v>737.88151921331701</v>
      </c>
      <c r="AO180" s="59">
        <f t="shared" si="144"/>
        <v>270.70193491027487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248.91456217405459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248.91456217405459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68.995146249920936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4.45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16.316666666666666</v>
      </c>
      <c r="H181" s="66">
        <f t="shared" si="110"/>
        <v>191.4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189.55118397415424</v>
      </c>
      <c r="T181" s="59">
        <f t="shared" si="142"/>
        <v>456.28719984856014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2.254182954741879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2.254182954741879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20.879999999999939</v>
      </c>
      <c r="AJ181" s="13">
        <f>AI181*VLOOKUP('Données projet'!$B$10,Paramètres!$A$1:$I$89,3,0)*VLOOKUP('Données projet'!$B$10,Paramètres!$A$1:$I$89,5,0)</f>
        <v>18.892223999999942</v>
      </c>
      <c r="AK181" s="13">
        <f t="shared" si="164"/>
        <v>6.184089977612083</v>
      </c>
      <c r="AL181" s="20">
        <f t="shared" si="165"/>
        <v>43.674580177674272</v>
      </c>
      <c r="AM181" s="59">
        <f t="shared" si="113"/>
        <v>333.38736696955834</v>
      </c>
      <c r="AN181" s="59">
        <f ca="1">AVERAGE(OFFSET($AM$3,0,0,'Données projet'!$E$10+1,1))-AVERAGE(OFFSET($H$3,0,0,'Données projet'!$E$10+1,1))</f>
        <v>737.88151921331701</v>
      </c>
      <c r="AO181" s="59">
        <f t="shared" si="144"/>
        <v>270.70193491027487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244.03349943271306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244.03349943271306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69.012578215968375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4.45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16.316666666666666</v>
      </c>
      <c r="H182" s="66">
        <f t="shared" si="110"/>
        <v>191.4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189.55118397415424</v>
      </c>
      <c r="T182" s="59">
        <f t="shared" si="142"/>
        <v>456.28719984856014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2.1925422033021329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2.1925422033021329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20.879999999999939</v>
      </c>
      <c r="AJ182" s="13">
        <f>AI182*VLOOKUP('Données projet'!$B$10,Paramètres!$A$1:$I$89,3,0)*VLOOKUP('Données projet'!$B$10,Paramètres!$A$1:$I$89,5,0)</f>
        <v>18.892223999999942</v>
      </c>
      <c r="AK182" s="13">
        <f t="shared" si="164"/>
        <v>6.184089977612083</v>
      </c>
      <c r="AL182" s="20">
        <f t="shared" si="165"/>
        <v>43.674580177674272</v>
      </c>
      <c r="AM182" s="59">
        <f t="shared" si="113"/>
        <v>333.45017535772297</v>
      </c>
      <c r="AN182" s="59">
        <f ca="1">AVERAGE(OFFSET($AM$3,0,0,'Données projet'!$E$10+1,1))-AVERAGE(OFFSET($H$3,0,0,'Données projet'!$E$10+1,1))</f>
        <v>737.88151921331701</v>
      </c>
      <c r="AO182" s="59">
        <f t="shared" si="144"/>
        <v>270.70193491027487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239.2481513545749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239.2481513545749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69.029707776376924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4.45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16.316666666666666</v>
      </c>
      <c r="H183" s="66">
        <f t="shared" si="110"/>
        <v>191.4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189.55118397415424</v>
      </c>
      <c r="T183" s="59">
        <f t="shared" si="142"/>
        <v>456.28719984856014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2.1325870214520526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2.1325870214520526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20.879999999999939</v>
      </c>
      <c r="AJ183" s="13">
        <f>AI183*VLOOKUP('Données projet'!$B$10,Paramètres!$A$1:$I$89,3,0)*VLOOKUP('Données projet'!$B$10,Paramètres!$A$1:$I$89,5,0)</f>
        <v>18.892223999999942</v>
      </c>
      <c r="AK183" s="13">
        <f t="shared" si="164"/>
        <v>6.184089977612083</v>
      </c>
      <c r="AL183" s="20">
        <f t="shared" si="165"/>
        <v>43.674580177674272</v>
      </c>
      <c r="AM183" s="59">
        <f t="shared" si="113"/>
        <v>333.51189416077159</v>
      </c>
      <c r="AN183" s="59">
        <f ca="1">AVERAGE(OFFSET($AM$3,0,0,'Données projet'!$E$10+1,1))-AVERAGE(OFFSET($H$3,0,0,'Données projet'!$E$10+1,1))</f>
        <v>737.88151921331701</v>
      </c>
      <c r="AO183" s="59">
        <f t="shared" si="144"/>
        <v>270.70193491027487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234.55664103347493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234.55664103347493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69.046540177208357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4.45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16.316666666666666</v>
      </c>
      <c r="H184" s="66">
        <f t="shared" si="110"/>
        <v>191.4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189.55118397415424</v>
      </c>
      <c r="T184" s="59">
        <f t="shared" si="142"/>
        <v>456.28719984856014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2.0742713172025686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2.0742713172025686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20.879999999999939</v>
      </c>
      <c r="AJ184" s="13">
        <f>AI184*VLOOKUP('Données projet'!$B$10,Paramètres!$A$1:$I$89,3,0)*VLOOKUP('Données projet'!$B$10,Paramètres!$A$1:$I$89,5,0)</f>
        <v>18.892223999999942</v>
      </c>
      <c r="AK184" s="13">
        <f t="shared" si="164"/>
        <v>6.184089977612083</v>
      </c>
      <c r="AL184" s="20">
        <f t="shared" si="165"/>
        <v>43.674580177674272</v>
      </c>
      <c r="AM184" s="59">
        <f t="shared" si="113"/>
        <v>333.57254228056979</v>
      </c>
      <c r="AN184" s="59">
        <f ca="1">AVERAGE(OFFSET($AM$3,0,0,'Données projet'!$E$10+1,1))-AVERAGE(OFFSET($H$3,0,0,'Données projet'!$E$10+1,1))</f>
        <v>737.88151921331701</v>
      </c>
      <c r="AO184" s="59">
        <f t="shared" si="144"/>
        <v>270.70193491027487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229.95712836823299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229.95712836823299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69.063080573516956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4.45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16.316666666666666</v>
      </c>
      <c r="H185" s="66">
        <f t="shared" si="110"/>
        <v>191.4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189.55118397415424</v>
      </c>
      <c r="T185" s="59">
        <f t="shared" si="142"/>
        <v>456.28719984856014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2.0175502589524767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2.0175502589524767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20.879999999999939</v>
      </c>
      <c r="AJ185" s="13">
        <f>AI185*VLOOKUP('Données projet'!$B$10,Paramètres!$A$1:$I$89,3,0)*VLOOKUP('Données projet'!$B$10,Paramètres!$A$1:$I$89,5,0)</f>
        <v>18.892223999999942</v>
      </c>
      <c r="AK185" s="13">
        <f t="shared" si="164"/>
        <v>6.184089977612083</v>
      </c>
      <c r="AL185" s="20">
        <f t="shared" si="165"/>
        <v>43.674580177674272</v>
      </c>
      <c r="AM185" s="59">
        <f t="shared" si="113"/>
        <v>333.63213829107849</v>
      </c>
      <c r="AN185" s="59">
        <f ca="1">AVERAGE(OFFSET($AM$3,0,0,'Données projet'!$E$10+1,1))-AVERAGE(OFFSET($H$3,0,0,'Données projet'!$E$10+1,1))</f>
        <v>737.88151921331701</v>
      </c>
      <c r="AO185" s="59">
        <f t="shared" si="144"/>
        <v>270.70193491027487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225.44780934093072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225.44780934093072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69.079334030928422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4.45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16.316666666666666</v>
      </c>
      <c r="H186" s="66">
        <f t="shared" si="110"/>
        <v>191.4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189.55118397415424</v>
      </c>
      <c r="T186" s="59">
        <f t="shared" si="142"/>
        <v>456.28719984856014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1.9623802410230644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1.9623802410230644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20.879999999999939</v>
      </c>
      <c r="AJ186" s="13">
        <f>AI186*VLOOKUP('Données projet'!$B$10,Paramètres!$A$1:$I$89,3,0)*VLOOKUP('Données projet'!$B$10,Paramètres!$A$1:$I$89,5,0)</f>
        <v>18.892223999999942</v>
      </c>
      <c r="AK186" s="13">
        <f t="shared" si="164"/>
        <v>6.184089977612083</v>
      </c>
      <c r="AL186" s="20">
        <f t="shared" si="165"/>
        <v>43.674580177674272</v>
      </c>
      <c r="AM186" s="59">
        <f t="shared" si="113"/>
        <v>333.69070044404145</v>
      </c>
      <c r="AN186" s="59">
        <f ca="1">AVERAGE(OFFSET($AM$3,0,0,'Données projet'!$E$10+1,1))-AVERAGE(OFFSET($H$3,0,0,'Données projet'!$E$10+1,1))</f>
        <v>737.88151921331701</v>
      </c>
      <c r="AO186" s="59">
        <f t="shared" si="144"/>
        <v>270.70193491027487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221.02691530934081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221.02691530934081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69.095305527191059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4.45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16.316666666666666</v>
      </c>
      <c r="H187" s="66">
        <f t="shared" si="110"/>
        <v>191.4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189.55118397415424</v>
      </c>
      <c r="T187" s="59">
        <f t="shared" si="142"/>
        <v>456.28719984856014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1.9087188501351968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1.9087188501351968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20.879999999999939</v>
      </c>
      <c r="AJ187" s="13">
        <f>AI187*VLOOKUP('Données projet'!$B$10,Paramètres!$A$1:$I$89,3,0)*VLOOKUP('Données projet'!$B$10,Paramètres!$A$1:$I$89,5,0)</f>
        <v>18.892223999999942</v>
      </c>
      <c r="AK187" s="13">
        <f t="shared" si="164"/>
        <v>6.184089977612083</v>
      </c>
      <c r="AL187" s="20">
        <f t="shared" si="165"/>
        <v>43.674580177674272</v>
      </c>
      <c r="AM187" s="59">
        <f t="shared" si="113"/>
        <v>333.74824667457597</v>
      </c>
      <c r="AN187" s="59">
        <f ca="1">AVERAGE(OFFSET($AM$3,0,0,'Données projet'!$E$10+1,1))-AVERAGE(OFFSET($H$3,0,0,'Données projet'!$E$10+1,1))</f>
        <v>737.88151921331701</v>
      </c>
      <c r="AO187" s="59">
        <f t="shared" si="144"/>
        <v>270.70193491027487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216.69271231323128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216.69271231323128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69.110999953700457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4.45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16.316666666666666</v>
      </c>
      <c r="H188" s="66">
        <f t="shared" si="110"/>
        <v>191.4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189.55118397415424</v>
      </c>
      <c r="T188" s="59">
        <f t="shared" si="142"/>
        <v>456.28719984856014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1.8565248328030879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1.8565248328030879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20.879999999999939</v>
      </c>
      <c r="AJ188" s="13">
        <f>AI188*VLOOKUP('Données projet'!$B$10,Paramètres!$A$1:$I$89,3,0)*VLOOKUP('Données projet'!$B$10,Paramètres!$A$1:$I$89,5,0)</f>
        <v>18.892223999999942</v>
      </c>
      <c r="AK188" s="13">
        <f t="shared" si="164"/>
        <v>6.184089977612083</v>
      </c>
      <c r="AL188" s="20">
        <f t="shared" si="165"/>
        <v>43.674580177674272</v>
      </c>
      <c r="AM188" s="59">
        <f t="shared" si="113"/>
        <v>333.80479460666476</v>
      </c>
      <c r="AN188" s="59">
        <f ca="1">AVERAGE(OFFSET($AM$3,0,0,'Données projet'!$E$10+1,1))-AVERAGE(OFFSET($H$3,0,0,'Données projet'!$E$10+1,1))</f>
        <v>737.88151921331701</v>
      </c>
      <c r="AO188" s="59">
        <f t="shared" si="144"/>
        <v>270.70193491027487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212.44350039427266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212.44350039427266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69.126422116997404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4.45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16.316666666666666</v>
      </c>
      <c r="H189" s="66">
        <f t="shared" si="110"/>
        <v>191.4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189.55118397415424</v>
      </c>
      <c r="T189" s="59">
        <f t="shared" si="142"/>
        <v>456.28719984856014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1.8057580636196897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1.8057580636196897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20.879999999999939</v>
      </c>
      <c r="AJ189" s="13">
        <f>AI189*VLOOKUP('Données projet'!$B$10,Paramètres!$A$1:$I$89,3,0)*VLOOKUP('Données projet'!$B$10,Paramètres!$A$1:$I$89,5,0)</f>
        <v>18.892223999999942</v>
      </c>
      <c r="AK189" s="13">
        <f t="shared" si="164"/>
        <v>6.184089977612083</v>
      </c>
      <c r="AL189" s="20">
        <f t="shared" si="165"/>
        <v>43.674580177674272</v>
      </c>
      <c r="AM189" s="59">
        <f t="shared" si="113"/>
        <v>333.86036155855402</v>
      </c>
      <c r="AN189" s="59">
        <f ca="1">AVERAGE(OFFSET($AM$3,0,0,'Données projet'!$E$10+1,1))-AVERAGE(OFFSET($H$3,0,0,'Données projet'!$E$10+1,1))</f>
        <v>737.88151921331701</v>
      </c>
      <c r="AO189" s="59">
        <f t="shared" si="144"/>
        <v>270.70193491027487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208.27761292928147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208.27761292928147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69.141576740239941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4.45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16.316666666666666</v>
      </c>
      <c r="H190" s="66">
        <f t="shared" si="110"/>
        <v>191.4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189.55118397415424</v>
      </c>
      <c r="T190" s="59">
        <f t="shared" si="142"/>
        <v>456.28719984856014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1.7563795144093199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1.7563795144093199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20.879999999999939</v>
      </c>
      <c r="AJ190" s="13">
        <f>AI190*VLOOKUP('Données projet'!$B$10,Paramètres!$A$1:$I$89,3,0)*VLOOKUP('Données projet'!$B$10,Paramètres!$A$1:$I$89,5,0)</f>
        <v>18.892223999999942</v>
      </c>
      <c r="AK190" s="13">
        <f t="shared" si="164"/>
        <v>6.184089977612083</v>
      </c>
      <c r="AL190" s="20">
        <f t="shared" si="165"/>
        <v>43.674580177674272</v>
      </c>
      <c r="AM190" s="59">
        <f t="shared" si="113"/>
        <v>333.91496454805713</v>
      </c>
      <c r="AN190" s="59">
        <f ca="1">AVERAGE(OFFSET($AM$3,0,0,'Données projet'!$E$10+1,1))-AVERAGE(OFFSET($H$3,0,0,'Données projet'!$E$10+1,1))</f>
        <v>737.88151921331701</v>
      </c>
      <c r="AO190" s="59">
        <f t="shared" si="144"/>
        <v>270.70193491027487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204.19341597653832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204.19341597653832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69.156468464649876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4.45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16.316666666666666</v>
      </c>
      <c r="H191" s="66">
        <f t="shared" si="110"/>
        <v>191.4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189.55118397415424</v>
      </c>
      <c r="T191" s="59">
        <f t="shared" si="142"/>
        <v>456.28719984856014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1.7083512242238126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1.7083512242238126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20.879999999999939</v>
      </c>
      <c r="AJ191" s="13">
        <f>AI191*VLOOKUP('Données projet'!$B$10,Paramètres!$A$1:$I$89,3,0)*VLOOKUP('Données projet'!$B$10,Paramètres!$A$1:$I$89,5,0)</f>
        <v>18.892223999999942</v>
      </c>
      <c r="AK191" s="13">
        <f t="shared" si="164"/>
        <v>6.184089977612083</v>
      </c>
      <c r="AL191" s="20">
        <f t="shared" si="165"/>
        <v>43.674580177674272</v>
      </c>
      <c r="AM191" s="59">
        <f t="shared" si="113"/>
        <v>333.96862029776639</v>
      </c>
      <c r="AN191" s="59">
        <f ca="1">AVERAGE(OFFSET($AM$3,0,0,'Données projet'!$E$10+1,1))-AVERAGE(OFFSET($H$3,0,0,'Données projet'!$E$10+1,1))</f>
        <v>737.88151921331701</v>
      </c>
      <c r="AO191" s="59">
        <f t="shared" si="144"/>
        <v>270.70193491027487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200.18930763492429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200.18930763492429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69.171101850934207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4.45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16.316666666666666</v>
      </c>
      <c r="H192" s="66">
        <f t="shared" si="110"/>
        <v>191.4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189.55118397415424</v>
      </c>
      <c r="T192" s="59">
        <f t="shared" si="142"/>
        <v>456.28719984856014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1.6616362701591261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1.6616362701591261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20.879999999999939</v>
      </c>
      <c r="AJ192" s="13">
        <f>AI192*VLOOKUP('Données projet'!$B$10,Paramètres!$A$1:$I$89,3,0)*VLOOKUP('Données projet'!$B$10,Paramètres!$A$1:$I$89,5,0)</f>
        <v>18.892223999999942</v>
      </c>
      <c r="AK192" s="13">
        <f t="shared" si="164"/>
        <v>6.184089977612083</v>
      </c>
      <c r="AL192" s="20">
        <f t="shared" si="165"/>
        <v>43.674580177674272</v>
      </c>
      <c r="AM192" s="59">
        <f t="shared" si="113"/>
        <v>334.02134524017436</v>
      </c>
      <c r="AN192" s="59">
        <f ca="1">AVERAGE(OFFSET($AM$3,0,0,'Données projet'!$E$10+1,1))-AVERAGE(OFFSET($H$3,0,0,'Données projet'!$E$10+1,1))</f>
        <v>737.88151921331701</v>
      </c>
      <c r="AO192" s="59">
        <f t="shared" si="144"/>
        <v>270.70193491027487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196.26371741562437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196.26371741562437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69.18548138068185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4.45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16.316666666666666</v>
      </c>
      <c r="H193" s="66">
        <f t="shared" si="110"/>
        <v>191.4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189.55118397415424</v>
      </c>
      <c r="T193" s="59">
        <f t="shared" si="142"/>
        <v>456.28719984856014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1.616198738969971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1.616198738969971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20.879999999999939</v>
      </c>
      <c r="AJ193" s="13">
        <f>AI193*VLOOKUP('Données projet'!$B$10,Paramètres!$A$1:$I$89,3,0)*VLOOKUP('Données projet'!$B$10,Paramètres!$A$1:$I$89,5,0)</f>
        <v>18.892223999999942</v>
      </c>
      <c r="AK193" s="13">
        <f t="shared" si="164"/>
        <v>6.184089977612083</v>
      </c>
      <c r="AL193" s="20">
        <f t="shared" si="165"/>
        <v>43.674580177674272</v>
      </c>
      <c r="AM193" s="59">
        <f t="shared" si="113"/>
        <v>334.07315552270694</v>
      </c>
      <c r="AN193" s="59">
        <f ca="1">AVERAGE(OFFSET($AM$3,0,0,'Données projet'!$E$10+1,1))-AVERAGE(OFFSET($H$3,0,0,'Données projet'!$E$10+1,1))</f>
        <v>737.88151921331701</v>
      </c>
      <c r="AO193" s="59">
        <f t="shared" si="144"/>
        <v>270.70193491027487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192.4151056261513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192.4151056261513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69.199611457736182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4.45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16.316666666666666</v>
      </c>
      <c r="H194" s="66">
        <f t="shared" si="110"/>
        <v>191.4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189.55118397415424</v>
      </c>
      <c r="T194" s="59">
        <f t="shared" si="142"/>
        <v>456.28719984856014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1.5720036994606394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1.5720036994606394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20.879999999999939</v>
      </c>
      <c r="AJ194" s="13">
        <f>AI194*VLOOKUP('Données projet'!$B$10,Paramètres!$A$1:$I$89,3,0)*VLOOKUP('Données projet'!$B$10,Paramètres!$A$1:$I$89,5,0)</f>
        <v>18.892223999999942</v>
      </c>
      <c r="AK194" s="13">
        <f t="shared" si="164"/>
        <v>6.184089977612083</v>
      </c>
      <c r="AL194" s="20">
        <f t="shared" si="165"/>
        <v>43.674580177674272</v>
      </c>
      <c r="AM194" s="59">
        <f t="shared" si="113"/>
        <v>334.12406701266804</v>
      </c>
      <c r="AN194" s="59">
        <f ca="1">AVERAGE(OFFSET($AM$3,0,0,'Données projet'!$E$10+1,1))-AVERAGE(OFFSET($H$3,0,0,'Données projet'!$E$10+1,1))</f>
        <v>737.88151921331701</v>
      </c>
      <c r="AO194" s="59">
        <f t="shared" si="144"/>
        <v>270.70193491027487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188.64196276644842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188.64196276644842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69.213496409543751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4.45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16.316666666666666</v>
      </c>
      <c r="H195" s="66">
        <f t="shared" si="110"/>
        <v>191.4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189.55118397415424</v>
      </c>
      <c r="T195" s="59">
        <f t="shared" si="142"/>
        <v>456.28719984856014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1.5290171756308066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1.5290171756308066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20.879999999999939</v>
      </c>
      <c r="AJ195" s="13">
        <f>AI195*VLOOKUP('Données projet'!$B$10,Paramètres!$A$1:$I$89,3,0)*VLOOKUP('Données projet'!$B$10,Paramètres!$A$1:$I$89,5,0)</f>
        <v>18.892223999999942</v>
      </c>
      <c r="AK195" s="13">
        <f t="shared" si="164"/>
        <v>6.184089977612083</v>
      </c>
      <c r="AL195" s="20">
        <f t="shared" si="165"/>
        <v>43.674580177674272</v>
      </c>
      <c r="AM195" s="59">
        <f t="shared" si="113"/>
        <v>334.17409530209937</v>
      </c>
      <c r="AN195" s="59">
        <f ca="1">AVERAGE(OFFSET($AM$3,0,0,'Données projet'!$E$10+1,1))-AVERAGE(OFFSET($H$3,0,0,'Données projet'!$E$10+1,1))</f>
        <v>737.88151921331701</v>
      </c>
      <c r="AO195" s="59">
        <f t="shared" si="144"/>
        <v>270.70193491027487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184.94280893683438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184.94280893683438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69.227140488479577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4.45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16.316666666666666</v>
      </c>
      <c r="H196" s="66">
        <f t="shared" ref="H196:H203" si="192">(B196+E196+F196)*44/12+(C196+D196)*0.475*44/12</f>
        <v>191.4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189.55118397415424</v>
      </c>
      <c r="T196" s="59">
        <f t="shared" si="142"/>
        <v>456.28719984856014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1.4872061205556635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1.4872061205556635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20.879999999999939</v>
      </c>
      <c r="AJ196" s="13">
        <f>AI196*VLOOKUP('Données projet'!$B$10,Paramètres!$A$1:$I$89,3,0)*VLOOKUP('Données projet'!$B$10,Paramètres!$A$1:$I$89,5,0)</f>
        <v>18.892223999999942</v>
      </c>
      <c r="AK196" s="13">
        <f t="shared" si="164"/>
        <v>6.184089977612083</v>
      </c>
      <c r="AL196" s="20">
        <f t="shared" si="165"/>
        <v>43.674580177674272</v>
      </c>
      <c r="AM196" s="59">
        <f t="shared" ref="AM196:AM203" si="193">AL196+(AD196+AE196)*44/12</f>
        <v>334.2232557125555</v>
      </c>
      <c r="AN196" s="59">
        <f ca="1">AVERAGE(OFFSET($AM$3,0,0,'Données projet'!$E$10+1,1))-AVERAGE(OFFSET($H$3,0,0,'Données projet'!$E$10+1,1))</f>
        <v>737.88151921331701</v>
      </c>
      <c r="AO196" s="59">
        <f t="shared" si="144"/>
        <v>270.70193491027487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181.31619325755804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181.31619325755804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69.240547873149424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4.45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16.316666666666666</v>
      </c>
      <c r="H197" s="66">
        <f t="shared" si="192"/>
        <v>191.4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189.55118397415424</v>
      </c>
      <c r="T197" s="59">
        <f t="shared" ref="T197:T203" si="204">$T$3</f>
        <v>456.28719984856014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1.446538390980298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1.446538390980298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20.879999999999939</v>
      </c>
      <c r="AJ197" s="13">
        <f>AI197*VLOOKUP('Données projet'!$B$10,Paramètres!$A$1:$I$89,3,0)*VLOOKUP('Données projet'!$B$10,Paramètres!$A$1:$I$89,5,0)</f>
        <v>18.892223999999942</v>
      </c>
      <c r="AK197" s="13">
        <f t="shared" si="164"/>
        <v>6.184089977612083</v>
      </c>
      <c r="AL197" s="20">
        <f t="shared" si="165"/>
        <v>43.674580177674272</v>
      </c>
      <c r="AM197" s="59">
        <f t="shared" si="193"/>
        <v>334.27156329979653</v>
      </c>
      <c r="AN197" s="59">
        <f ca="1">AVERAGE(OFFSET($AM$3,0,0,'Données projet'!$E$10+1,1))-AVERAGE(OFFSET($H$3,0,0,'Données projet'!$E$10+1,1))</f>
        <v>737.88151921331701</v>
      </c>
      <c r="AO197" s="59">
        <f t="shared" ref="AO197:AO203" si="205">$AO$3</f>
        <v>270.70193491027487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177.76069329973515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177.76069329973515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69.253722669669699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4.45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16.316666666666666</v>
      </c>
      <c r="H198" s="66">
        <f t="shared" si="192"/>
        <v>191.4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189.55118397415424</v>
      </c>
      <c r="T198" s="59">
        <f t="shared" si="204"/>
        <v>456.28719984856014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1.4069827226087939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1.4069827226087939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20.879999999999939</v>
      </c>
      <c r="AJ198" s="13">
        <f>AI198*VLOOKUP('Données projet'!$B$10,Paramètres!$A$1:$I$89,3,0)*VLOOKUP('Données projet'!$B$10,Paramètres!$A$1:$I$89,5,0)</f>
        <v>18.892223999999942</v>
      </c>
      <c r="AK198" s="13">
        <f t="shared" si="164"/>
        <v>6.184089977612083</v>
      </c>
      <c r="AL198" s="20">
        <f t="shared" si="165"/>
        <v>43.674580177674272</v>
      </c>
      <c r="AM198" s="59">
        <f t="shared" si="193"/>
        <v>334.31903285839843</v>
      </c>
      <c r="AN198" s="59">
        <f ca="1">AVERAGE(OFFSET($AM$3,0,0,'Données projet'!$E$10+1,1))-AVERAGE(OFFSET($H$3,0,0,'Données projet'!$E$10+1,1))</f>
        <v>737.88151921331701</v>
      </c>
      <c r="AO198" s="59">
        <f t="shared" si="205"/>
        <v>270.70193491027487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174.27491452744434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174.27491452744434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69.266668912924771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4.45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16.316666666666666</v>
      </c>
      <c r="H199" s="66">
        <f t="shared" si="192"/>
        <v>191.4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189.55118397415424</v>
      </c>
      <c r="T199" s="59">
        <f t="shared" si="204"/>
        <v>456.28719984856014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1.3685087060690506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1.3685087060690506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20.879999999999939</v>
      </c>
      <c r="AJ199" s="13">
        <f>AI199*VLOOKUP('Données projet'!$B$10,Paramètres!$A$1:$I$89,3,0)*VLOOKUP('Données projet'!$B$10,Paramètres!$A$1:$I$89,5,0)</f>
        <v>18.892223999999942</v>
      </c>
      <c r="AK199" s="13">
        <f t="shared" si="164"/>
        <v>6.184089977612083</v>
      </c>
      <c r="AL199" s="20">
        <f t="shared" si="165"/>
        <v>43.674580177674272</v>
      </c>
      <c r="AM199" s="59">
        <f t="shared" si="193"/>
        <v>334.3656789262846</v>
      </c>
      <c r="AN199" s="59">
        <f ca="1">AVERAGE(OFFSET($AM$3,0,0,'Données projet'!$E$10+1,1))-AVERAGE(OFFSET($H$3,0,0,'Données projet'!$E$10+1,1))</f>
        <v>737.88151921331701</v>
      </c>
      <c r="AO199" s="59">
        <f t="shared" si="205"/>
        <v>270.70193491027487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170.85748975076305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170.85748975076305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69.279390567802821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4.45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16.316666666666666</v>
      </c>
      <c r="H200" s="66">
        <f t="shared" si="192"/>
        <v>191.4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189.55118397415424</v>
      </c>
      <c r="T200" s="59">
        <f t="shared" si="204"/>
        <v>456.28719984856014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1.3310867635348473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1.3310867635348473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20.879999999999939</v>
      </c>
      <c r="AJ200" s="13">
        <f>AI200*VLOOKUP('Données projet'!$B$10,Paramètres!$A$1:$I$89,3,0)*VLOOKUP('Données projet'!$B$10,Paramètres!$A$1:$I$89,5,0)</f>
        <v>18.892223999999942</v>
      </c>
      <c r="AK200" s="13">
        <f t="shared" si="164"/>
        <v>6.184089977612083</v>
      </c>
      <c r="AL200" s="20">
        <f t="shared" si="165"/>
        <v>43.674580177674272</v>
      </c>
      <c r="AM200" s="59">
        <f t="shared" si="193"/>
        <v>334.411515789178</v>
      </c>
      <c r="AN200" s="59">
        <f ca="1">AVERAGE(OFFSET($AM$3,0,0,'Données projet'!$E$10+1,1))-AVERAGE(OFFSET($H$3,0,0,'Données projet'!$E$10+1,1))</f>
        <v>737.88151921331701</v>
      </c>
      <c r="AO200" s="59">
        <f t="shared" si="205"/>
        <v>270.70193491027487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167.50707858952919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167.50707858952919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69.291891530410098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4.45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16.316666666666666</v>
      </c>
      <c r="H201" s="66">
        <f t="shared" si="192"/>
        <v>191.4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189.55118397415424</v>
      </c>
      <c r="T201" s="59">
        <f t="shared" si="204"/>
        <v>456.28719984856014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1.2946881259871763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1.2946881259871763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20.879999999999939</v>
      </c>
      <c r="AJ201" s="13">
        <f>AI201*VLOOKUP('Données projet'!$B$10,Paramètres!$A$1:$I$89,3,0)*VLOOKUP('Données projet'!$B$10,Paramètres!$A$1:$I$89,5,0)</f>
        <v>18.892223999999942</v>
      </c>
      <c r="AK201" s="13">
        <f t="shared" si="164"/>
        <v>6.184089977612083</v>
      </c>
      <c r="AL201" s="20">
        <f t="shared" si="165"/>
        <v>43.674580177674272</v>
      </c>
      <c r="AM201" s="59">
        <f t="shared" si="193"/>
        <v>334.45655748497609</v>
      </c>
      <c r="AN201" s="59">
        <f ca="1">AVERAGE(OFFSET($AM$3,0,0,'Données projet'!$E$10+1,1))-AVERAGE(OFFSET($H$3,0,0,'Données projet'!$E$10+1,1))</f>
        <v>737.88151921331701</v>
      </c>
      <c r="AO201" s="59">
        <f t="shared" si="205"/>
        <v>270.70193491027487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164.2223669476181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164.2223669476181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69.304175629264122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4.45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16.316666666666666</v>
      </c>
      <c r="H202" s="66">
        <f t="shared" si="192"/>
        <v>191.4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189.55118397415424</v>
      </c>
      <c r="T202" s="59">
        <f t="shared" si="204"/>
        <v>456.28719984856014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1.2592848110973676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1.2592848110973676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20.879999999999939</v>
      </c>
      <c r="AJ202" s="13">
        <f>AI202*VLOOKUP('Données projet'!$B$10,Paramètres!$A$1:$I$89,3,0)*VLOOKUP('Données projet'!$B$10,Paramètres!$A$1:$I$89,5,0)</f>
        <v>18.892223999999942</v>
      </c>
      <c r="AK202" s="13">
        <f t="shared" si="164"/>
        <v>6.184089977612083</v>
      </c>
      <c r="AL202" s="20">
        <f t="shared" si="165"/>
        <v>43.674580177674272</v>
      </c>
      <c r="AM202" s="59">
        <f t="shared" si="193"/>
        <v>334.5008178080501</v>
      </c>
      <c r="AN202" s="59">
        <f ca="1">AVERAGE(OFFSET($AM$3,0,0,'Données projet'!$E$10+1,1))-AVERAGE(OFFSET($H$3,0,0,'Données projet'!$E$10+1,1))</f>
        <v>737.88151921331701</v>
      </c>
      <c r="AO202" s="59">
        <f t="shared" si="205"/>
        <v>270.70193491027487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161.0020664975286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161.0020664975286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69.316246626466139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4.45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47.75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16.316666666666666</v>
      </c>
      <c r="H203" s="66">
        <f t="shared" si="192"/>
        <v>191.4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189.55118397415424</v>
      </c>
      <c r="T203" s="59">
        <f t="shared" si="204"/>
        <v>456.28719984856014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1.2248496017149999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1.2248496017149999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20.879999999999939</v>
      </c>
      <c r="AJ203" s="13">
        <f>AI203*VLOOKUP('Données projet'!$B$10,Paramètres!$A$1:$I$89,3,0)*VLOOKUP('Données projet'!$B$10,Paramètres!$A$1:$I$89,5,0)</f>
        <v>18.892223999999942</v>
      </c>
      <c r="AK203" s="13">
        <f t="shared" si="164"/>
        <v>6.184089977612083</v>
      </c>
      <c r="AL203" s="20">
        <f t="shared" si="165"/>
        <v>43.674580177674272</v>
      </c>
      <c r="AM203" s="59">
        <f t="shared" si="193"/>
        <v>334.54431031347013</v>
      </c>
      <c r="AN203" s="59">
        <f ca="1">AVERAGE(OFFSET($AM$3,0,0,'Données projet'!$E$10+1,1))-AVERAGE(OFFSET($H$3,0,0,'Données projet'!$E$10+1,1))</f>
        <v>737.88151921331701</v>
      </c>
      <c r="AO203" s="59">
        <f t="shared" si="205"/>
        <v>270.70193491027487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157.84491417507604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157.84491417507604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69.328108218853416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1.1690615875887691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taeda</v>
      </c>
      <c r="B6" s="144">
        <f>'Données projet'!D9</f>
        <v>8.6396757500000003</v>
      </c>
      <c r="C6" s="145">
        <f ca="1">IF(OR('Données projet'!B9="",'Données projet'!C9="",'Données projet'!C9=0%),0,Calculateur!S3)</f>
        <v>189.55118397415424</v>
      </c>
      <c r="D6" s="145">
        <f>IF(OR('Données projet'!B9="",'Données projet'!C9="",'Données projet'!C9=0%),0,Calculateur!T3)</f>
        <v>456.28719984856014</v>
      </c>
      <c r="E6" s="145">
        <f ca="1">MIN(C6,D6)</f>
        <v>189.55118397415424</v>
      </c>
      <c r="F6" s="145">
        <f ca="1">E6*B6</f>
        <v>1637.660767565289</v>
      </c>
      <c r="G6" s="145">
        <f ca="1">F6*(100%-'Données projet'!$C$24)*(100%-'Données projet'!$C$25)*(100%-'Données projet'!$C$26)*(100%-'Données projet'!$C$27)</f>
        <v>1400.199956268322</v>
      </c>
      <c r="H6" s="146">
        <f>IF(OR('Données projet'!B9="",'Données projet'!C9="",'Données projet'!C9=0%),0,AVERAGE(Calculateur!$AC$3:$AC$33)*B6)</f>
        <v>147.44343162246648</v>
      </c>
      <c r="I6" s="147">
        <f>H6*(100%-'Données projet'!$C$24)*(100%-'Données projet'!$C$25)*(100%-'Données projet'!$C$26)*(100%-'Données projet'!$C$27)</f>
        <v>126.06413403720883</v>
      </c>
      <c r="J6" s="148">
        <f>IF(OR('Données projet'!B9="",'Données projet'!C9="",'Données projet'!C9=0%),0,SUM(Calculateur!$V$3:$V$33)*VLOOKUP('Données projet'!$B$9,Paramètres!$A$1:$I$89,9,0)*B6)</f>
        <v>1642.056773045</v>
      </c>
      <c r="K6" s="149">
        <f>J6*(100%-'Données projet'!$C$24)*(100%-'Données projet'!$C$25)*(100%-'Données projet'!$C$26)*(100%-'Données projet'!$C$27)</f>
        <v>1403.958540953475</v>
      </c>
      <c r="L6" s="150">
        <f ca="1">G6+I6+K6</f>
        <v>2930.2226312590055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0.61032425000000001</v>
      </c>
      <c r="C7" s="145">
        <f ca="1">IF(OR('Données projet'!B10="",'Données projet'!C10="",'Données projet'!C10=0%),0,Calculateur!AN3)</f>
        <v>737.88151921331701</v>
      </c>
      <c r="D7" s="145">
        <f>IF(OR('Données projet'!B10="",'Données projet'!C10="",'Données projet'!C10=0%),0,Calculateur!AO3)</f>
        <v>270.70193491027487</v>
      </c>
      <c r="E7" s="145">
        <f t="shared" ref="E7:E15" ca="1" si="0">MIN(C7,D7)</f>
        <v>270.70193491027487</v>
      </c>
      <c r="F7" s="145">
        <f t="shared" ref="F7:F15" ca="1" si="1">E7*B7</f>
        <v>165.21595539766233</v>
      </c>
      <c r="G7" s="145">
        <f ca="1">F7*(100%-'Données projet'!$C$24)*(100%-'Données projet'!$C$25)*(100%-'Données projet'!$C$26)*(100%-'Données projet'!$C$27)</f>
        <v>141.2596418650013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141.2596418650013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1802.8767229629514</v>
      </c>
      <c r="G16" s="164">
        <f t="shared" ca="1" si="3"/>
        <v>1541.4595981333232</v>
      </c>
      <c r="H16" s="165">
        <f t="shared" si="3"/>
        <v>147.44343162246648</v>
      </c>
      <c r="I16" s="165">
        <f t="shared" si="3"/>
        <v>126.06413403720883</v>
      </c>
      <c r="J16" s="166">
        <f t="shared" si="3"/>
        <v>1642.056773045</v>
      </c>
      <c r="K16" s="166">
        <f t="shared" si="3"/>
        <v>1403.958540953475</v>
      </c>
      <c r="L16" s="167">
        <f t="shared" ca="1" si="3"/>
        <v>3071.482273124007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taeda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C43" sqref="C43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taeda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1569.9482073863337</v>
      </c>
      <c r="U10" s="176">
        <f>'Données projet'!D9</f>
        <v>8.6396757500000003</v>
      </c>
      <c r="V10" s="175">
        <f>U10*T10</f>
        <v>13563.843456111679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5004.3230561680411</v>
      </c>
      <c r="U11" s="176">
        <f>'Données projet'!D10</f>
        <v>0.61032425000000001</v>
      </c>
      <c r="V11" s="175">
        <f t="shared" ref="V11" si="0">U11*T11</f>
        <v>3054.2597160134678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taeda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1313.28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2819.21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>
        <v>1100</v>
      </c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-26540.846672278018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>
        <v>20</v>
      </c>
      <c r="D24" s="180">
        <f t="shared" ref="D24:D42" si="2">B24*C24</f>
        <v>680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>
        <v>1100</v>
      </c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-26540.846672278018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>
        <v>20</v>
      </c>
      <c r="D29" s="180">
        <f t="shared" si="2"/>
        <v>860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>
        <v>20</v>
      </c>
      <c r="D34" s="180">
        <f t="shared" si="2"/>
        <v>1120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>
        <v>20</v>
      </c>
      <c r="D42" s="180">
        <f t="shared" si="2"/>
        <v>6180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2798.42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34</v>
      </c>
      <c r="B55" s="179">
        <f>'Données projet'!D63</f>
        <v>35.450000000000003</v>
      </c>
      <c r="C55" s="189">
        <v>235</v>
      </c>
      <c r="D55" s="177">
        <f t="shared" ref="D55:D73" si="4">B55*C55</f>
        <v>8330.75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42</v>
      </c>
      <c r="B56" s="179">
        <f>'Données projet'!D64</f>
        <v>55.41</v>
      </c>
      <c r="C56" s="189">
        <v>235</v>
      </c>
      <c r="D56" s="177">
        <f t="shared" si="4"/>
        <v>13021.349999999999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50</v>
      </c>
      <c r="B57" s="179">
        <f>'Données projet'!D65</f>
        <v>66.62</v>
      </c>
      <c r="C57" s="189">
        <v>235</v>
      </c>
      <c r="D57" s="177">
        <f t="shared" si="4"/>
        <v>15655.7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58</v>
      </c>
      <c r="B58" s="179">
        <f>'Données projet'!D66</f>
        <v>62.16</v>
      </c>
      <c r="C58" s="189">
        <v>235</v>
      </c>
      <c r="D58" s="177">
        <f t="shared" si="4"/>
        <v>14607.599999999999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66</v>
      </c>
      <c r="B59" s="179">
        <f>'Données projet'!D67</f>
        <v>71.34</v>
      </c>
      <c r="C59" s="189">
        <v>235</v>
      </c>
      <c r="D59" s="177">
        <f t="shared" si="4"/>
        <v>16764.900000000001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74</v>
      </c>
      <c r="B60" s="179">
        <f>'Données projet'!D68</f>
        <v>70.209999999999994</v>
      </c>
      <c r="C60" s="189">
        <v>235</v>
      </c>
      <c r="D60" s="177">
        <f t="shared" si="4"/>
        <v>16499.349999999999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82</v>
      </c>
      <c r="B61" s="179">
        <f>'Données projet'!D69</f>
        <v>53.92</v>
      </c>
      <c r="C61" s="189">
        <v>235</v>
      </c>
      <c r="D61" s="177">
        <f t="shared" si="4"/>
        <v>12671.2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90</v>
      </c>
      <c r="B62" s="179">
        <f>'Données projet'!D70</f>
        <v>63.25</v>
      </c>
      <c r="C62" s="189">
        <v>235</v>
      </c>
      <c r="D62" s="177">
        <f t="shared" si="4"/>
        <v>14863.75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100</v>
      </c>
      <c r="B63" s="179">
        <f>'Données projet'!D71</f>
        <v>85.23</v>
      </c>
      <c r="C63" s="189">
        <v>235</v>
      </c>
      <c r="D63" s="177">
        <f t="shared" si="4"/>
        <v>20029.05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110</v>
      </c>
      <c r="B64" s="179">
        <f>'Données projet'!D72</f>
        <v>67.22</v>
      </c>
      <c r="C64" s="189">
        <v>235</v>
      </c>
      <c r="D64" s="177">
        <f t="shared" si="4"/>
        <v>15796.699999999999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120</v>
      </c>
      <c r="B65" s="179">
        <f>'Données projet'!D73</f>
        <v>60.46</v>
      </c>
      <c r="C65" s="189">
        <v>235</v>
      </c>
      <c r="D65" s="177">
        <f t="shared" si="4"/>
        <v>14208.1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130</v>
      </c>
      <c r="B66" s="179">
        <f>'Données projet'!D74</f>
        <v>69</v>
      </c>
      <c r="C66" s="189">
        <v>235</v>
      </c>
      <c r="D66" s="177">
        <f t="shared" si="4"/>
        <v>16215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140</v>
      </c>
      <c r="B67" s="179">
        <f>'Données projet'!D75</f>
        <v>67.930000000000007</v>
      </c>
      <c r="C67" s="189">
        <v>235</v>
      </c>
      <c r="D67" s="177">
        <f t="shared" si="4"/>
        <v>15963.550000000001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150</v>
      </c>
      <c r="B68" s="179">
        <f>'Données projet'!D76</f>
        <v>234.51</v>
      </c>
      <c r="C68" s="189">
        <v>235</v>
      </c>
      <c r="D68" s="177">
        <f t="shared" si="4"/>
        <v>55109.85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153</v>
      </c>
      <c r="B69" s="179">
        <f>'Données projet'!D77</f>
        <v>141.22</v>
      </c>
      <c r="C69" s="189">
        <v>235</v>
      </c>
      <c r="D69" s="177">
        <f t="shared" si="4"/>
        <v>33186.699999999997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156</v>
      </c>
      <c r="B70" s="179">
        <f>'Données projet'!D78</f>
        <v>87.28</v>
      </c>
      <c r="C70" s="189">
        <v>235</v>
      </c>
      <c r="D70" s="177">
        <f t="shared" si="4"/>
        <v>20510.8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159</v>
      </c>
      <c r="B71" s="179">
        <f>'Données projet'!D79</f>
        <v>180.6</v>
      </c>
      <c r="C71" s="189">
        <v>235</v>
      </c>
      <c r="D71" s="177">
        <f t="shared" si="4"/>
        <v>42441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2025-01-17T10:24:21Z</dcterms:modified>
</cp:coreProperties>
</file>