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31 LAVAZAN [ESPAGNET]\Documents LBC\"/>
    </mc:Choice>
  </mc:AlternateContent>
  <xr:revisionPtr revIDLastSave="0" documentId="13_ncr:1_{FD678134-BC42-4581-9346-926862B51435}" xr6:coauthVersionLast="47" xr6:coauthVersionMax="47" xr10:uidLastSave="{00000000-0000-0000-0000-000000000000}"/>
  <bookViews>
    <workbookView xWindow="-30828" yWindow="-24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1" l="1"/>
  <c r="B71" i="1"/>
  <c r="B70" i="1"/>
  <c r="B69" i="1"/>
  <c r="B68" i="1"/>
  <c r="B67" i="1"/>
  <c r="B66" i="1"/>
  <c r="B65" i="1"/>
  <c r="B64" i="1"/>
  <c r="B63" i="1"/>
  <c r="B45" i="1"/>
  <c r="D45" i="1" s="1"/>
  <c r="B44" i="1"/>
  <c r="B43" i="1"/>
  <c r="B42" i="1"/>
  <c r="B41" i="1"/>
  <c r="B40" i="1"/>
  <c r="B39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EC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HG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EX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G113" i="2"/>
  <c r="FS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S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DH164" i="2"/>
  <c r="FS164" i="2"/>
  <c r="EV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EB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FR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8" i="2" l="1" a="1"/>
  <c r="BC68" i="2" s="1"/>
  <c r="BC117" i="2" a="1"/>
  <c r="BC117" i="2" s="1"/>
  <c r="BC58" i="2" a="1"/>
  <c r="BC58" i="2" s="1"/>
  <c r="BC65" i="2" a="1"/>
  <c r="BC65" i="2" s="1"/>
  <c r="BC114" i="2" a="1"/>
  <c r="BC114" i="2" s="1"/>
  <c r="BC82" i="2" a="1"/>
  <c r="BC82" i="2" s="1"/>
  <c r="AH92" i="2" a="1"/>
  <c r="AH92" i="2" s="1"/>
  <c r="AH62" i="2" a="1"/>
  <c r="AH62" i="2" s="1"/>
  <c r="AH19" i="2" a="1"/>
  <c r="AH19" i="2" s="1"/>
  <c r="AH90" i="2" a="1"/>
  <c r="AH90" i="2" s="1"/>
  <c r="AH163" i="2" a="1"/>
  <c r="AH163" i="2" s="1"/>
  <c r="AH199" i="2" a="1"/>
  <c r="AH19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182" i="2" l="1"/>
  <c r="CD60" i="2"/>
  <c r="CD154" i="2"/>
  <c r="CD76" i="2"/>
  <c r="CD87" i="2"/>
  <c r="CD167" i="2"/>
  <c r="CD77" i="2"/>
  <c r="CD44" i="2"/>
  <c r="CD78" i="2"/>
  <c r="CD47" i="2"/>
  <c r="CD46" i="2"/>
  <c r="CD7" i="2"/>
  <c r="CD42" i="2"/>
  <c r="CD141" i="2"/>
  <c r="CD91" i="2"/>
  <c r="CD37" i="2"/>
  <c r="CD163" i="2"/>
  <c r="CD36" i="2"/>
  <c r="CD73" i="2"/>
  <c r="CD138" i="2"/>
  <c r="CD199" i="2"/>
  <c r="CD125" i="2"/>
  <c r="CD58" i="2"/>
  <c r="CD83" i="2"/>
  <c r="CD95" i="2"/>
  <c r="CD166" i="2"/>
  <c r="CD201" i="2"/>
  <c r="CD67" i="2"/>
  <c r="CD56" i="2"/>
  <c r="CD189" i="2"/>
  <c r="CD160" i="2"/>
  <c r="CD66" i="2"/>
  <c r="CD157" i="2"/>
  <c r="CD90" i="2"/>
  <c r="CD89" i="2"/>
  <c r="CD161" i="2"/>
  <c r="CD150" i="2"/>
  <c r="CD129" i="2"/>
  <c r="CD159" i="2"/>
  <c r="CD71" i="2"/>
  <c r="CD108" i="2"/>
  <c r="CD5" i="2"/>
  <c r="CD127" i="2"/>
  <c r="CD172" i="2"/>
  <c r="CD178" i="2"/>
  <c r="CD17" i="2"/>
  <c r="CD145" i="2"/>
  <c r="CD20" i="2"/>
  <c r="CD119" i="2"/>
  <c r="CD121" i="2"/>
  <c r="CD50" i="2"/>
  <c r="CD45" i="2"/>
  <c r="CD123" i="2"/>
  <c r="CD106" i="2"/>
  <c r="CD27" i="2"/>
  <c r="CD94" i="2"/>
  <c r="CD170" i="2"/>
  <c r="CD176" i="2"/>
  <c r="CD41" i="2"/>
  <c r="CD133" i="2"/>
  <c r="CD51" i="2"/>
  <c r="CD98" i="2"/>
  <c r="CD202" i="2"/>
  <c r="CD187" i="2"/>
  <c r="CD14" i="2"/>
  <c r="CD29" i="2"/>
  <c r="CD155" i="2"/>
  <c r="CD11" i="2"/>
  <c r="CD96" i="2"/>
  <c r="CD139" i="2"/>
  <c r="CD21" i="2"/>
  <c r="CD164" i="2"/>
  <c r="CD149" i="2"/>
  <c r="CD136" i="2"/>
  <c r="CD183" i="2"/>
  <c r="CD70" i="2"/>
  <c r="CD200" i="2"/>
  <c r="CD9" i="2"/>
  <c r="CD84" i="2"/>
  <c r="CD177" i="2"/>
  <c r="CD195" i="2"/>
  <c r="CD55" i="2"/>
  <c r="CD92" i="2"/>
  <c r="CD135" i="2"/>
  <c r="CD63" i="2"/>
  <c r="CD43" i="2"/>
  <c r="CD8" i="2"/>
  <c r="CD104" i="2"/>
  <c r="CD53" i="2"/>
  <c r="CD151" i="2"/>
  <c r="CD122" i="2"/>
  <c r="CD48" i="2"/>
  <c r="CD34" i="2"/>
  <c r="CD57" i="2"/>
  <c r="CD25" i="2"/>
  <c r="CD12" i="2"/>
  <c r="CD198" i="2"/>
  <c r="CD30" i="2"/>
  <c r="CD19" i="2"/>
  <c r="CD148" i="2"/>
  <c r="CD115" i="2"/>
  <c r="CD62" i="2"/>
  <c r="CD103" i="2"/>
  <c r="CD69" i="2"/>
  <c r="CD97" i="2"/>
  <c r="CD132" i="2"/>
  <c r="CD162" i="2"/>
  <c r="CD181" i="2"/>
  <c r="CD24" i="2"/>
  <c r="CD86" i="2"/>
  <c r="CD39" i="2"/>
  <c r="CD72" i="2"/>
  <c r="CD102" i="2"/>
  <c r="CD165" i="2"/>
  <c r="CD168" i="2"/>
  <c r="CD35" i="2"/>
  <c r="CD4" i="2"/>
  <c r="CD26" i="2"/>
  <c r="CD173" i="2"/>
  <c r="CD52" i="2"/>
  <c r="CD128" i="2"/>
  <c r="CD110" i="2"/>
  <c r="CD13" i="2"/>
  <c r="CD109" i="2"/>
  <c r="CD59" i="2"/>
  <c r="CD99" i="2"/>
  <c r="CD184" i="2"/>
  <c r="CD193" i="2"/>
  <c r="CD28" i="2"/>
  <c r="CD85" i="2"/>
  <c r="CD152" i="2"/>
  <c r="CD118" i="2"/>
  <c r="CD68" i="2"/>
  <c r="CD158" i="2"/>
  <c r="CD147" i="2"/>
  <c r="CD196" i="2"/>
  <c r="CD61" i="2"/>
  <c r="CD175" i="2"/>
  <c r="CD140" i="2"/>
  <c r="CD79" i="2"/>
  <c r="CD144" i="2"/>
  <c r="CD105" i="2"/>
  <c r="CD191" i="2"/>
  <c r="CD203" i="2"/>
  <c r="CD101" i="2"/>
  <c r="CD188" i="2"/>
  <c r="CD3" i="2"/>
  <c r="C9" i="4" s="1"/>
  <c r="E9" i="4" s="1"/>
  <c r="F9" i="4" s="1"/>
  <c r="G9" i="4" s="1"/>
  <c r="L9" i="4" s="1"/>
  <c r="CD80" i="2"/>
  <c r="CD23" i="2"/>
  <c r="CD16" i="2"/>
  <c r="CD190" i="2"/>
  <c r="CD117" i="2"/>
  <c r="CD10" i="2"/>
  <c r="CD197" i="2"/>
  <c r="CD134" i="2"/>
  <c r="CD156" i="2"/>
  <c r="CD131" i="2"/>
  <c r="CD33" i="2"/>
  <c r="CD186" i="2"/>
  <c r="CD124" i="2"/>
  <c r="CD126" i="2"/>
  <c r="CD40" i="2"/>
  <c r="CD143" i="2"/>
  <c r="CD153" i="2"/>
  <c r="CD88" i="2"/>
  <c r="CD142" i="2"/>
  <c r="CD192" i="2"/>
  <c r="CD194" i="2"/>
  <c r="CD74" i="2"/>
  <c r="CD75" i="2"/>
  <c r="CD54" i="2"/>
  <c r="CD22" i="2"/>
  <c r="CD81" i="2"/>
  <c r="CD32" i="2"/>
  <c r="CD146" i="2"/>
  <c r="CD116" i="2"/>
  <c r="CD114" i="2"/>
  <c r="CD31" i="2"/>
  <c r="CD64" i="2"/>
  <c r="CD82" i="2"/>
  <c r="CD113" i="2"/>
  <c r="CD111" i="2"/>
  <c r="CD169" i="2"/>
  <c r="CD179" i="2"/>
  <c r="CD65" i="2"/>
  <c r="CD107" i="2"/>
  <c r="CD185" i="2"/>
  <c r="CD180" i="2"/>
  <c r="CD38" i="2"/>
  <c r="CD174" i="2"/>
  <c r="CD120" i="2"/>
  <c r="CD93" i="2"/>
  <c r="CD112" i="2"/>
  <c r="CD171" i="2"/>
  <c r="CD130" i="2"/>
  <c r="CD49" i="2"/>
  <c r="CD137" i="2"/>
  <c r="CD15" i="2"/>
  <c r="CD6" i="2"/>
  <c r="CD18" i="2"/>
  <c r="CD10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70" i="2" l="1"/>
  <c r="BI20" i="2"/>
  <c r="BI91" i="2"/>
  <c r="BI188" i="2"/>
  <c r="BI126" i="2"/>
  <c r="BI45" i="2"/>
  <c r="BI120" i="2"/>
  <c r="BI77" i="2"/>
  <c r="BI60" i="2"/>
  <c r="BI84" i="2"/>
  <c r="BI125" i="2"/>
  <c r="BI134" i="2"/>
  <c r="BI99" i="2"/>
  <c r="BI58" i="2"/>
  <c r="BI116" i="2"/>
  <c r="BI57" i="2"/>
  <c r="BI22" i="2"/>
  <c r="BI176" i="2"/>
  <c r="BI68" i="2"/>
  <c r="BI154" i="2"/>
  <c r="BI7" i="2"/>
  <c r="BI129" i="2"/>
  <c r="BI164" i="2"/>
  <c r="BI144" i="2"/>
  <c r="BI111" i="2"/>
  <c r="BI49" i="2"/>
  <c r="BI107" i="2"/>
  <c r="BI185" i="2"/>
  <c r="BI44" i="2"/>
  <c r="BI23" i="2"/>
  <c r="BI61" i="2"/>
  <c r="BI138" i="2"/>
  <c r="BI187" i="2"/>
  <c r="BI146" i="2"/>
  <c r="BI168" i="2"/>
  <c r="BI65" i="2"/>
  <c r="BI89" i="2"/>
  <c r="BI145" i="2"/>
  <c r="BI48" i="2"/>
  <c r="BI11" i="2"/>
  <c r="BI180" i="2"/>
  <c r="BI196" i="2"/>
  <c r="BI178" i="2"/>
  <c r="BI118" i="2"/>
  <c r="BI121" i="2"/>
  <c r="BI186" i="2"/>
  <c r="BI31" i="2"/>
  <c r="BI92" i="2"/>
  <c r="BI25" i="2"/>
  <c r="BI47" i="2"/>
  <c r="BI139" i="2"/>
  <c r="BI181" i="2"/>
  <c r="BI16" i="2"/>
  <c r="BI127" i="2"/>
  <c r="BI199" i="2"/>
  <c r="BI64" i="2"/>
  <c r="BI18" i="2"/>
  <c r="BI67" i="2"/>
  <c r="BI21" i="2"/>
  <c r="BI34" i="2"/>
  <c r="BI184" i="2"/>
  <c r="BI56" i="2"/>
  <c r="BI50" i="2"/>
  <c r="BI192" i="2"/>
  <c r="BI70" i="2"/>
  <c r="BI72" i="2"/>
  <c r="BI167" i="2"/>
  <c r="BI106" i="2"/>
  <c r="BI171" i="2"/>
  <c r="BI100" i="2"/>
  <c r="BI76" i="2"/>
  <c r="BI59" i="2"/>
  <c r="BI39" i="2"/>
  <c r="BI28" i="2"/>
  <c r="BI155" i="2"/>
  <c r="BI81" i="2"/>
  <c r="BI104" i="2"/>
  <c r="BI142" i="2"/>
  <c r="BI166" i="2"/>
  <c r="BI148" i="2"/>
  <c r="BI14" i="2"/>
  <c r="BI53" i="2"/>
  <c r="BI51" i="2"/>
  <c r="BI195" i="2"/>
  <c r="BI115" i="2"/>
  <c r="BI66" i="2"/>
  <c r="BI157" i="2"/>
  <c r="BI112" i="2"/>
  <c r="BI32" i="2"/>
  <c r="BI29" i="2"/>
  <c r="BI6" i="2"/>
  <c r="BI55" i="2"/>
  <c r="BI15" i="2"/>
  <c r="BI63" i="2"/>
  <c r="BI198" i="2"/>
  <c r="BI117" i="2"/>
  <c r="BI203" i="2"/>
  <c r="BI37" i="2"/>
  <c r="BI41" i="2"/>
  <c r="BI42" i="2"/>
  <c r="BI94" i="2"/>
  <c r="BI110" i="2"/>
  <c r="BI9" i="2"/>
  <c r="BI5" i="2"/>
  <c r="BI24" i="2"/>
  <c r="BI197" i="2"/>
  <c r="BI101" i="2"/>
  <c r="BI174" i="2"/>
  <c r="BI87" i="2"/>
  <c r="BI161" i="2"/>
  <c r="BI190" i="2"/>
  <c r="BI95" i="2"/>
  <c r="BI141" i="2"/>
  <c r="BI200" i="2"/>
  <c r="BI98" i="2"/>
  <c r="BI128" i="2"/>
  <c r="BI169" i="2"/>
  <c r="BI12" i="2"/>
  <c r="BI162" i="2"/>
  <c r="BI147" i="2"/>
  <c r="BI36" i="2"/>
  <c r="BI93" i="2"/>
  <c r="BI83" i="2"/>
  <c r="BI88" i="2"/>
  <c r="BI90" i="2"/>
  <c r="BI3" i="2"/>
  <c r="C8" i="4" s="1"/>
  <c r="E8" i="4" s="1"/>
  <c r="F8" i="4" s="1"/>
  <c r="G8" i="4" s="1"/>
  <c r="L8" i="4" s="1"/>
  <c r="BI75" i="2"/>
  <c r="BI189" i="2"/>
  <c r="BI105" i="2"/>
  <c r="BI74" i="2"/>
  <c r="BI109" i="2"/>
  <c r="BI163" i="2"/>
  <c r="BI96" i="2"/>
  <c r="BI135" i="2"/>
  <c r="BI149" i="2"/>
  <c r="BI173" i="2"/>
  <c r="BI179" i="2"/>
  <c r="BI159" i="2"/>
  <c r="BI133" i="2"/>
  <c r="BI52" i="2"/>
  <c r="BI73" i="2"/>
  <c r="BI191" i="2"/>
  <c r="BI4" i="2"/>
  <c r="BI103" i="2"/>
  <c r="BI177" i="2"/>
  <c r="BI71" i="2"/>
  <c r="BI79" i="2"/>
  <c r="BI143" i="2"/>
  <c r="BI172" i="2"/>
  <c r="BI85" i="2"/>
  <c r="BI153" i="2"/>
  <c r="BI13" i="2"/>
  <c r="BI182" i="2"/>
  <c r="BI152" i="2"/>
  <c r="BI202" i="2"/>
  <c r="BI69" i="2"/>
  <c r="BI86" i="2"/>
  <c r="BI114" i="2"/>
  <c r="BI123" i="2"/>
  <c r="BI158" i="2"/>
  <c r="BI131" i="2"/>
  <c r="BI80" i="2"/>
  <c r="BI102" i="2"/>
  <c r="BI183" i="2"/>
  <c r="BI156" i="2"/>
  <c r="BI194" i="2"/>
  <c r="BI26" i="2"/>
  <c r="BI27" i="2"/>
  <c r="BI137" i="2"/>
  <c r="BI160" i="2"/>
  <c r="BI130" i="2"/>
  <c r="BI193" i="2"/>
  <c r="BI136" i="2"/>
  <c r="BI175" i="2"/>
  <c r="BI150" i="2"/>
  <c r="BI140" i="2"/>
  <c r="BI124" i="2"/>
  <c r="BI108" i="2"/>
  <c r="BI122" i="2"/>
  <c r="BI54" i="2"/>
  <c r="BI43" i="2"/>
  <c r="BI113" i="2"/>
  <c r="BI40" i="2"/>
  <c r="BI17" i="2"/>
  <c r="BI132" i="2"/>
  <c r="BI38" i="2"/>
  <c r="BI19" i="2"/>
  <c r="BI97" i="2"/>
  <c r="BI8" i="2"/>
  <c r="BI151" i="2"/>
  <c r="BI119" i="2"/>
  <c r="BI46" i="2"/>
  <c r="BI30" i="2"/>
  <c r="BI82" i="2"/>
  <c r="BI33" i="2"/>
  <c r="BI62" i="2"/>
  <c r="BI10" i="2"/>
  <c r="BI201" i="2"/>
  <c r="BI78" i="2"/>
  <c r="BI165" i="2"/>
  <c r="BI3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<sst xmlns="http://schemas.openxmlformats.org/spreadsheetml/2006/main" count="1172" uniqueCount="324">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</sst>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141.70314168283105</c:v>
                </c:pt>
                <c:pt idx="22">
                  <c:v>156.7381873159442</c:v>
                </c:pt>
                <c:pt idx="23">
                  <c:v>171.73898922232453</c:v>
                </c:pt>
                <c:pt idx="24">
                  <c:v>186.70896148611726</c:v>
                </c:pt>
                <c:pt idx="25">
                  <c:v>201.65092519188457</c:v>
                </c:pt>
                <c:pt idx="26">
                  <c:v>216.56724871446315</c:v>
                </c:pt>
                <c:pt idx="27">
                  <c:v>231.45994723108015</c:v>
                </c:pt>
                <c:pt idx="28">
                  <c:v>246.33075522558093</c:v>
                </c:pt>
                <c:pt idx="29">
                  <c:v>261.18118053705035</c:v>
                </c:pt>
                <c:pt idx="30">
                  <c:v>276.01254545472335</c:v>
                </c:pt>
                <c:pt idx="31">
                  <c:v>194.36550298334649</c:v>
                </c:pt>
                <c:pt idx="32">
                  <c:v>214.38589248354251</c:v>
                </c:pt>
                <c:pt idx="33">
                  <c:v>234.36323716840602</c:v>
                </c:pt>
                <c:pt idx="34">
                  <c:v>254.30172220416441</c:v>
                </c:pt>
                <c:pt idx="35">
                  <c:v>274.20482243650338</c:v>
                </c:pt>
                <c:pt idx="36">
                  <c:v>294.07546687495898</c:v>
                </c:pt>
                <c:pt idx="37">
                  <c:v>313.91615631143912</c:v>
                </c:pt>
                <c:pt idx="38">
                  <c:v>333.72904960580678</c:v>
                </c:pt>
                <c:pt idx="39">
                  <c:v>353.51602838820548</c:v>
                </c:pt>
                <c:pt idx="40">
                  <c:v>373.27874650728057</c:v>
                </c:pt>
                <c:pt idx="41">
                  <c:v>292.63136713800856</c:v>
                </c:pt>
                <c:pt idx="42">
                  <c:v>312.83467185841931</c:v>
                </c:pt>
                <c:pt idx="43">
                  <c:v>333.00904545770453</c:v>
                </c:pt>
                <c:pt idx="44">
                  <c:v>353.15648638435545</c:v>
                </c:pt>
                <c:pt idx="45">
                  <c:v>373.27874650728046</c:v>
                </c:pt>
                <c:pt idx="46">
                  <c:v>393.37737346788646</c:v>
                </c:pt>
                <c:pt idx="47">
                  <c:v>413.45374392164439</c:v>
                </c:pt>
                <c:pt idx="48">
                  <c:v>433.50908998495447</c:v>
                </c:pt>
                <c:pt idx="49">
                  <c:v>453.54452053248133</c:v>
                </c:pt>
                <c:pt idx="50">
                  <c:v>473.56103853531016</c:v>
                </c:pt>
                <c:pt idx="51">
                  <c:v>390.86628899650503</c:v>
                </c:pt>
                <c:pt idx="52">
                  <c:v>408.43666822000955</c:v>
                </c:pt>
                <c:pt idx="53">
                  <c:v>425.99072614453195</c:v>
                </c:pt>
                <c:pt idx="54">
                  <c:v>443.52922971069125</c:v>
                </c:pt>
                <c:pt idx="55">
                  <c:v>461.05288028198476</c:v>
                </c:pt>
                <c:pt idx="56">
                  <c:v>478.56232158259263</c:v>
                </c:pt>
                <c:pt idx="57">
                  <c:v>496.0581464132178</c:v>
                </c:pt>
                <c:pt idx="58">
                  <c:v>513.54090237038565</c:v>
                </c:pt>
                <c:pt idx="59">
                  <c:v>531.01109674664531</c:v>
                </c:pt>
                <c:pt idx="60">
                  <c:v>548.46920075259288</c:v>
                </c:pt>
                <c:pt idx="61">
                  <c:v>463.73380248274316</c:v>
                </c:pt>
                <c:pt idx="62">
                  <c:v>478.91951340591186</c:v>
                </c:pt>
                <c:pt idx="63">
                  <c:v>494.09499021774013</c:v>
                </c:pt>
                <c:pt idx="64">
                  <c:v>509.26059140461649</c:v>
                </c:pt>
                <c:pt idx="65">
                  <c:v>524.41665236850611</c:v>
                </c:pt>
                <c:pt idx="66">
                  <c:v>539.56348755148167</c:v>
                </c:pt>
                <c:pt idx="67">
                  <c:v>554.70139230936422</c:v>
                </c:pt>
                <c:pt idx="68">
                  <c:v>569.83064457027274</c:v>
                </c:pt>
                <c:pt idx="69">
                  <c:v>584.95150630794706</c:v>
                </c:pt>
                <c:pt idx="70">
                  <c:v>600.06422485487678</c:v>
                </c:pt>
                <c:pt idx="71">
                  <c:v>513.54090237038565</c:v>
                </c:pt>
                <c:pt idx="72">
                  <c:v>526.73381719865961</c:v>
                </c:pt>
                <c:pt idx="73">
                  <c:v>539.91977501567953</c:v>
                </c:pt>
                <c:pt idx="74">
                  <c:v>553.09896961944332</c:v>
                </c:pt>
                <c:pt idx="75">
                  <c:v>566.27158482196944</c:v>
                </c:pt>
                <c:pt idx="76">
                  <c:v>579.43779518903796</c:v>
                </c:pt>
                <c:pt idx="77">
                  <c:v>592.59776670922179</c:v>
                </c:pt>
                <c:pt idx="78">
                  <c:v>605.75165740042166</c:v>
                </c:pt>
                <c:pt idx="79">
                  <c:v>618.89961786100014</c:v>
                </c:pt>
                <c:pt idx="80">
                  <c:v>632.0417917716685</c:v>
                </c:pt>
                <c:pt idx="81">
                  <c:v>544.19484035365758</c:v>
                </c:pt>
                <c:pt idx="82">
                  <c:v>555.94765399766129</c:v>
                </c:pt>
                <c:pt idx="83">
                  <c:v>567.69526466939328</c:v>
                </c:pt>
                <c:pt idx="84">
                  <c:v>579.43779518903796</c:v>
                </c:pt>
                <c:pt idx="85">
                  <c:v>591.17536299398307</c:v>
                </c:pt>
                <c:pt idx="86">
                  <c:v>602.90808047917312</c:v>
                </c:pt>
                <c:pt idx="87">
                  <c:v>614.63605530959683</c:v>
                </c:pt>
                <c:pt idx="88">
                  <c:v>626.35939070769689</c:v>
                </c:pt>
                <c:pt idx="89">
                  <c:v>638.07818571814698</c:v>
                </c:pt>
                <c:pt idx="90">
                  <c:v>649.79253545217807</c:v>
                </c:pt>
                <c:pt idx="91">
                  <c:v>560.7541165002707</c:v>
                </c:pt>
                <c:pt idx="92">
                  <c:v>571.25413823451788</c:v>
                </c:pt>
                <c:pt idx="93">
                  <c:v>581.75012922929784</c:v>
                </c:pt>
                <c:pt idx="94">
                  <c:v>592.24217245006037</c:v>
                </c:pt>
                <c:pt idx="95">
                  <c:v>602.73034768336277</c:v>
                </c:pt>
                <c:pt idx="96">
                  <c:v>613.2147317130424</c:v>
                </c:pt>
                <c:pt idx="97">
                  <c:v>623.69539848371835</c:v>
                </c:pt>
                <c:pt idx="98">
                  <c:v>634.17241925273436</c:v>
                </c:pt>
                <c:pt idx="99">
                  <c:v>644.64586273154202</c:v>
                </c:pt>
                <c:pt idx="100">
                  <c:v>655.11579521742192</c:v>
                </c:pt>
                <c:pt idx="101">
                  <c:v>566.62751179237432</c:v>
                </c:pt>
                <c:pt idx="102">
                  <c:v>575.87998196277465</c:v>
                </c:pt>
                <c:pt idx="103">
                  <c:v>585.12934986312894</c:v>
                </c:pt>
                <c:pt idx="104">
                  <c:v>594.37567144551679</c:v>
                </c:pt>
                <c:pt idx="105">
                  <c:v>603.61900077928829</c:v>
                </c:pt>
                <c:pt idx="106">
                  <c:v>612.85939014289318</c:v>
                </c:pt>
                <c:pt idx="107">
                  <c:v>622.09689010988507</c:v>
                </c:pt>
                <c:pt idx="108">
                  <c:v>631.33154962955348</c:v>
                </c:pt>
                <c:pt idx="109">
                  <c:v>640.56341610259108</c:v>
                </c:pt>
                <c:pt idx="110">
                  <c:v>649.79253545217739</c:v>
                </c:pt>
                <c:pt idx="111">
                  <c:v>567.16139348415504</c:v>
                </c:pt>
                <c:pt idx="112">
                  <c:v>575.16836435383277</c:v>
                </c:pt>
                <c:pt idx="113">
                  <c:v>583.17300871029261</c:v>
                </c:pt>
                <c:pt idx="114">
                  <c:v>591.17536299398284</c:v>
                </c:pt>
                <c:pt idx="115">
                  <c:v>599.17546257825927</c:v>
                </c:pt>
                <c:pt idx="116">
                  <c:v>607.17334181477145</c:v>
                </c:pt>
                <c:pt idx="117">
                  <c:v>615.1690340763322</c:v>
                </c:pt>
                <c:pt idx="118">
                  <c:v>623.16257179744446</c:v>
                </c:pt>
                <c:pt idx="119">
                  <c:v>631.15398651263843</c:v>
                </c:pt>
                <c:pt idx="120">
                  <c:v>639.1433088927696</c:v>
                </c:pt>
                <c:pt idx="121">
                  <c:v>562.89004481391976</c:v>
                </c:pt>
                <c:pt idx="122">
                  <c:v>570.18652494495871</c:v>
                </c:pt>
                <c:pt idx="123">
                  <c:v>577.48105450943058</c:v>
                </c:pt>
                <c:pt idx="124">
                  <c:v>584.77366162583417</c:v>
                </c:pt>
                <c:pt idx="125">
                  <c:v>592.06437365402064</c:v>
                </c:pt>
                <c:pt idx="126">
                  <c:v>599.35321722495371</c:v>
                </c:pt>
                <c:pt idx="127">
                  <c:v>606.64021826894884</c:v>
                </c:pt>
                <c:pt idx="128">
                  <c:v>613.9254020424836</c:v>
                </c:pt>
                <c:pt idx="129">
                  <c:v>621.2087931536704</c:v>
                </c:pt>
                <c:pt idx="130">
                  <c:v>628.49041558647207</c:v>
                </c:pt>
                <c:pt idx="131">
                  <c:v>557.01583171739901</c:v>
                </c:pt>
                <c:pt idx="132">
                  <c:v>563.77996485783626</c:v>
                </c:pt>
                <c:pt idx="133">
                  <c:v>570.5424006783586</c:v>
                </c:pt>
                <c:pt idx="134">
                  <c:v>577.30316213955939</c:v>
                </c:pt>
                <c:pt idx="135">
                  <c:v>584.06227162025073</c:v>
                </c:pt>
                <c:pt idx="136">
                  <c:v>590.81975093891413</c:v>
                </c:pt>
                <c:pt idx="137">
                  <c:v>597.57562137411867</c:v>
                </c:pt>
                <c:pt idx="138">
                  <c:v>604.32990368396679</c:v>
                </c:pt>
                <c:pt idx="139">
                  <c:v>611.08261812462547</c:v>
                </c:pt>
                <c:pt idx="140">
                  <c:v>617.8337844679985</c:v>
                </c:pt>
                <c:pt idx="141">
                  <c:v>550.96225460584606</c:v>
                </c:pt>
                <c:pt idx="142">
                  <c:v>557.01583171739912</c:v>
                </c:pt>
                <c:pt idx="143">
                  <c:v>563.06803117603829</c:v>
                </c:pt>
                <c:pt idx="144">
                  <c:v>569.11886988378967</c:v>
                </c:pt>
                <c:pt idx="145">
                  <c:v>575.16836435383323</c:v>
                </c:pt>
                <c:pt idx="146">
                  <c:v>581.2165307235349</c:v>
                </c:pt>
                <c:pt idx="147">
                  <c:v>587.26338476690717</c:v>
                </c:pt>
                <c:pt idx="148">
                  <c:v>593.3089419065285</c:v>
                </c:pt>
                <c:pt idx="149">
                  <c:v>599.35321722495371</c:v>
                </c:pt>
                <c:pt idx="150">
                  <c:v>605.39622547563852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5" t="s">
        <v>291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2:13" ht="15" customHeight="1" x14ac:dyDescent="0.3"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</row>
    <row r="14" spans="2:13" ht="15" customHeight="1" x14ac:dyDescent="0.3"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</row>
    <row r="15" spans="2:13" ht="18.75" customHeight="1" x14ac:dyDescent="0.3"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</row>
    <row r="16" spans="2:13" ht="18.75" customHeight="1" x14ac:dyDescent="0.3"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</row>
    <row r="18" spans="2:13" ht="12" customHeight="1" x14ac:dyDescent="0.3">
      <c r="B18" s="255" t="s">
        <v>292</v>
      </c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</row>
    <row r="19" spans="2:13" ht="12" customHeight="1" x14ac:dyDescent="0.3"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</row>
    <row r="20" spans="2:13" ht="12" customHeight="1" x14ac:dyDescent="0.3"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2:13" ht="12" customHeight="1" x14ac:dyDescent="0.3"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</row>
    <row r="22" spans="2:13" ht="12" customHeight="1" x14ac:dyDescent="0.3"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</row>
    <row r="23" spans="2:13" ht="12" customHeight="1" x14ac:dyDescent="0.3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</row>
    <row r="24" spans="2:13" ht="12" customHeight="1" x14ac:dyDescent="0.3"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</row>
    <row r="25" spans="2:13" ht="12" customHeight="1" x14ac:dyDescent="0.3"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</row>
    <row r="26" spans="2:13" ht="12" customHeight="1" x14ac:dyDescent="0.3"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  <row r="27" spans="2:13" ht="12" customHeight="1" x14ac:dyDescent="0.3"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2:13" ht="12" customHeight="1" x14ac:dyDescent="0.3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2:13" ht="12" customHeight="1" x14ac:dyDescent="0.3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</row>
    <row r="30" spans="2:13" ht="12" customHeight="1" x14ac:dyDescent="0.3"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</row>
    <row r="31" spans="2:13" ht="12" customHeight="1" x14ac:dyDescent="0.3"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5" zoomScale="85" zoomScaleNormal="85" zoomScaleSheetLayoutView="40" workbookViewId="0">
      <selection activeCell="E29" sqref="E2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0" t="s">
        <v>190</v>
      </c>
      <c r="D1" s="260"/>
      <c r="E1" s="26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1" t="s">
        <v>192</v>
      </c>
      <c r="C3" s="262"/>
      <c r="D3" s="262"/>
      <c r="E3" s="262"/>
      <c r="F3" s="263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6" t="s">
        <v>231</v>
      </c>
      <c r="B5" s="266"/>
      <c r="C5" s="24">
        <v>12.5</v>
      </c>
      <c r="D5" s="267" t="s">
        <v>229</v>
      </c>
      <c r="E5" s="268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5" t="s">
        <v>226</v>
      </c>
      <c r="B7" s="265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0.48</v>
      </c>
      <c r="D9" s="33">
        <f t="shared" ref="D9:D18" si="0">C9*$C$5</f>
        <v>6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0.47</v>
      </c>
      <c r="D10" s="33">
        <f t="shared" si="0"/>
        <v>5.875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11</v>
      </c>
      <c r="C11" s="32">
        <v>0.05</v>
      </c>
      <c r="D11" s="33">
        <f t="shared" si="0"/>
        <v>0.625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12.5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4" t="s">
        <v>232</v>
      </c>
      <c r="B22" s="26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5" t="s">
        <v>227</v>
      </c>
      <c r="B30" s="265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56" t="s">
        <v>186</v>
      </c>
      <c r="D34" s="256"/>
      <c r="E34" s="257" t="s">
        <v>187</v>
      </c>
      <c r="F34" s="258"/>
      <c r="G34" s="258"/>
      <c r="H34" s="259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56" t="s">
        <v>186</v>
      </c>
      <c r="D60" s="256"/>
      <c r="E60" s="257" t="s">
        <v>187</v>
      </c>
      <c r="F60" s="258"/>
      <c r="G60" s="258"/>
      <c r="H60" s="259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12</v>
      </c>
      <c r="B62" s="60">
        <v>46.2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3.85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16</v>
      </c>
      <c r="B63" s="60">
        <f>107.5-D62</f>
        <v>107.5</v>
      </c>
      <c r="C63" s="60">
        <v>2</v>
      </c>
      <c r="D63" s="60">
        <v>25</v>
      </c>
      <c r="E63" s="51"/>
      <c r="F63" s="51"/>
      <c r="G63" s="51">
        <v>0.5</v>
      </c>
      <c r="H63" s="51">
        <v>0.5</v>
      </c>
      <c r="I63" s="49">
        <f>IF(A63&lt;&gt;0,(B63-(B62-D62))/(A63-A62),"")</f>
        <v>15.324999999999999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f>176.3-SUM(D62:D63)</f>
        <v>151.30000000000001</v>
      </c>
      <c r="C64" s="60">
        <v>3</v>
      </c>
      <c r="D64" s="60">
        <v>33.700000000000003</v>
      </c>
      <c r="E64" s="51">
        <v>0.2</v>
      </c>
      <c r="F64" s="51"/>
      <c r="G64" s="51">
        <v>0.6</v>
      </c>
      <c r="H64" s="51">
        <v>0.2</v>
      </c>
      <c r="I64" s="49">
        <f>IF(A64&lt;&gt;0,(B64-(B63-D63))/(A64-A63),"")</f>
        <v>17.200000000000003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24</v>
      </c>
      <c r="B65" s="60">
        <f>255.9-SUM(D62:D64)</f>
        <v>197.2</v>
      </c>
      <c r="C65" s="60">
        <v>4</v>
      </c>
      <c r="D65" s="60">
        <v>42.9</v>
      </c>
      <c r="E65" s="51">
        <v>0.3</v>
      </c>
      <c r="F65" s="51"/>
      <c r="G65" s="51">
        <v>0.5</v>
      </c>
      <c r="H65" s="51">
        <v>0.2</v>
      </c>
      <c r="I65" s="49">
        <f>IF(A65&lt;&gt;0,(B65-(B64-D64))/(A65-A64),"")</f>
        <v>19.899999999999995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28</v>
      </c>
      <c r="B66" s="60">
        <f>335.4-SUM(D62:D65)</f>
        <v>233.79999999999998</v>
      </c>
      <c r="C66" s="60">
        <v>5</v>
      </c>
      <c r="D66" s="60">
        <v>41.4</v>
      </c>
      <c r="E66" s="51">
        <v>0.5</v>
      </c>
      <c r="F66" s="51"/>
      <c r="G66" s="51">
        <v>0.4</v>
      </c>
      <c r="H66" s="51">
        <v>0.1</v>
      </c>
      <c r="I66" s="49">
        <f t="shared" ref="I66:I81" si="2">IF(A66&lt;&gt;0,(B66-(B65-D65))/(A66-A65),"")</f>
        <v>19.875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34</v>
      </c>
      <c r="B67" s="60">
        <f>447.6-SUM(D62:D66)</f>
        <v>304.60000000000002</v>
      </c>
      <c r="C67" s="60">
        <v>6</v>
      </c>
      <c r="D67" s="60">
        <v>59.9</v>
      </c>
      <c r="E67" s="51">
        <v>0.7</v>
      </c>
      <c r="F67" s="51"/>
      <c r="G67" s="51">
        <v>0.2</v>
      </c>
      <c r="H67" s="51">
        <v>0.1</v>
      </c>
      <c r="I67" s="49">
        <f t="shared" si="2"/>
        <v>18.700000000000006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f>536.7-SUM(D62:D67)</f>
        <v>333.80000000000007</v>
      </c>
      <c r="C68" s="60">
        <v>7</v>
      </c>
      <c r="D68" s="60">
        <v>34.1</v>
      </c>
      <c r="E68" s="51"/>
      <c r="F68" s="51"/>
      <c r="G68" s="51"/>
      <c r="H68" s="51"/>
      <c r="I68" s="49">
        <f t="shared" si="2"/>
        <v>14.850000000000009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46</v>
      </c>
      <c r="B69" s="50">
        <f>603-SUM(D62:D68)</f>
        <v>366</v>
      </c>
      <c r="C69" s="50">
        <v>8</v>
      </c>
      <c r="D69" s="50">
        <v>21.3</v>
      </c>
      <c r="E69" s="51"/>
      <c r="F69" s="51"/>
      <c r="G69" s="51"/>
      <c r="H69" s="51"/>
      <c r="I69" s="49">
        <f t="shared" si="2"/>
        <v>11.049999999999992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54</v>
      </c>
      <c r="B70" s="50">
        <f>661.4-SUM(D62:D69)</f>
        <v>403.09999999999997</v>
      </c>
      <c r="C70" s="50">
        <v>9</v>
      </c>
      <c r="D70" s="50">
        <v>17.399999999999999</v>
      </c>
      <c r="E70" s="51"/>
      <c r="F70" s="51"/>
      <c r="G70" s="51"/>
      <c r="H70" s="51"/>
      <c r="I70" s="49">
        <f t="shared" si="2"/>
        <v>7.2999999999999972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62</v>
      </c>
      <c r="B71" s="50">
        <f>685.7-SUM(D62:D70)</f>
        <v>410.00000000000006</v>
      </c>
      <c r="C71" s="50">
        <v>10</v>
      </c>
      <c r="D71" s="50">
        <f>B71</f>
        <v>410.00000000000006</v>
      </c>
      <c r="E71" s="51"/>
      <c r="F71" s="51"/>
      <c r="G71" s="51"/>
      <c r="H71" s="51"/>
      <c r="I71" s="49">
        <f t="shared" si="2"/>
        <v>3.0375000000000085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pédonculé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56" t="s">
        <v>186</v>
      </c>
      <c r="D86" s="256"/>
      <c r="E86" s="257" t="s">
        <v>187</v>
      </c>
      <c r="F86" s="258"/>
      <c r="G86" s="258"/>
      <c r="H86" s="259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73</v>
      </c>
      <c r="C88" s="60">
        <v>1</v>
      </c>
      <c r="D88" s="60">
        <v>6</v>
      </c>
      <c r="E88" s="51"/>
      <c r="F88" s="51"/>
      <c r="G88" s="51"/>
      <c r="H88" s="51">
        <v>1</v>
      </c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149</v>
      </c>
      <c r="C89" s="60">
        <v>2</v>
      </c>
      <c r="D89" s="60">
        <v>56</v>
      </c>
      <c r="E89" s="51"/>
      <c r="F89" s="51"/>
      <c r="G89" s="51"/>
      <c r="H89" s="51">
        <v>1</v>
      </c>
      <c r="I89" s="53">
        <f t="shared" ref="I89:I107" si="3">IF(A89&lt;&gt;0,(B89-(B88-D88))/(A89-A88),"")</f>
        <v>8.1999999999999993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203</v>
      </c>
      <c r="C90" s="60">
        <v>3</v>
      </c>
      <c r="D90" s="60">
        <v>56</v>
      </c>
      <c r="E90" s="51"/>
      <c r="F90" s="51"/>
      <c r="G90" s="51"/>
      <c r="H90" s="51">
        <v>1</v>
      </c>
      <c r="I90" s="53">
        <f t="shared" si="3"/>
        <v>11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259</v>
      </c>
      <c r="C91" s="60">
        <v>4</v>
      </c>
      <c r="D91" s="60">
        <v>56</v>
      </c>
      <c r="E91" s="51">
        <v>0.85</v>
      </c>
      <c r="F91" s="51"/>
      <c r="G91" s="51"/>
      <c r="H91" s="51">
        <v>0.15</v>
      </c>
      <c r="I91" s="53">
        <f t="shared" si="3"/>
        <v>11.2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301</v>
      </c>
      <c r="C92" s="60">
        <v>5</v>
      </c>
      <c r="D92" s="60">
        <v>56</v>
      </c>
      <c r="E92" s="51">
        <v>0.85</v>
      </c>
      <c r="F92" s="51"/>
      <c r="G92" s="51"/>
      <c r="H92" s="51">
        <v>0.15</v>
      </c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330</v>
      </c>
      <c r="C93" s="60">
        <v>6</v>
      </c>
      <c r="D93" s="60">
        <v>56</v>
      </c>
      <c r="E93" s="51">
        <v>0.85</v>
      </c>
      <c r="F93" s="51"/>
      <c r="G93" s="51"/>
      <c r="H93" s="51">
        <v>0.15</v>
      </c>
      <c r="I93" s="53">
        <f t="shared" si="3"/>
        <v>8.5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348</v>
      </c>
      <c r="C94" s="60">
        <v>7</v>
      </c>
      <c r="D94" s="60">
        <v>56</v>
      </c>
      <c r="E94" s="51">
        <v>0.85</v>
      </c>
      <c r="F94" s="51"/>
      <c r="G94" s="51"/>
      <c r="H94" s="51">
        <v>0.15</v>
      </c>
      <c r="I94" s="53">
        <f t="shared" si="3"/>
        <v>7.4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v>358</v>
      </c>
      <c r="C95" s="60">
        <v>8</v>
      </c>
      <c r="D95" s="60">
        <v>56</v>
      </c>
      <c r="E95" s="51">
        <v>0.85</v>
      </c>
      <c r="F95" s="51"/>
      <c r="G95" s="51"/>
      <c r="H95" s="51">
        <v>0.15</v>
      </c>
      <c r="I95" s="53">
        <f t="shared" si="3"/>
        <v>6.6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v>361</v>
      </c>
      <c r="C96" s="60">
        <v>9</v>
      </c>
      <c r="D96" s="60">
        <v>55</v>
      </c>
      <c r="E96" s="51">
        <v>0.85</v>
      </c>
      <c r="F96" s="51"/>
      <c r="G96" s="51"/>
      <c r="H96" s="51">
        <v>0.15</v>
      </c>
      <c r="I96" s="53">
        <f t="shared" si="3"/>
        <v>5.9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110</v>
      </c>
      <c r="B97" s="60">
        <v>358</v>
      </c>
      <c r="C97" s="60">
        <v>10</v>
      </c>
      <c r="D97" s="60">
        <v>51</v>
      </c>
      <c r="E97" s="51">
        <v>0.85</v>
      </c>
      <c r="F97" s="51"/>
      <c r="G97" s="51"/>
      <c r="H97" s="51">
        <v>0.15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120</v>
      </c>
      <c r="B98" s="60">
        <v>352</v>
      </c>
      <c r="C98" s="60">
        <v>11</v>
      </c>
      <c r="D98" s="60">
        <v>47</v>
      </c>
      <c r="E98" s="51">
        <v>0.85</v>
      </c>
      <c r="F98" s="51"/>
      <c r="G98" s="51"/>
      <c r="H98" s="51">
        <v>0.15</v>
      </c>
      <c r="I98" s="53">
        <f t="shared" si="3"/>
        <v>4.5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130</v>
      </c>
      <c r="B99" s="60">
        <v>346</v>
      </c>
      <c r="C99" s="60">
        <v>12</v>
      </c>
      <c r="D99" s="60">
        <v>44</v>
      </c>
      <c r="E99" s="51">
        <v>0.85</v>
      </c>
      <c r="F99" s="51"/>
      <c r="G99" s="51"/>
      <c r="H99" s="51">
        <v>0.15</v>
      </c>
      <c r="I99" s="53">
        <f t="shared" si="3"/>
        <v>4.0999999999999996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140</v>
      </c>
      <c r="B100" s="60">
        <v>340</v>
      </c>
      <c r="C100" s="60">
        <v>13</v>
      </c>
      <c r="D100" s="60">
        <v>41</v>
      </c>
      <c r="E100" s="51">
        <v>0.85</v>
      </c>
      <c r="F100" s="51"/>
      <c r="G100" s="51"/>
      <c r="H100" s="51">
        <v>0.15</v>
      </c>
      <c r="I100" s="53">
        <f t="shared" si="3"/>
        <v>3.8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150</v>
      </c>
      <c r="B101" s="60">
        <v>333</v>
      </c>
      <c r="C101" s="60">
        <v>14</v>
      </c>
      <c r="D101" s="60">
        <v>333</v>
      </c>
      <c r="E101" s="51">
        <v>0.85</v>
      </c>
      <c r="F101" s="51"/>
      <c r="G101" s="51"/>
      <c r="H101" s="51">
        <v>0.15</v>
      </c>
      <c r="I101" s="53">
        <f t="shared" si="3"/>
        <v>3.4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56" t="s">
        <v>186</v>
      </c>
      <c r="D112" s="256"/>
      <c r="E112" s="257" t="s">
        <v>187</v>
      </c>
      <c r="F112" s="258"/>
      <c r="G112" s="258"/>
      <c r="H112" s="259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30</v>
      </c>
      <c r="B114" s="60">
        <v>54</v>
      </c>
      <c r="C114" s="50">
        <v>1</v>
      </c>
      <c r="D114" s="60">
        <v>0</v>
      </c>
      <c r="E114" s="51"/>
      <c r="F114" s="51"/>
      <c r="G114" s="51"/>
      <c r="H114" s="51">
        <v>1</v>
      </c>
      <c r="I114" s="53">
        <f>IFERROR(B114/A114,"")</f>
        <v>1.8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40</v>
      </c>
      <c r="B115" s="60">
        <v>106</v>
      </c>
      <c r="C115" s="50">
        <v>2</v>
      </c>
      <c r="D115" s="60">
        <v>27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5.2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50</v>
      </c>
      <c r="B116" s="60">
        <v>135</v>
      </c>
      <c r="C116" s="50">
        <v>3</v>
      </c>
      <c r="D116" s="60">
        <v>28</v>
      </c>
      <c r="E116" s="51"/>
      <c r="F116" s="51"/>
      <c r="G116" s="51"/>
      <c r="H116" s="51">
        <v>1</v>
      </c>
      <c r="I116" s="53">
        <f t="shared" si="4"/>
        <v>5.6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60</v>
      </c>
      <c r="B117" s="60">
        <v>163</v>
      </c>
      <c r="C117" s="50">
        <v>4</v>
      </c>
      <c r="D117" s="60">
        <v>28</v>
      </c>
      <c r="E117" s="51">
        <v>0.85</v>
      </c>
      <c r="F117" s="51"/>
      <c r="G117" s="51"/>
      <c r="H117" s="51">
        <v>0.15</v>
      </c>
      <c r="I117" s="53">
        <f t="shared" si="4"/>
        <v>5.6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70</v>
      </c>
      <c r="B118" s="60">
        <v>187</v>
      </c>
      <c r="C118" s="50">
        <v>5</v>
      </c>
      <c r="D118" s="60">
        <v>28</v>
      </c>
      <c r="E118" s="51">
        <v>0.85</v>
      </c>
      <c r="F118" s="51"/>
      <c r="G118" s="51"/>
      <c r="H118" s="51">
        <v>0.15</v>
      </c>
      <c r="I118" s="53">
        <f t="shared" si="4"/>
        <v>5.2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80</v>
      </c>
      <c r="B119" s="60">
        <v>206</v>
      </c>
      <c r="C119" s="50">
        <v>6</v>
      </c>
      <c r="D119" s="60">
        <v>28</v>
      </c>
      <c r="E119" s="51">
        <v>0.85</v>
      </c>
      <c r="F119" s="51"/>
      <c r="G119" s="51"/>
      <c r="H119" s="51">
        <v>0.15</v>
      </c>
      <c r="I119" s="53">
        <f t="shared" si="4"/>
        <v>4.7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90</v>
      </c>
      <c r="B120" s="60">
        <v>221</v>
      </c>
      <c r="C120" s="60">
        <v>7</v>
      </c>
      <c r="D120" s="60">
        <v>28</v>
      </c>
      <c r="E120" s="51">
        <v>0.85</v>
      </c>
      <c r="F120" s="51"/>
      <c r="G120" s="51"/>
      <c r="H120" s="51">
        <v>0.15</v>
      </c>
      <c r="I120" s="53">
        <f t="shared" si="4"/>
        <v>4.3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100</v>
      </c>
      <c r="B121" s="60">
        <v>230</v>
      </c>
      <c r="C121" s="60">
        <v>8</v>
      </c>
      <c r="D121" s="60">
        <v>28</v>
      </c>
      <c r="E121" s="51">
        <v>0.85</v>
      </c>
      <c r="F121" s="51"/>
      <c r="G121" s="51"/>
      <c r="H121" s="51">
        <v>0.15</v>
      </c>
      <c r="I121" s="53">
        <f t="shared" si="4"/>
        <v>3.7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110</v>
      </c>
      <c r="B122" s="60">
        <v>234</v>
      </c>
      <c r="C122" s="60">
        <v>9</v>
      </c>
      <c r="D122" s="60">
        <v>27</v>
      </c>
      <c r="E122" s="51">
        <v>0.85</v>
      </c>
      <c r="F122" s="51"/>
      <c r="G122" s="51"/>
      <c r="H122" s="51">
        <v>0.15</v>
      </c>
      <c r="I122" s="53">
        <f t="shared" si="4"/>
        <v>3.2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120</v>
      </c>
      <c r="B123" s="60">
        <v>233</v>
      </c>
      <c r="C123" s="60">
        <v>10</v>
      </c>
      <c r="D123" s="60">
        <v>25</v>
      </c>
      <c r="E123" s="51">
        <v>0.85</v>
      </c>
      <c r="F123" s="51"/>
      <c r="G123" s="51"/>
      <c r="H123" s="51">
        <v>0.15</v>
      </c>
      <c r="I123" s="53">
        <f t="shared" si="4"/>
        <v>2.6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130</v>
      </c>
      <c r="B124" s="60">
        <v>230</v>
      </c>
      <c r="C124" s="60">
        <v>11</v>
      </c>
      <c r="D124" s="60">
        <v>21</v>
      </c>
      <c r="E124" s="51">
        <v>0.85</v>
      </c>
      <c r="F124" s="51"/>
      <c r="G124" s="51"/>
      <c r="H124" s="51">
        <v>0.15</v>
      </c>
      <c r="I124" s="53">
        <f t="shared" si="4"/>
        <v>2.2000000000000002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140</v>
      </c>
      <c r="B125" s="60">
        <v>227</v>
      </c>
      <c r="C125" s="60">
        <v>12</v>
      </c>
      <c r="D125" s="60">
        <v>17</v>
      </c>
      <c r="E125" s="51">
        <v>0.85</v>
      </c>
      <c r="F125" s="51"/>
      <c r="G125" s="51"/>
      <c r="H125" s="51">
        <v>0.15</v>
      </c>
      <c r="I125" s="53">
        <f t="shared" si="4"/>
        <v>1.8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150</v>
      </c>
      <c r="B126" s="60">
        <v>223</v>
      </c>
      <c r="C126" s="60">
        <v>13</v>
      </c>
      <c r="D126" s="60">
        <v>223</v>
      </c>
      <c r="E126" s="51">
        <v>0.85</v>
      </c>
      <c r="F126" s="51"/>
      <c r="G126" s="51"/>
      <c r="H126" s="51">
        <v>0.15</v>
      </c>
      <c r="I126" s="53">
        <f t="shared" si="4"/>
        <v>1.3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51"/>
      <c r="F127" s="51"/>
      <c r="G127" s="51"/>
      <c r="H127" s="51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56" t="s">
        <v>186</v>
      </c>
      <c r="D138" s="256"/>
      <c r="E138" s="257" t="s">
        <v>187</v>
      </c>
      <c r="F138" s="258"/>
      <c r="G138" s="258"/>
      <c r="H138" s="259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56" t="s">
        <v>186</v>
      </c>
      <c r="D164" s="256"/>
      <c r="E164" s="257" t="s">
        <v>187</v>
      </c>
      <c r="F164" s="258"/>
      <c r="G164" s="258"/>
      <c r="H164" s="259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56" t="s">
        <v>186</v>
      </c>
      <c r="D190" s="256"/>
      <c r="E190" s="257" t="s">
        <v>187</v>
      </c>
      <c r="F190" s="258"/>
      <c r="G190" s="258"/>
      <c r="H190" s="259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56" t="s">
        <v>186</v>
      </c>
      <c r="D216" s="256"/>
      <c r="E216" s="257" t="s">
        <v>187</v>
      </c>
      <c r="F216" s="258"/>
      <c r="G216" s="258"/>
      <c r="H216" s="259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56" t="s">
        <v>186</v>
      </c>
      <c r="D242" s="256"/>
      <c r="E242" s="257" t="s">
        <v>187</v>
      </c>
      <c r="F242" s="258"/>
      <c r="G242" s="258"/>
      <c r="H242" s="259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56" t="s">
        <v>186</v>
      </c>
      <c r="D268" s="256"/>
      <c r="E268" s="257" t="s">
        <v>187</v>
      </c>
      <c r="F268" s="258"/>
      <c r="G268" s="258"/>
      <c r="H268" s="259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33" fitToHeight="0" orientation="portrait" r:id="rId1"/>
  <rowBreaks count="1" manualBreakCount="1">
    <brk id="82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25" sqref="G2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0" t="s">
        <v>191</v>
      </c>
      <c r="C2" s="271"/>
      <c r="D2" s="271"/>
      <c r="E2" s="271"/>
      <c r="F2" s="271"/>
      <c r="G2" s="27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69"/>
      <c r="C4" s="269"/>
      <c r="D4" s="269"/>
      <c r="E4" s="269"/>
      <c r="F4" s="269"/>
      <c r="G4" s="26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6" t="s">
        <v>176</v>
      </c>
      <c r="C1" s="277"/>
      <c r="D1" s="277"/>
      <c r="E1" s="277"/>
      <c r="F1" s="277"/>
      <c r="G1" s="277"/>
      <c r="H1" s="278"/>
      <c r="I1" s="273" t="str">
        <f>IF('Données projet'!$B$9="","",'Données projet'!$B$9)</f>
        <v>Pin maritime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4" t="str">
        <f>IF('Données projet'!$B$10="","",'Données projet'!$B$10)</f>
        <v>Pin taeda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 t="str">
        <f>IF('Données projet'!$B$11="","",'Données projet'!$B$11)</f>
        <v>Chêne pédonculé</v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 t="str">
        <f>IF('Données projet'!$B$12="","",'Données projet'!$B$12)</f>
        <v/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 t="str">
        <f>IF('Données projet'!$B$13="","",'Données projet'!$B$13)</f>
        <v/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 t="str">
        <f>IF('Données projet'!$B$14="","",'Données projet'!$B$14)</f>
        <v/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 t="str">
        <f>IF('Données projet'!$B$15="","",'Données projet'!$B$15)</f>
        <v/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 t="str">
        <f>IF('Données projet'!$B$16="","",'Données projet'!$B$16)</f>
        <v/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 t="str">
        <f>IF('Données projet'!$B$17="","",'Données projet'!$B$17)</f>
        <v/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 t="str">
        <f>IF('Données projet'!$B$18="","",'Données projet'!$B$18)</f>
        <v/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318.97291652986593</v>
      </c>
      <c r="T3" s="59">
        <f>IF('Données projet'!E9&gt;30,$R$33-$H$33,LOOKUP('Données projet'!$E$9,$A$3:$A$203,R3:R203)-LOOKUP('Données projet'!$E$9,$A$3:$A$203,$H$3:$H$203))</f>
        <v>338.19413170988122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318.97291652986593</v>
      </c>
      <c r="AO3" s="59">
        <f>IF('Données projet'!E10&gt;30,$AM$33-$H$33,LOOKUP('Données projet'!$E$10,$A$3:$A$203,AM3:AM203)-LOOKUP('Données projet'!$E$10,$A$3:$A$203,$H$3:$H$203))</f>
        <v>338.19413170988122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476.64466005965136</v>
      </c>
      <c r="BJ3" s="59">
        <f>IF('Données projet'!E11&gt;30,$BH$33-$H$33,LOOKUP('Données projet'!$E$11,$A$3:$A$203,BH3:BH203)-LOOKUP('Données projet'!$E$11,$A$3:$A$203,$H$3:$H$203))</f>
        <v>312.67921212138998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259.99809744566926</v>
      </c>
      <c r="S4" s="59">
        <f ca="1">AVERAGE(OFFSET($R$3,0,0,'Données projet'!$E$9+1,1))-AVERAGE(OFFSET($H$3,0,0,'Données projet'!$E$9+1,1))</f>
        <v>318.97291652986593</v>
      </c>
      <c r="T4" s="59">
        <f>$T$3</f>
        <v>338.19413170988122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3.85</v>
      </c>
      <c r="AI4" s="13">
        <f>IF('Données projet'!$A$62&gt;35,AI3+AH4-AQ3,IF(A4&lt;'Données projet'!$A$62,$AF$205^A4,IF(A4='Données projet'!$A$62,'Données projet'!$B$62,AI3+AH4-AQ3)))</f>
        <v>1.3763223570336161</v>
      </c>
      <c r="AJ4" s="13">
        <f>AI4*VLOOKUP('Données projet'!$B$10,Paramètres!$A$1:$I$89,3,0)*VLOOKUP('Données projet'!$B$10,Paramètres!$A$1:$I$89,5,0)</f>
        <v>0.82304076950610239</v>
      </c>
      <c r="AK4" s="13">
        <f>EXP(-1.0587+0.8836*LN(AJ4)+0.284)</f>
        <v>0.38798806692284393</v>
      </c>
      <c r="AL4" s="20">
        <f t="shared" ref="AL4:AL67" si="4">(AJ4+AK4)*0.475*44/12</f>
        <v>2.1092085567804149</v>
      </c>
      <c r="AM4" s="59">
        <f t="shared" ref="AM4:AM67" si="5">AL4+(AD4+AE4)*44/12</f>
        <v>259.99809744566926</v>
      </c>
      <c r="AN4" s="59">
        <f ca="1">AVERAGE(OFFSET($AM$3,0,0,'Données projet'!$E$10+1,1))-AVERAGE(OFFSET($H$3,0,0,'Données projet'!$E$10+1,1))</f>
        <v>318.97291652986593</v>
      </c>
      <c r="AO4" s="59">
        <f>$AO$3</f>
        <v>338.19413170988122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1.0439615443779955</v>
      </c>
      <c r="BF4" s="13">
        <f>EXP(-1.0587+0.8836*LN(BE4)+0.284)</f>
        <v>0.478698084995758</v>
      </c>
      <c r="BG4" s="20">
        <f t="shared" ref="BG4:BG67" si="7">(BE4+BF4)*0.475*44/12</f>
        <v>2.6519655211592874</v>
      </c>
      <c r="BH4" s="59">
        <f t="shared" ref="BH4:BH67" si="8">BG4+(AY4+AZ4)*44/12</f>
        <v>260.54085441004815</v>
      </c>
      <c r="BI4" s="59">
        <f ca="1">AVERAGE(OFFSET($BH$3,0,0,'Données projet'!$E$11+1,1))-AVERAGE(OFFSET($H$3,0,0,'Données projet'!$E$11+1,1))</f>
        <v>476.64466005965136</v>
      </c>
      <c r="BJ4" s="59">
        <f>$BJ$3</f>
        <v>312.67921212138998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1.8</v>
      </c>
      <c r="BY4" s="12">
        <f>IF('Données projet'!$A$114&gt;35,BY3+BX4-CG3,IF(A4&lt;'Données projet'!$A$114,$BV$205^A4,IF(A4='Données projet'!$A$114,'Données projet'!$B$114,BY3+BX4-CG3)))</f>
        <v>1.1422113165588705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261.98011797848278</v>
      </c>
      <c r="S5" s="59">
        <f ca="1">AVERAGE(OFFSET($R$3,0,0,'Données projet'!$E$9+1,1))-AVERAGE(OFFSET($H$3,0,0,'Données projet'!$E$9+1,1))</f>
        <v>318.97291652986593</v>
      </c>
      <c r="T5" s="59">
        <f t="shared" ref="T5:T68" si="34">$T$3</f>
        <v>338.19413170988122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3.85</v>
      </c>
      <c r="AI5" s="13">
        <f>IF('Données projet'!$A$62&gt;35,AI4+AH5-AQ4,IF(A5&lt;'Données projet'!$A$62,$AF$205^A5,IF(A5='Données projet'!$A$62,'Données projet'!$B$62,AI4+AH5-AQ4)))</f>
        <v>1.8942632304705684</v>
      </c>
      <c r="AJ5" s="13">
        <f>AI5*VLOOKUP('Données projet'!$B$10,Paramètres!$A$1:$I$89,3,0)*VLOOKUP('Données projet'!$B$10,Paramètres!$A$1:$I$89,5,0)</f>
        <v>1.1327694118214</v>
      </c>
      <c r="AK5" s="13">
        <f t="shared" ref="AK5:AK68" si="35">EXP(-1.0587+0.8836*LN(AJ5)+0.284)</f>
        <v>0.51450725843982192</v>
      </c>
      <c r="AL5" s="20">
        <f t="shared" si="4"/>
        <v>2.8690068673716276</v>
      </c>
      <c r="AM5" s="59">
        <f t="shared" si="5"/>
        <v>261.98011797848278</v>
      </c>
      <c r="AN5" s="59">
        <f ca="1">AVERAGE(OFFSET($AM$3,0,0,'Données projet'!$E$10+1,1))-AVERAGE(OFFSET($H$3,0,0,'Données projet'!$E$10+1,1))</f>
        <v>318.97291652986593</v>
      </c>
      <c r="AO5" s="59">
        <f t="shared" ref="AO5:AO68" si="36">$AO$3</f>
        <v>338.19413170988122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1.2937508382479692</v>
      </c>
      <c r="BF5" s="13">
        <f t="shared" ref="BF5:BF68" si="37">EXP(-1.0587+0.8836*LN(BE5)+0.284)</f>
        <v>0.57860648124254321</v>
      </c>
      <c r="BG5" s="20">
        <f t="shared" si="7"/>
        <v>3.2610223314459752</v>
      </c>
      <c r="BH5" s="59">
        <f t="shared" si="8"/>
        <v>262.37213344255713</v>
      </c>
      <c r="BI5" s="59">
        <f ca="1">AVERAGE(OFFSET($BH$3,0,0,'Données projet'!$E$11+1,1))-AVERAGE(OFFSET($H$3,0,0,'Données projet'!$E$11+1,1))</f>
        <v>476.64466005965136</v>
      </c>
      <c r="BJ5" s="59">
        <f t="shared" ref="BJ5:BJ68" si="38">$BJ$3</f>
        <v>312.67921212138998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1.8</v>
      </c>
      <c r="BY5" s="12">
        <f>IF('Données projet'!$A$114&gt;35,BY4+BX5-CG4,IF(A5&lt;'Données projet'!$A$114,$BV$205^A5,IF(A5='Données projet'!$A$114,'Données projet'!$B$114,BY4+BX5-CG4)))</f>
        <v>1.3046466916751485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264.23699878106424</v>
      </c>
      <c r="S6" s="59">
        <f ca="1">AVERAGE(OFFSET($R$3,0,0,'Données projet'!$E$9+1,1))-AVERAGE(OFFSET($H$3,0,0,'Données projet'!$E$9+1,1))</f>
        <v>318.97291652986593</v>
      </c>
      <c r="T6" s="59">
        <f t="shared" si="34"/>
        <v>338.19413170988122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3.85</v>
      </c>
      <c r="AI6" s="13">
        <f>IF('Données projet'!$A$62&gt;35,AI5+AH6-AQ5,IF(A6&lt;'Données projet'!$A$62,$AF$205^A6,IF(A6='Données projet'!$A$62,'Données projet'!$B$62,AI5+AH6-AQ5)))</f>
        <v>2.6071168342033646</v>
      </c>
      <c r="AJ6" s="13">
        <f>AI6*VLOOKUP('Données projet'!$B$10,Paramètres!$A$1:$I$89,3,0)*VLOOKUP('Données projet'!$B$10,Paramètres!$A$1:$I$89,5,0)</f>
        <v>1.5590558668536121</v>
      </c>
      <c r="AK6" s="13">
        <f t="shared" si="35"/>
        <v>0.68228314619764829</v>
      </c>
      <c r="AL6" s="20">
        <f t="shared" si="4"/>
        <v>3.9036654477309445</v>
      </c>
      <c r="AM6" s="59">
        <f t="shared" si="5"/>
        <v>264.23699878106424</v>
      </c>
      <c r="AN6" s="59">
        <f ca="1">AVERAGE(OFFSET($AM$3,0,0,'Données projet'!$E$10+1,1))-AVERAGE(OFFSET($H$3,0,0,'Données projet'!$E$10+1,1))</f>
        <v>318.97291652986593</v>
      </c>
      <c r="AO6" s="59">
        <f t="shared" si="36"/>
        <v>338.19413170988122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1.6033073636487132</v>
      </c>
      <c r="BF6" s="13">
        <f t="shared" si="37"/>
        <v>0.69936661672428513</v>
      </c>
      <c r="BG6" s="20">
        <f t="shared" si="7"/>
        <v>4.0104905158163051</v>
      </c>
      <c r="BH6" s="59">
        <f t="shared" si="8"/>
        <v>264.3438238491496</v>
      </c>
      <c r="BI6" s="59">
        <f ca="1">AVERAGE(OFFSET($BH$3,0,0,'Données projet'!$E$11+1,1))-AVERAGE(OFFSET($H$3,0,0,'Données projet'!$E$11+1,1))</f>
        <v>476.64466005965136</v>
      </c>
      <c r="BJ6" s="59">
        <f t="shared" si="38"/>
        <v>312.67921212138998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1.8</v>
      </c>
      <c r="BY6" s="12">
        <f>IF('Données projet'!$A$114&gt;35,BY5+BX6-CG5,IF(A6&lt;'Données projet'!$A$114,$BV$205^A6,IF(A6='Données projet'!$A$114,'Données projet'!$B$114,BY5+BX6-CG5)))</f>
        <v>1.4901822153424462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266.86856648139224</v>
      </c>
      <c r="S7" s="59">
        <f ca="1">AVERAGE(OFFSET($R$3,0,0,'Données projet'!$E$9+1,1))-AVERAGE(OFFSET($H$3,0,0,'Données projet'!$E$9+1,1))</f>
        <v>318.97291652986593</v>
      </c>
      <c r="T7" s="59">
        <f t="shared" si="34"/>
        <v>338.19413170988122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3.85</v>
      </c>
      <c r="AI7" s="13">
        <f>IF('Données projet'!$A$62&gt;35,AI6+AH7-AQ6,IF(A7&lt;'Données projet'!$A$62,$AF$205^A7,IF(A7='Données projet'!$A$62,'Données projet'!$B$62,AI6+AH7-AQ6)))</f>
        <v>3.5882331863127939</v>
      </c>
      <c r="AJ7" s="13">
        <f>AI7*VLOOKUP('Données projet'!$B$10,Paramètres!$A$1:$I$89,3,0)*VLOOKUP('Données projet'!$B$10,Paramètres!$A$1:$I$89,5,0)</f>
        <v>2.1457634454150507</v>
      </c>
      <c r="AK7" s="13">
        <f t="shared" si="35"/>
        <v>0.90476914358207983</v>
      </c>
      <c r="AL7" s="20">
        <f t="shared" si="4"/>
        <v>5.3130109258366689</v>
      </c>
      <c r="AM7" s="59">
        <f t="shared" si="5"/>
        <v>266.86856648139224</v>
      </c>
      <c r="AN7" s="59">
        <f ca="1">AVERAGE(OFFSET($AM$3,0,0,'Données projet'!$E$10+1,1))-AVERAGE(OFFSET($H$3,0,0,'Données projet'!$E$10+1,1))</f>
        <v>318.97291652986593</v>
      </c>
      <c r="AO7" s="59">
        <f t="shared" si="36"/>
        <v>338.19413170988122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1.9869316612859962</v>
      </c>
      <c r="BF7" s="13">
        <f t="shared" si="37"/>
        <v>0.84533042826968274</v>
      </c>
      <c r="BG7" s="20">
        <f t="shared" si="7"/>
        <v>4.9328564726428068</v>
      </c>
      <c r="BH7" s="59">
        <f t="shared" si="8"/>
        <v>266.48841202819835</v>
      </c>
      <c r="BI7" s="59">
        <f ca="1">AVERAGE(OFFSET($BH$3,0,0,'Données projet'!$E$11+1,1))-AVERAGE(OFFSET($H$3,0,0,'Données projet'!$E$11+1,1))</f>
        <v>476.64466005965136</v>
      </c>
      <c r="BJ7" s="59">
        <f t="shared" si="38"/>
        <v>312.67921212138998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1.8</v>
      </c>
      <c r="BY7" s="12">
        <f>IF('Données projet'!$A$114&gt;35,BY6+BX7-CG6,IF(A7&lt;'Données projet'!$A$114,$BV$205^A7,IF(A7='Données projet'!$A$114,'Données projet'!$B$114,BY6+BX7-CG6)))</f>
        <v>1.70210299009891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270.01103769668663</v>
      </c>
      <c r="S8" s="59">
        <f ca="1">AVERAGE(OFFSET($R$3,0,0,'Données projet'!$E$9+1,1))-AVERAGE(OFFSET($H$3,0,0,'Données projet'!$E$9+1,1))</f>
        <v>318.97291652986593</v>
      </c>
      <c r="T8" s="59">
        <f t="shared" si="34"/>
        <v>338.19413170988122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3.85</v>
      </c>
      <c r="AI8" s="13">
        <f>IF('Données projet'!$A$62&gt;35,AI7+AH8-AQ7,IF(A8&lt;'Données projet'!$A$62,$AF$205^A8,IF(A8='Données projet'!$A$62,'Données projet'!$B$62,AI7+AH8-AQ7)))</f>
        <v>4.938565556572267</v>
      </c>
      <c r="AJ8" s="13">
        <f>AI8*VLOOKUP('Données projet'!$B$10,Paramètres!$A$1:$I$89,3,0)*VLOOKUP('Données projet'!$B$10,Paramètres!$A$1:$I$89,5,0)</f>
        <v>2.9532622028302162</v>
      </c>
      <c r="AK8" s="13">
        <f t="shared" si="35"/>
        <v>1.1998056931939969</v>
      </c>
      <c r="AL8" s="20">
        <f t="shared" si="4"/>
        <v>7.2332599189088382</v>
      </c>
      <c r="AM8" s="59">
        <f t="shared" si="5"/>
        <v>270.01103769668663</v>
      </c>
      <c r="AN8" s="59">
        <f ca="1">AVERAGE(OFFSET($AM$3,0,0,'Données projet'!$E$10+1,1))-AVERAGE(OFFSET($H$3,0,0,'Données projet'!$E$10+1,1))</f>
        <v>318.97291652986593</v>
      </c>
      <c r="AO8" s="59">
        <f t="shared" si="36"/>
        <v>338.19413170988122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2.462345970666743</v>
      </c>
      <c r="BF8" s="13">
        <f t="shared" si="37"/>
        <v>1.021758139251189</v>
      </c>
      <c r="BG8" s="20">
        <f t="shared" si="7"/>
        <v>6.068147991440398</v>
      </c>
      <c r="BH8" s="59">
        <f t="shared" si="8"/>
        <v>268.84592576921818</v>
      </c>
      <c r="BI8" s="59">
        <f ca="1">AVERAGE(OFFSET($BH$3,0,0,'Données projet'!$E$11+1,1))-AVERAGE(OFFSET($H$3,0,0,'Données projet'!$E$11+1,1))</f>
        <v>476.64466005965136</v>
      </c>
      <c r="BJ8" s="59">
        <f t="shared" si="38"/>
        <v>312.67921212138998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1.8</v>
      </c>
      <c r="BY8" s="12">
        <f>IF('Données projet'!$A$114&gt;35,BY7+BX8-CG7,IF(A8&lt;'Données projet'!$A$114,$BV$205^A8,IF(A8='Données projet'!$A$114,'Données projet'!$B$114,BY7+BX8-CG7)))</f>
        <v>1.9441612972396662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273.85032959063091</v>
      </c>
      <c r="S9" s="59">
        <f ca="1">AVERAGE(OFFSET($R$3,0,0,'Données projet'!$E$9+1,1))-AVERAGE(OFFSET($H$3,0,0,'Données projet'!$E$9+1,1))</f>
        <v>318.97291652986593</v>
      </c>
      <c r="T9" s="59">
        <f t="shared" si="34"/>
        <v>338.19413170988122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3.85</v>
      </c>
      <c r="AI9" s="13">
        <f>IF('Données projet'!$A$62&gt;35,AI8+AH9-AQ8,IF(A9&lt;'Données projet'!$A$62,$AF$205^A9,IF(A9='Données projet'!$A$62,'Données projet'!$B$62,AI8+AH9-AQ8)))</f>
        <v>6.7970581871865736</v>
      </c>
      <c r="AJ9" s="13">
        <f>AI9*VLOOKUP('Données projet'!$B$10,Paramètres!$A$1:$I$89,3,0)*VLOOKUP('Données projet'!$B$10,Paramètres!$A$1:$I$89,5,0)</f>
        <v>4.0646407959375717</v>
      </c>
      <c r="AK9" s="13">
        <f t="shared" si="35"/>
        <v>1.5910508350466677</v>
      </c>
      <c r="AL9" s="20">
        <f t="shared" si="4"/>
        <v>9.8503295906308832</v>
      </c>
      <c r="AM9" s="59">
        <f t="shared" si="5"/>
        <v>273.85032959063091</v>
      </c>
      <c r="AN9" s="59">
        <f ca="1">AVERAGE(OFFSET($AM$3,0,0,'Données projet'!$E$10+1,1))-AVERAGE(OFFSET($H$3,0,0,'Données projet'!$E$10+1,1))</f>
        <v>318.97291652986593</v>
      </c>
      <c r="AO9" s="59">
        <f t="shared" si="36"/>
        <v>338.19413170988122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3.0515129419874016</v>
      </c>
      <c r="BF9" s="13">
        <f t="shared" si="37"/>
        <v>1.2350078267772846</v>
      </c>
      <c r="BG9" s="20">
        <f t="shared" si="7"/>
        <v>7.4656903389318279</v>
      </c>
      <c r="BH9" s="59">
        <f t="shared" si="8"/>
        <v>271.46569033893184</v>
      </c>
      <c r="BI9" s="59">
        <f ca="1">AVERAGE(OFFSET($BH$3,0,0,'Données projet'!$E$11+1,1))-AVERAGE(OFFSET($H$3,0,0,'Données projet'!$E$11+1,1))</f>
        <v>476.64466005965136</v>
      </c>
      <c r="BJ9" s="59">
        <f t="shared" si="38"/>
        <v>312.67921212138998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1.8</v>
      </c>
      <c r="BY9" s="12">
        <f>IF('Données projet'!$A$114&gt;35,BY8+BX9-CG8,IF(A9&lt;'Données projet'!$A$114,$BV$205^A9,IF(A9='Données projet'!$A$114,'Données projet'!$B$114,BY8+BX9-CG8)))</f>
        <v>2.2206430349229209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278.64025433432425</v>
      </c>
      <c r="S10" s="59">
        <f ca="1">AVERAGE(OFFSET($R$3,0,0,'Données projet'!$E$9+1,1))-AVERAGE(OFFSET($H$3,0,0,'Données projet'!$E$9+1,1))</f>
        <v>318.97291652986593</v>
      </c>
      <c r="T10" s="59">
        <f t="shared" si="34"/>
        <v>338.19413170988122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3.85</v>
      </c>
      <c r="AI10" s="13">
        <f>IF('Données projet'!$A$62&gt;35,AI9+AH10-AQ9,IF(A10&lt;'Données projet'!$A$62,$AF$205^A10,IF(A10='Données projet'!$A$62,'Données projet'!$B$62,AI9+AH10-AQ9)))</f>
        <v>9.3549431450832632</v>
      </c>
      <c r="AJ10" s="13">
        <f>AI10*VLOOKUP('Données projet'!$B$10,Paramètres!$A$1:$I$89,3,0)*VLOOKUP('Données projet'!$B$10,Paramètres!$A$1:$I$89,5,0)</f>
        <v>5.5942560007597919</v>
      </c>
      <c r="AK10" s="13">
        <f t="shared" si="35"/>
        <v>2.1098772693466379</v>
      </c>
      <c r="AL10" s="20">
        <f t="shared" si="4"/>
        <v>13.418032112102033</v>
      </c>
      <c r="AM10" s="59">
        <f t="shared" si="5"/>
        <v>278.64025433432425</v>
      </c>
      <c r="AN10" s="59">
        <f ca="1">AVERAGE(OFFSET($AM$3,0,0,'Données projet'!$E$10+1,1))-AVERAGE(OFFSET($H$3,0,0,'Données projet'!$E$10+1,1))</f>
        <v>318.97291652986593</v>
      </c>
      <c r="AO10" s="59">
        <f t="shared" si="36"/>
        <v>338.19413170988122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3.7816502416982529</v>
      </c>
      <c r="BF10" s="13">
        <f t="shared" si="37"/>
        <v>1.492764553183741</v>
      </c>
      <c r="BG10" s="20">
        <f t="shared" si="7"/>
        <v>9.1862724344194735</v>
      </c>
      <c r="BH10" s="59">
        <f t="shared" si="8"/>
        <v>274.40849465664172</v>
      </c>
      <c r="BI10" s="59">
        <f ca="1">AVERAGE(OFFSET($BH$3,0,0,'Données projet'!$E$11+1,1))-AVERAGE(OFFSET($H$3,0,0,'Données projet'!$E$11+1,1))</f>
        <v>476.64466005965136</v>
      </c>
      <c r="BJ10" s="59">
        <f t="shared" si="38"/>
        <v>312.67921212138998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1.8</v>
      </c>
      <c r="BY10" s="12">
        <f>IF('Données projet'!$A$114&gt;35,BY9+BX10-CG9,IF(A10&lt;'Données projet'!$A$114,$BV$205^A10,IF(A10='Données projet'!$A$114,'Données projet'!$B$114,BY9+BX10-CG9)))</f>
        <v>2.5364436045265957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284.72739458078087</v>
      </c>
      <c r="S11" s="59">
        <f ca="1">AVERAGE(OFFSET($R$3,0,0,'Données projet'!$E$9+1,1))-AVERAGE(OFFSET($H$3,0,0,'Données projet'!$E$9+1,1))</f>
        <v>318.97291652986593</v>
      </c>
      <c r="T11" s="59">
        <f t="shared" si="34"/>
        <v>338.19413170988122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3.85</v>
      </c>
      <c r="AI11" s="13">
        <f>IF('Données projet'!$A$62&gt;35,AI10+AH11-AQ10,IF(A11&lt;'Données projet'!$A$62,$AF$205^A11,IF(A11='Données projet'!$A$62,'Données projet'!$B$62,AI10+AH11-AQ10)))</f>
        <v>12.875417399356465</v>
      </c>
      <c r="AJ11" s="13">
        <f>AI11*VLOOKUP('Données projet'!$B$10,Paramètres!$A$1:$I$89,3,0)*VLOOKUP('Données projet'!$B$10,Paramètres!$A$1:$I$89,5,0)</f>
        <v>7.6994996048151672</v>
      </c>
      <c r="AK11" s="13">
        <f t="shared" si="35"/>
        <v>2.7978880332727099</v>
      </c>
      <c r="AL11" s="20">
        <f t="shared" si="4"/>
        <v>18.282950136336385</v>
      </c>
      <c r="AM11" s="59">
        <f t="shared" si="5"/>
        <v>284.72739458078087</v>
      </c>
      <c r="AN11" s="59">
        <f ca="1">AVERAGE(OFFSET($AM$3,0,0,'Données projet'!$E$10+1,1))-AVERAGE(OFFSET($H$3,0,0,'Données projet'!$E$10+1,1))</f>
        <v>318.97291652986593</v>
      </c>
      <c r="AO11" s="59">
        <f t="shared" si="36"/>
        <v>338.19413170988122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4.6864879233389463</v>
      </c>
      <c r="BF11" s="13">
        <f t="shared" si="37"/>
        <v>1.8043173192324258</v>
      </c>
      <c r="BG11" s="20">
        <f t="shared" si="7"/>
        <v>11.304819130811806</v>
      </c>
      <c r="BH11" s="59">
        <f t="shared" si="8"/>
        <v>277.74926357525624</v>
      </c>
      <c r="BI11" s="59">
        <f ca="1">AVERAGE(OFFSET($BH$3,0,0,'Données projet'!$E$11+1,1))-AVERAGE(OFFSET($H$3,0,0,'Données projet'!$E$11+1,1))</f>
        <v>476.64466005965136</v>
      </c>
      <c r="BJ11" s="59">
        <f t="shared" si="38"/>
        <v>312.67921212138998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1.8</v>
      </c>
      <c r="BY11" s="12">
        <f>IF('Données projet'!$A$114&gt;35,BY10+BX11-CG10,IF(A11&lt;'Données projet'!$A$114,$BV$205^A11,IF(A11='Données projet'!$A$114,'Données projet'!$B$114,BY10+BX11-CG10)))</f>
        <v>2.8971545889036499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292.58512004687776</v>
      </c>
      <c r="S12" s="59">
        <f ca="1">AVERAGE(OFFSET($R$3,0,0,'Données projet'!$E$9+1,1))-AVERAGE(OFFSET($H$3,0,0,'Données projet'!$E$9+1,1))</f>
        <v>318.97291652986593</v>
      </c>
      <c r="T12" s="59">
        <f t="shared" si="34"/>
        <v>338.19413170988122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3.85</v>
      </c>
      <c r="AI12" s="13">
        <f>IF('Données projet'!$A$62&gt;35,AI11+AH12-AQ11,IF(A12&lt;'Données projet'!$A$62,$AF$205^A12,IF(A12='Données projet'!$A$62,'Données projet'!$B$62,AI11+AH12-AQ11)))</f>
        <v>17.720724822873922</v>
      </c>
      <c r="AJ12" s="13">
        <f>AI12*VLOOKUP('Données projet'!$B$10,Paramètres!$A$1:$I$89,3,0)*VLOOKUP('Données projet'!$B$10,Paramètres!$A$1:$I$89,5,0)</f>
        <v>10.596993444078608</v>
      </c>
      <c r="AK12" s="13">
        <f t="shared" si="35"/>
        <v>3.7102525158512041</v>
      </c>
      <c r="AL12" s="20">
        <f t="shared" si="4"/>
        <v>24.918453380211091</v>
      </c>
      <c r="AM12" s="59">
        <f t="shared" si="5"/>
        <v>292.58512004687776</v>
      </c>
      <c r="AN12" s="59">
        <f ca="1">AVERAGE(OFFSET($AM$3,0,0,'Données projet'!$E$10+1,1))-AVERAGE(OFFSET($H$3,0,0,'Données projet'!$E$10+1,1))</f>
        <v>318.97291652986593</v>
      </c>
      <c r="AO12" s="59">
        <f t="shared" si="36"/>
        <v>338.19413170988122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5.8078266502347455</v>
      </c>
      <c r="BF12" s="13">
        <f t="shared" si="37"/>
        <v>2.1808938198181922</v>
      </c>
      <c r="BG12" s="20">
        <f t="shared" si="7"/>
        <v>13.913688152008866</v>
      </c>
      <c r="BH12" s="59">
        <f t="shared" si="8"/>
        <v>281.58035481867557</v>
      </c>
      <c r="BI12" s="59">
        <f ca="1">AVERAGE(OFFSET($BH$3,0,0,'Données projet'!$E$11+1,1))-AVERAGE(OFFSET($H$3,0,0,'Données projet'!$E$11+1,1))</f>
        <v>476.64466005965136</v>
      </c>
      <c r="BJ12" s="59">
        <f t="shared" si="38"/>
        <v>312.67921212138998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1.8</v>
      </c>
      <c r="BY12" s="12">
        <f>IF('Données projet'!$A$114&gt;35,BY11+BX12-CG11,IF(A12&lt;'Données projet'!$A$114,$BV$205^A12,IF(A12='Données projet'!$A$114,'Données projet'!$B$114,BY11+BX12-CG11)))</f>
        <v>3.3091627572662112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302.8601134366956</v>
      </c>
      <c r="S13" s="59">
        <f ca="1">AVERAGE(OFFSET($R$3,0,0,'Données projet'!$E$9+1,1))-AVERAGE(OFFSET($H$3,0,0,'Données projet'!$E$9+1,1))</f>
        <v>318.97291652986593</v>
      </c>
      <c r="T13" s="59">
        <f t="shared" si="34"/>
        <v>338.19413170988122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3.85</v>
      </c>
      <c r="AI13" s="13">
        <f>IF('Données projet'!$A$62&gt;35,AI12+AH13-AQ12,IF(A13&lt;'Données projet'!$A$62,$AF$205^A13,IF(A13='Données projet'!$A$62,'Données projet'!$B$62,AI12+AH13-AQ12)))</f>
        <v>24.389429756561942</v>
      </c>
      <c r="AJ13" s="13">
        <f>AI13*VLOOKUP('Données projet'!$B$10,Paramètres!$A$1:$I$89,3,0)*VLOOKUP('Données projet'!$B$10,Paramètres!$A$1:$I$89,5,0)</f>
        <v>14.584878994424042</v>
      </c>
      <c r="AK13" s="13">
        <f t="shared" si="35"/>
        <v>4.9201303153214564</v>
      </c>
      <c r="AL13" s="20">
        <f t="shared" si="4"/>
        <v>33.971224547806742</v>
      </c>
      <c r="AM13" s="59">
        <f t="shared" si="5"/>
        <v>302.8601134366956</v>
      </c>
      <c r="AN13" s="59">
        <f ca="1">AVERAGE(OFFSET($AM$3,0,0,'Données projet'!$E$10+1,1))-AVERAGE(OFFSET($H$3,0,0,'Données projet'!$E$10+1,1))</f>
        <v>318.97291652986593</v>
      </c>
      <c r="AO13" s="59">
        <f t="shared" si="36"/>
        <v>338.19413170988122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7.1974687550554899</v>
      </c>
      <c r="BF13" s="13">
        <f t="shared" si="37"/>
        <v>2.6360650660630816</v>
      </c>
      <c r="BG13" s="20">
        <f t="shared" si="7"/>
        <v>17.126738071781514</v>
      </c>
      <c r="BH13" s="59">
        <f t="shared" si="8"/>
        <v>286.01562696067037</v>
      </c>
      <c r="BI13" s="59">
        <f ca="1">AVERAGE(OFFSET($BH$3,0,0,'Données projet'!$E$11+1,1))-AVERAGE(OFFSET($H$3,0,0,'Données projet'!$E$11+1,1))</f>
        <v>476.64466005965136</v>
      </c>
      <c r="BJ13" s="59">
        <f t="shared" si="38"/>
        <v>312.67921212138998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1.8</v>
      </c>
      <c r="BY13" s="12">
        <f>IF('Données projet'!$A$114&gt;35,BY12+BX13-CG12,IF(A13&lt;'Données projet'!$A$114,$BV$205^A13,IF(A13='Données projet'!$A$114,'Données projet'!$B$114,BY12+BX13-CG12)))</f>
        <v>3.7797631496846216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316.43601807869635</v>
      </c>
      <c r="S14" s="59">
        <f ca="1">AVERAGE(OFFSET($R$3,0,0,'Données projet'!$E$9+1,1))-AVERAGE(OFFSET($H$3,0,0,'Données projet'!$E$9+1,1))</f>
        <v>318.97291652986593</v>
      </c>
      <c r="T14" s="59">
        <f t="shared" si="34"/>
        <v>338.19413170988122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3.85</v>
      </c>
      <c r="AI14" s="13">
        <f>IF('Données projet'!$A$62&gt;35,AI13+AH14-AQ13,IF(A14&lt;'Données projet'!$A$62,$AF$205^A14,IF(A14='Données projet'!$A$62,'Données projet'!$B$62,AI13+AH14-AQ13)))</f>
        <v>33.567717449257145</v>
      </c>
      <c r="AJ14" s="13">
        <f>AI14*VLOOKUP('Données projet'!$B$10,Paramètres!$A$1:$I$89,3,0)*VLOOKUP('Données projet'!$B$10,Paramètres!$A$1:$I$89,5,0)</f>
        <v>20.073495034655775</v>
      </c>
      <c r="AK14" s="13">
        <f t="shared" si="35"/>
        <v>6.5245376740055958</v>
      </c>
      <c r="AL14" s="20">
        <f t="shared" si="4"/>
        <v>46.324906967585214</v>
      </c>
      <c r="AM14" s="59">
        <f t="shared" si="5"/>
        <v>316.43601807869635</v>
      </c>
      <c r="AN14" s="59">
        <f ca="1">AVERAGE(OFFSET($AM$3,0,0,'Données projet'!$E$10+1,1))-AVERAGE(OFFSET($H$3,0,0,'Données projet'!$E$10+1,1))</f>
        <v>318.97291652986593</v>
      </c>
      <c r="AO14" s="59">
        <f t="shared" si="36"/>
        <v>338.19413170988122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8.9196113451330703</v>
      </c>
      <c r="BF14" s="13">
        <f t="shared" si="37"/>
        <v>3.186234455512118</v>
      </c>
      <c r="BG14" s="20">
        <f t="shared" si="7"/>
        <v>21.084348102790369</v>
      </c>
      <c r="BH14" s="59">
        <f t="shared" si="8"/>
        <v>291.19545921390153</v>
      </c>
      <c r="BI14" s="59">
        <f ca="1">AVERAGE(OFFSET($BH$3,0,0,'Données projet'!$E$11+1,1))-AVERAGE(OFFSET($H$3,0,0,'Données projet'!$E$11+1,1))</f>
        <v>476.64466005965136</v>
      </c>
      <c r="BJ14" s="59">
        <f t="shared" si="38"/>
        <v>312.67921212138998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1.8</v>
      </c>
      <c r="BY14" s="12">
        <f>IF('Données projet'!$A$114&gt;35,BY13+BX14-CG13,IF(A14&lt;'Données projet'!$A$114,$BV$205^A14,IF(A14='Données projet'!$A$114,'Données projet'!$B$114,BY13+BX14-CG13)))</f>
        <v>4.3172882434819746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334.52052435324754</v>
      </c>
      <c r="S15" s="59">
        <f ca="1">AVERAGE(OFFSET($R$3,0,0,'Données projet'!$E$9+1,1))-AVERAGE(OFFSET($H$3,0,0,'Données projet'!$E$9+1,1))</f>
        <v>318.97291652986593</v>
      </c>
      <c r="T15" s="59">
        <f t="shared" si="34"/>
        <v>338.19413170988122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46.2</v>
      </c>
      <c r="AG15" s="12">
        <f>VLOOKUP(A15,'Données projet'!$A$61:$I$81,9,0)</f>
        <v>3.85</v>
      </c>
      <c r="AH15" s="12">
        <f t="array" ref="AH15">INDEX(AG:AG,MIN(IF(ISNUMBER(AG15:AG211),ROW(AG15:AG211),"")))</f>
        <v>3.85</v>
      </c>
      <c r="AI15" s="13">
        <f>IF('Données projet'!$A$62&gt;35,AI14+AH15-AQ14,IF(A15&lt;'Données projet'!$A$62,$AF$205^A15,IF(A15='Données projet'!$A$62,'Données projet'!$B$62,AI14+AH15-AQ14)))</f>
        <v>46.2</v>
      </c>
      <c r="AJ15" s="13">
        <f>AI15*VLOOKUP('Données projet'!$B$10,Paramètres!$A$1:$I$89,3,0)*VLOOKUP('Données projet'!$B$10,Paramètres!$A$1:$I$89,5,0)</f>
        <v>27.627600000000005</v>
      </c>
      <c r="AK15" s="13">
        <f t="shared" si="35"/>
        <v>8.6521269013861506</v>
      </c>
      <c r="AL15" s="20">
        <f t="shared" si="4"/>
        <v>63.187191019914216</v>
      </c>
      <c r="AM15" s="59">
        <f t="shared" si="5"/>
        <v>334.52052435324754</v>
      </c>
      <c r="AN15" s="59">
        <f ca="1">AVERAGE(OFFSET($AM$3,0,0,'Données projet'!$E$10+1,1))-AVERAGE(OFFSET($H$3,0,0,'Données projet'!$E$10+1,1))</f>
        <v>318.97291652986593</v>
      </c>
      <c r="AO15" s="59">
        <f t="shared" si="36"/>
        <v>338.19413170988122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11.053812007498347</v>
      </c>
      <c r="BF15" s="13">
        <f t="shared" si="37"/>
        <v>3.8512289154738402</v>
      </c>
      <c r="BG15" s="20">
        <f t="shared" si="7"/>
        <v>25.959612940843225</v>
      </c>
      <c r="BH15" s="59">
        <f t="shared" si="8"/>
        <v>297.29294627417653</v>
      </c>
      <c r="BI15" s="59">
        <f ca="1">AVERAGE(OFFSET($BH$3,0,0,'Données projet'!$E$11+1,1))-AVERAGE(OFFSET($H$3,0,0,'Données projet'!$E$11+1,1))</f>
        <v>476.64466005965136</v>
      </c>
      <c r="BJ15" s="59">
        <f t="shared" si="38"/>
        <v>312.67921212138998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1.8</v>
      </c>
      <c r="BY15" s="12">
        <f>IF('Données projet'!$A$114&gt;35,BY14+BX15-CG14,IF(A15&lt;'Données projet'!$A$114,$BV$205^A15,IF(A15='Données projet'!$A$114,'Données projet'!$B$114,BY14+BX15-CG14)))</f>
        <v>4.9312554885516811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356.04445503109582</v>
      </c>
      <c r="S16" s="59">
        <f ca="1">AVERAGE(OFFSET($R$3,0,0,'Données projet'!$E$9+1,1))-AVERAGE(OFFSET($H$3,0,0,'Données projet'!$E$9+1,1))</f>
        <v>318.97291652986593</v>
      </c>
      <c r="T16" s="59">
        <f t="shared" si="34"/>
        <v>338.19413170988122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15.324999999999999</v>
      </c>
      <c r="AI16" s="13">
        <f>IF('Données projet'!$A$62&gt;35,AI15+AH16-AQ15,IF(A16&lt;'Données projet'!$A$62,$AF$205^A16,IF(A16='Données projet'!$A$62,'Données projet'!$B$62,AI15+AH16-AQ15)))</f>
        <v>61.525000000000006</v>
      </c>
      <c r="AJ16" s="13">
        <f>AI16*VLOOKUP('Données projet'!$B$10,Paramètres!$A$1:$I$89,3,0)*VLOOKUP('Données projet'!$B$10,Paramètres!$A$1:$I$89,5,0)</f>
        <v>36.791950000000007</v>
      </c>
      <c r="AK16" s="13">
        <f t="shared" si="35"/>
        <v>11.144260225190576</v>
      </c>
      <c r="AL16" s="20">
        <f t="shared" si="4"/>
        <v>83.488899475540265</v>
      </c>
      <c r="AM16" s="59">
        <f t="shared" si="5"/>
        <v>356.04445503109582</v>
      </c>
      <c r="AN16" s="59">
        <f ca="1">AVERAGE(OFFSET($AM$3,0,0,'Données projet'!$E$10+1,1))-AVERAGE(OFFSET($H$3,0,0,'Données projet'!$E$10+1,1))</f>
        <v>318.97291652986593</v>
      </c>
      <c r="AO16" s="59">
        <f t="shared" si="36"/>
        <v>338.19413170988122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13.698664119909786</v>
      </c>
      <c r="BF16" s="13">
        <f t="shared" si="37"/>
        <v>4.6550134230463893</v>
      </c>
      <c r="BG16" s="20">
        <f t="shared" si="7"/>
        <v>31.965988387315338</v>
      </c>
      <c r="BH16" s="59">
        <f t="shared" si="8"/>
        <v>304.52154394287089</v>
      </c>
      <c r="BI16" s="59">
        <f ca="1">AVERAGE(OFFSET($BH$3,0,0,'Données projet'!$E$11+1,1))-AVERAGE(OFFSET($H$3,0,0,'Données projet'!$E$11+1,1))</f>
        <v>476.64466005965136</v>
      </c>
      <c r="BJ16" s="59">
        <f t="shared" si="38"/>
        <v>312.67921212138998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1.8</v>
      </c>
      <c r="BY16" s="12">
        <f>IF('Données projet'!$A$114&gt;35,BY15+BX16-CG15,IF(A16&lt;'Données projet'!$A$114,$BV$205^A16,IF(A16='Données projet'!$A$114,'Données projet'!$B$114,BY15+BX16-CG15)))</f>
        <v>5.632535823866772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377.44297344514467</v>
      </c>
      <c r="S17" s="59">
        <f ca="1">AVERAGE(OFFSET($R$3,0,0,'Données projet'!$E$9+1,1))-AVERAGE(OFFSET($H$3,0,0,'Données projet'!$E$9+1,1))</f>
        <v>318.97291652986593</v>
      </c>
      <c r="T17" s="59">
        <f t="shared" si="34"/>
        <v>338.19413170988122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15.324999999999999</v>
      </c>
      <c r="AI17" s="13">
        <f>IF('Données projet'!$A$62&gt;35,AI16+AH17-AQ16,IF(A17&lt;'Données projet'!$A$62,$AF$205^A17,IF(A17='Données projet'!$A$62,'Données projet'!$B$62,AI16+AH17-AQ16)))</f>
        <v>76.850000000000009</v>
      </c>
      <c r="AJ17" s="13">
        <f>AI17*VLOOKUP('Données projet'!$B$10,Paramètres!$A$1:$I$89,3,0)*VLOOKUP('Données projet'!$B$10,Paramètres!$A$1:$I$89,5,0)</f>
        <v>45.956300000000013</v>
      </c>
      <c r="AK17" s="13">
        <f t="shared" si="35"/>
        <v>13.564386507579055</v>
      </c>
      <c r="AL17" s="20">
        <f t="shared" si="4"/>
        <v>103.66519566736689</v>
      </c>
      <c r="AM17" s="59">
        <f t="shared" si="5"/>
        <v>377.44297344514467</v>
      </c>
      <c r="AN17" s="59">
        <f ca="1">AVERAGE(OFFSET($AM$3,0,0,'Données projet'!$E$10+1,1))-AVERAGE(OFFSET($H$3,0,0,'Données projet'!$E$10+1,1))</f>
        <v>318.97291652986593</v>
      </c>
      <c r="AO17" s="59">
        <f t="shared" si="36"/>
        <v>338.19413170988122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16.976351555717539</v>
      </c>
      <c r="BF17" s="13">
        <f t="shared" si="37"/>
        <v>5.6265546516016363</v>
      </c>
      <c r="BG17" s="20">
        <f t="shared" si="7"/>
        <v>39.366728311080898</v>
      </c>
      <c r="BH17" s="59">
        <f t="shared" si="8"/>
        <v>313.14450608885869</v>
      </c>
      <c r="BI17" s="59">
        <f ca="1">AVERAGE(OFFSET($BH$3,0,0,'Données projet'!$E$11+1,1))-AVERAGE(OFFSET($H$3,0,0,'Données projet'!$E$11+1,1))</f>
        <v>476.64466005965136</v>
      </c>
      <c r="BJ17" s="59">
        <f t="shared" si="38"/>
        <v>312.67921212138998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1.8</v>
      </c>
      <c r="BY17" s="12">
        <f>IF('Données projet'!$A$114&gt;35,BY16+BX17-CG16,IF(A17&lt;'Données projet'!$A$114,$BV$205^A17,IF(A17='Données projet'!$A$114,'Données projet'!$B$114,BY16+BX17-CG16)))</f>
        <v>6.4335461589438685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398.74409768687553</v>
      </c>
      <c r="S18" s="59">
        <f ca="1">AVERAGE(OFFSET($R$3,0,0,'Données projet'!$E$9+1,1))-AVERAGE(OFFSET($H$3,0,0,'Données projet'!$E$9+1,1))</f>
        <v>318.97291652986593</v>
      </c>
      <c r="T18" s="59">
        <f t="shared" si="34"/>
        <v>338.19413170988122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15.324999999999999</v>
      </c>
      <c r="AI18" s="13">
        <f>IF('Données projet'!$A$62&gt;35,AI17+AH18-AQ17,IF(A18&lt;'Données projet'!$A$62,$AF$205^A18,IF(A18='Données projet'!$A$62,'Données projet'!$B$62,AI17+AH18-AQ17)))</f>
        <v>92.175000000000011</v>
      </c>
      <c r="AJ18" s="13">
        <f>AI18*VLOOKUP('Données projet'!$B$10,Paramètres!$A$1:$I$89,3,0)*VLOOKUP('Données projet'!$B$10,Paramètres!$A$1:$I$89,5,0)</f>
        <v>55.120650000000012</v>
      </c>
      <c r="AK18" s="13">
        <f t="shared" si="35"/>
        <v>15.928592691029031</v>
      </c>
      <c r="AL18" s="20">
        <f t="shared" si="4"/>
        <v>123.74409768687555</v>
      </c>
      <c r="AM18" s="59">
        <f t="shared" si="5"/>
        <v>398.74409768687553</v>
      </c>
      <c r="AN18" s="59">
        <f ca="1">AVERAGE(OFFSET($AM$3,0,0,'Données projet'!$E$10+1,1))-AVERAGE(OFFSET($H$3,0,0,'Données projet'!$E$10+1,1))</f>
        <v>318.97291652986593</v>
      </c>
      <c r="AO18" s="59">
        <f t="shared" si="36"/>
        <v>338.19413170988122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21.03829319564419</v>
      </c>
      <c r="BF18" s="13">
        <f t="shared" si="37"/>
        <v>6.8008648676982615</v>
      </c>
      <c r="BG18" s="20">
        <f t="shared" si="7"/>
        <v>48.486533626988098</v>
      </c>
      <c r="BH18" s="59">
        <f t="shared" si="8"/>
        <v>323.48653362698809</v>
      </c>
      <c r="BI18" s="59">
        <f ca="1">AVERAGE(OFFSET($BH$3,0,0,'Données projet'!$E$11+1,1))-AVERAGE(OFFSET($H$3,0,0,'Données projet'!$E$11+1,1))</f>
        <v>476.64466005965136</v>
      </c>
      <c r="BJ18" s="59">
        <f t="shared" si="38"/>
        <v>312.67921212138998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1.8</v>
      </c>
      <c r="BY18" s="12">
        <f>IF('Données projet'!$A$114&gt;35,BY17+BX18-CG17,IF(A18&lt;'Données projet'!$A$114,$BV$205^A18,IF(A18='Données projet'!$A$114,'Données projet'!$B$114,BY17+BX18-CG17)))</f>
        <v>7.3484692283495407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419.96591496184146</v>
      </c>
      <c r="S19" s="59">
        <f ca="1">AVERAGE(OFFSET($R$3,0,0,'Données projet'!$E$9+1,1))-AVERAGE(OFFSET($H$3,0,0,'Données projet'!$E$9+1,1))</f>
        <v>318.97291652986593</v>
      </c>
      <c r="T19" s="59">
        <f t="shared" si="34"/>
        <v>338.19413170988122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107.5</v>
      </c>
      <c r="AG19" s="12">
        <f>VLOOKUP(A19,'Données projet'!$A$61:$I$81,9,0)</f>
        <v>15.324999999999999</v>
      </c>
      <c r="AH19" s="12">
        <f t="array" ref="AH19">INDEX(AG:AG,MIN(IF(ISNUMBER(AG19:AG215),ROW(AG19:AG215),"")))</f>
        <v>15.324999999999999</v>
      </c>
      <c r="AI19" s="13">
        <f>IF('Données projet'!$A$62&gt;35,AI18+AH19-AQ18,IF(A19&lt;'Données projet'!$A$62,$AF$205^A19,IF(A19='Données projet'!$A$62,'Données projet'!$B$62,AI18+AH19-AQ18)))</f>
        <v>107.50000000000001</v>
      </c>
      <c r="AJ19" s="13">
        <f>AI19*VLOOKUP('Données projet'!$B$10,Paramètres!$A$1:$I$89,3,0)*VLOOKUP('Données projet'!$B$10,Paramètres!$A$1:$I$89,5,0)</f>
        <v>64.285000000000011</v>
      </c>
      <c r="AK19" s="13">
        <f t="shared" si="35"/>
        <v>18.247263773944024</v>
      </c>
      <c r="AL19" s="20">
        <f t="shared" si="4"/>
        <v>143.74369273961921</v>
      </c>
      <c r="AM19" s="59">
        <f t="shared" si="5"/>
        <v>419.96591496184146</v>
      </c>
      <c r="AN19" s="59">
        <f ca="1">AVERAGE(OFFSET($AM$3,0,0,'Données projet'!$E$10+1,1))-AVERAGE(OFFSET($H$3,0,0,'Données projet'!$E$10+1,1))</f>
        <v>318.97291652986593</v>
      </c>
      <c r="AO19" s="59">
        <f t="shared" si="36"/>
        <v>338.19413170988122</v>
      </c>
      <c r="AP19" s="15">
        <f>IF(ISNA(VLOOKUP(A19,'Données projet'!$A$61:$I$81,3,0)),0,VLOOKUP(A19,'Données projet'!$A$61:$I$81,3,0))</f>
        <v>2</v>
      </c>
      <c r="AQ19" s="15">
        <f>IF(ISNA(VLOOKUP(A19,'Données projet'!$A$61:$I$81,4,0)),0,VLOOKUP(A19,'Données projet'!$A$61:$I$81,4,0))</f>
        <v>25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0.5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8.4634364240103324</v>
      </c>
      <c r="AX19" s="21">
        <f t="shared" si="6"/>
        <v>8.4634364240103324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26.072138005225284</v>
      </c>
      <c r="BF19" s="13">
        <f t="shared" si="37"/>
        <v>8.2202636982343371</v>
      </c>
      <c r="BG19" s="20">
        <f t="shared" si="7"/>
        <v>59.725932966858835</v>
      </c>
      <c r="BH19" s="59">
        <f t="shared" si="8"/>
        <v>335.94815518908104</v>
      </c>
      <c r="BI19" s="59">
        <f ca="1">AVERAGE(OFFSET($BH$3,0,0,'Données projet'!$E$11+1,1))-AVERAGE(OFFSET($H$3,0,0,'Données projet'!$E$11+1,1))</f>
        <v>476.64466005965136</v>
      </c>
      <c r="BJ19" s="59">
        <f t="shared" si="38"/>
        <v>312.67921212138998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1.8</v>
      </c>
      <c r="BY19" s="12">
        <f>IF('Données projet'!$A$114&gt;35,BY18+BX19-CG18,IF(A19&lt;'Données projet'!$A$114,$BV$205^A19,IF(A19='Données projet'!$A$114,'Données projet'!$B$114,BY18+BX19-CG18)))</f>
        <v>8.3935047120054769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411.01792832244439</v>
      </c>
      <c r="S20" s="59">
        <f ca="1">AVERAGE(OFFSET($R$3,0,0,'Données projet'!$E$9+1,1))-AVERAGE(OFFSET($H$3,0,0,'Données projet'!$E$9+1,1))</f>
        <v>318.97291652986593</v>
      </c>
      <c r="T20" s="59">
        <f t="shared" si="34"/>
        <v>338.19413170988122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17.200000000000003</v>
      </c>
      <c r="AI20" s="13">
        <f>IF('Données projet'!$A$62&gt;35,AI19+AH20-AQ19,IF(A20&lt;'Données projet'!$A$62,$AF$205^A20,IF(A20='Données projet'!$A$62,'Données projet'!$B$62,AI19+AH20-AQ19)))</f>
        <v>99.700000000000017</v>
      </c>
      <c r="AJ20" s="13">
        <f>AI20*VLOOKUP('Données projet'!$B$10,Paramètres!$A$1:$I$89,3,0)*VLOOKUP('Données projet'!$B$10,Paramètres!$A$1:$I$89,5,0)</f>
        <v>59.62060000000001</v>
      </c>
      <c r="AK20" s="13">
        <f t="shared" si="35"/>
        <v>17.072309403636297</v>
      </c>
      <c r="AL20" s="20">
        <f t="shared" si="4"/>
        <v>133.57348387799991</v>
      </c>
      <c r="AM20" s="59">
        <f t="shared" si="5"/>
        <v>411.01792832244439</v>
      </c>
      <c r="AN20" s="59">
        <f ca="1">AVERAGE(OFFSET($AM$3,0,0,'Données projet'!$E$10+1,1))-AVERAGE(OFFSET($H$3,0,0,'Données projet'!$E$10+1,1))</f>
        <v>318.97291652986593</v>
      </c>
      <c r="AO20" s="59">
        <f t="shared" si="36"/>
        <v>338.19413170988122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5.9845532875589305</v>
      </c>
      <c r="AX20" s="21">
        <f t="shared" si="6"/>
        <v>5.9845532875589305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32.310433828550828</v>
      </c>
      <c r="BF20" s="13">
        <f t="shared" si="37"/>
        <v>9.9359032392271498</v>
      </c>
      <c r="BG20" s="20">
        <f t="shared" si="7"/>
        <v>73.579037059713301</v>
      </c>
      <c r="BH20" s="59">
        <f t="shared" si="8"/>
        <v>351.02348150415776</v>
      </c>
      <c r="BI20" s="59">
        <f ca="1">AVERAGE(OFFSET($BH$3,0,0,'Données projet'!$E$11+1,1))-AVERAGE(OFFSET($H$3,0,0,'Données projet'!$E$11+1,1))</f>
        <v>476.64466005965136</v>
      </c>
      <c r="BJ20" s="59">
        <f t="shared" si="38"/>
        <v>312.67921212138998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1.8</v>
      </c>
      <c r="BY20" s="12">
        <f>IF('Données projet'!$A$114&gt;35,BY19+BX20-CG19,IF(A20&lt;'Données projet'!$A$114,$BV$205^A20,IF(A20='Données projet'!$A$114,'Données projet'!$B$114,BY19+BX20-CG19)))</f>
        <v>9.5871560676428587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434.64399698960051</v>
      </c>
      <c r="S21" s="59">
        <f ca="1">AVERAGE(OFFSET($R$3,0,0,'Données projet'!$E$9+1,1))-AVERAGE(OFFSET($H$3,0,0,'Données projet'!$E$9+1,1))</f>
        <v>318.97291652986593</v>
      </c>
      <c r="T21" s="59">
        <f t="shared" si="34"/>
        <v>338.19413170988122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17.200000000000003</v>
      </c>
      <c r="AI21" s="13">
        <f>IF('Données projet'!$A$62&gt;35,AI20+AH21-AQ20,IF(A21&lt;'Données projet'!$A$62,$AF$205^A21,IF(A21='Données projet'!$A$62,'Données projet'!$B$62,AI20+AH21-AQ20)))</f>
        <v>116.90000000000002</v>
      </c>
      <c r="AJ21" s="13">
        <f>AI21*VLOOKUP('Données projet'!$B$10,Paramètres!$A$1:$I$89,3,0)*VLOOKUP('Données projet'!$B$10,Paramètres!$A$1:$I$89,5,0)</f>
        <v>69.906200000000013</v>
      </c>
      <c r="AK21" s="13">
        <f t="shared" si="35"/>
        <v>19.650161907904558</v>
      </c>
      <c r="AL21" s="20">
        <f t="shared" si="4"/>
        <v>155.9773303229338</v>
      </c>
      <c r="AM21" s="59">
        <f t="shared" si="5"/>
        <v>434.64399698960051</v>
      </c>
      <c r="AN21" s="59">
        <f ca="1">AVERAGE(OFFSET($AM$3,0,0,'Données projet'!$E$10+1,1))-AVERAGE(OFFSET($H$3,0,0,'Données projet'!$E$10+1,1))</f>
        <v>318.97291652986593</v>
      </c>
      <c r="AO21" s="59">
        <f t="shared" si="36"/>
        <v>338.19413170988122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4.2317182120051662</v>
      </c>
      <c r="AX21" s="21">
        <f t="shared" si="6"/>
        <v>4.2317182120051662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40.041370369393334</v>
      </c>
      <c r="BF21" s="13">
        <f t="shared" si="37"/>
        <v>12.009611467876571</v>
      </c>
      <c r="BG21" s="20">
        <f t="shared" si="7"/>
        <v>90.655460033245092</v>
      </c>
      <c r="BH21" s="59">
        <f t="shared" si="8"/>
        <v>369.32212669991179</v>
      </c>
      <c r="BI21" s="59">
        <f ca="1">AVERAGE(OFFSET($BH$3,0,0,'Données projet'!$E$11+1,1))-AVERAGE(OFFSET($H$3,0,0,'Données projet'!$E$11+1,1))</f>
        <v>476.64466005965136</v>
      </c>
      <c r="BJ21" s="59">
        <f t="shared" si="38"/>
        <v>312.67921212138998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1.8</v>
      </c>
      <c r="BY21" s="12">
        <f>IF('Données projet'!$A$114&gt;35,BY20+BX21-CG20,IF(A21&lt;'Données projet'!$A$114,$BV$205^A21,IF(A21='Données projet'!$A$114,'Données projet'!$B$114,BY20+BX21-CG20)))</f>
        <v>10.950558154077715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458.19353556211985</v>
      </c>
      <c r="S22" s="59">
        <f ca="1">AVERAGE(OFFSET($R$3,0,0,'Données projet'!$E$9+1,1))-AVERAGE(OFFSET($H$3,0,0,'Données projet'!$E$9+1,1))</f>
        <v>318.97291652986593</v>
      </c>
      <c r="T22" s="59">
        <f t="shared" si="34"/>
        <v>338.19413170988122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17.200000000000003</v>
      </c>
      <c r="AI22" s="13">
        <f>IF('Données projet'!$A$62&gt;35,AI21+AH22-AQ21,IF(A22&lt;'Données projet'!$A$62,$AF$205^A22,IF(A22='Données projet'!$A$62,'Données projet'!$B$62,AI21+AH22-AQ21)))</f>
        <v>134.10000000000002</v>
      </c>
      <c r="AJ22" s="13">
        <f>AI22*VLOOKUP('Données projet'!$B$10,Paramètres!$A$1:$I$89,3,0)*VLOOKUP('Données projet'!$B$10,Paramètres!$A$1:$I$89,5,0)</f>
        <v>80.191800000000015</v>
      </c>
      <c r="AK22" s="13">
        <f t="shared" si="35"/>
        <v>22.184073687979513</v>
      </c>
      <c r="AL22" s="20">
        <f t="shared" si="4"/>
        <v>178.30464667323099</v>
      </c>
      <c r="AM22" s="59">
        <f t="shared" si="5"/>
        <v>458.19353556211985</v>
      </c>
      <c r="AN22" s="59">
        <f ca="1">AVERAGE(OFFSET($AM$3,0,0,'Données projet'!$E$10+1,1))-AVERAGE(OFFSET($H$3,0,0,'Données projet'!$E$10+1,1))</f>
        <v>318.97291652986593</v>
      </c>
      <c r="AO22" s="59">
        <f t="shared" si="36"/>
        <v>338.19413170988122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2.9922766437794652</v>
      </c>
      <c r="AX22" s="21">
        <f t="shared" si="6"/>
        <v>2.9922766437794652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49.622092651760646</v>
      </c>
      <c r="BF22" s="13">
        <f t="shared" si="37"/>
        <v>14.516120390537463</v>
      </c>
      <c r="BG22" s="20">
        <f t="shared" si="7"/>
        <v>111.70738771533587</v>
      </c>
      <c r="BH22" s="59">
        <f t="shared" si="8"/>
        <v>391.59627660422473</v>
      </c>
      <c r="BI22" s="59">
        <f ca="1">AVERAGE(OFFSET($BH$3,0,0,'Données projet'!$E$11+1,1))-AVERAGE(OFFSET($H$3,0,0,'Données projet'!$E$11+1,1))</f>
        <v>476.64466005965136</v>
      </c>
      <c r="BJ22" s="59">
        <f t="shared" si="38"/>
        <v>312.67921212138998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1.8</v>
      </c>
      <c r="BY22" s="12">
        <f>IF('Données projet'!$A$114&gt;35,BY21+BX22-CG21,IF(A22&lt;'Données projet'!$A$114,$BV$205^A22,IF(A22='Données projet'!$A$114,'Données projet'!$B$114,BY21+BX22-CG21)))</f>
        <v>12.507851446223583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481.67748546725744</v>
      </c>
      <c r="S23" s="59">
        <f ca="1">AVERAGE(OFFSET($R$3,0,0,'Données projet'!$E$9+1,1))-AVERAGE(OFFSET($H$3,0,0,'Données projet'!$E$9+1,1))</f>
        <v>318.97291652986593</v>
      </c>
      <c r="T23" s="59">
        <f t="shared" si="34"/>
        <v>338.19413170988122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151.30000000000001</v>
      </c>
      <c r="AG23" s="12">
        <f>VLOOKUP(A23,'Données projet'!$A$61:$I$81,9,0)</f>
        <v>17.200000000000003</v>
      </c>
      <c r="AH23" s="12">
        <f t="array" ref="AH23">INDEX(AG:AG,MIN(IF(ISNUMBER(AG23:AG219),ROW(AG23:AG219),"")))</f>
        <v>17.200000000000003</v>
      </c>
      <c r="AI23" s="13">
        <f>IF('Données projet'!$A$62&gt;35,AI22+AH23-AQ22,IF(A23&lt;'Données projet'!$A$62,$AF$205^A23,IF(A23='Données projet'!$A$62,'Données projet'!$B$62,AI22+AH23-AQ22)))</f>
        <v>151.30000000000001</v>
      </c>
      <c r="AJ23" s="13">
        <f>AI23*VLOOKUP('Données projet'!$B$10,Paramètres!$A$1:$I$89,3,0)*VLOOKUP('Données projet'!$B$10,Paramètres!$A$1:$I$89,5,0)</f>
        <v>90.477400000000017</v>
      </c>
      <c r="AK23" s="13">
        <f t="shared" si="35"/>
        <v>24.680326903050478</v>
      </c>
      <c r="AL23" s="20">
        <f t="shared" si="4"/>
        <v>200.5663743561463</v>
      </c>
      <c r="AM23" s="59">
        <f t="shared" si="5"/>
        <v>481.67748546725744</v>
      </c>
      <c r="AN23" s="59">
        <f ca="1">AVERAGE(OFFSET($AM$3,0,0,'Données projet'!$E$10+1,1))-AVERAGE(OFFSET($H$3,0,0,'Données projet'!$E$10+1,1))</f>
        <v>318.97291652986593</v>
      </c>
      <c r="AO23" s="59">
        <f t="shared" si="36"/>
        <v>338.19413170988122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33.700000000000003</v>
      </c>
      <c r="AR23" s="16">
        <f>IF(ISNA(VLOOKUP(A23,'Données projet'!$A$61:$I$81,5,0)),0%,VLOOKUP(A23,'Données projet'!$A$61:$I$81,5,0)*VLOOKUP('Données projet'!$B$10,Paramètres!$A$1:$I$89,7,0))</f>
        <v>9.0000000000000011E-2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0.6</v>
      </c>
      <c r="AU23" s="21">
        <f>EXP(-LN(2)/35)*AU22+(1-EXP(-LN(2)/35))/(LN(2)/35)*AQ23*AR23*VLOOKUP('Données projet'!$B$10,Paramètres!$A$1:$I$89,3,0)*0.475*44/12</f>
        <v>2.4060350560221795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15.8063138654817</v>
      </c>
      <c r="AX23" s="21">
        <f t="shared" si="6"/>
        <v>18.212348921503878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61.495200000000004</v>
      </c>
      <c r="BF23" s="13">
        <f t="shared" si="37"/>
        <v>17.545759224285259</v>
      </c>
      <c r="BG23" s="20">
        <f t="shared" si="7"/>
        <v>137.66300398229683</v>
      </c>
      <c r="BH23" s="59">
        <f t="shared" si="8"/>
        <v>418.774115093408</v>
      </c>
      <c r="BI23" s="59">
        <f ca="1">AVERAGE(OFFSET($BH$3,0,0,'Données projet'!$E$11+1,1))-AVERAGE(OFFSET($H$3,0,0,'Données projet'!$E$11+1,1))</f>
        <v>476.64466005965136</v>
      </c>
      <c r="BJ23" s="59">
        <f t="shared" si="38"/>
        <v>312.67921212138998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1.8</v>
      </c>
      <c r="BY23" s="12">
        <f>IF('Données projet'!$A$114&gt;35,BY22+BX23-CG22,IF(A23&lt;'Données projet'!$A$114,$BV$205^A23,IF(A23='Données projet'!$A$114,'Données projet'!$B$114,BY22+BX23-CG22)))</f>
        <v>14.286609467713813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465.04346119832155</v>
      </c>
      <c r="S24" s="59">
        <f ca="1">AVERAGE(OFFSET($R$3,0,0,'Données projet'!$E$9+1,1))-AVERAGE(OFFSET($H$3,0,0,'Données projet'!$E$9+1,1))</f>
        <v>318.97291652986593</v>
      </c>
      <c r="T24" s="59">
        <f t="shared" si="34"/>
        <v>338.19413170988122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19.899999999999995</v>
      </c>
      <c r="AI24" s="13">
        <f>IF('Données projet'!$A$62&gt;35,AI23+AH24-AQ23,IF(A24&lt;'Données projet'!$A$62,$AF$205^A24,IF(A24='Données projet'!$A$62,'Données projet'!$B$62,AI23+AH24-AQ23)))</f>
        <v>137.5</v>
      </c>
      <c r="AJ24" s="13">
        <f>AI24*VLOOKUP('Données projet'!$B$10,Paramètres!$A$1:$I$89,3,0)*VLOOKUP('Données projet'!$B$10,Paramètres!$A$1:$I$89,5,0)</f>
        <v>82.225000000000009</v>
      </c>
      <c r="AK24" s="13">
        <f t="shared" si="35"/>
        <v>22.680336573198979</v>
      </c>
      <c r="AL24" s="20">
        <f t="shared" si="4"/>
        <v>182.71012786498821</v>
      </c>
      <c r="AM24" s="59">
        <f t="shared" si="5"/>
        <v>465.04346119832155</v>
      </c>
      <c r="AN24" s="59">
        <f ca="1">AVERAGE(OFFSET($AM$3,0,0,'Données projet'!$E$10+1,1))-AVERAGE(OFFSET($H$3,0,0,'Données projet'!$E$10+1,1))</f>
        <v>318.97291652986593</v>
      </c>
      <c r="AO24" s="59">
        <f t="shared" si="36"/>
        <v>338.19413170988122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2.3588541761100617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11.176751719845061</v>
      </c>
      <c r="AX24" s="21">
        <f t="shared" si="6"/>
        <v>13.535605895955122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8.1999999999999993</v>
      </c>
      <c r="BD24" s="12">
        <f>IF('Données projet'!$A$88&gt;35,BD23+BC24-BL23,IF(A24&lt;'Données projet'!$A$88,$BA$205^A24,IF(A24='Données projet'!$A$88,'Données projet'!$B$88,BD23+BC24-BL23)))</f>
        <v>75.2</v>
      </c>
      <c r="BE24" s="13">
        <f>BD24*VLOOKUP('Données projet'!$B$11,Paramètres!$A$1:$I$89,3,0)*VLOOKUP('Données projet'!$B$11,Paramètres!$A$1:$I$89,5,0)</f>
        <v>63.348480000000009</v>
      </c>
      <c r="BF24" s="13">
        <f t="shared" si="37"/>
        <v>18.012175511673341</v>
      </c>
      <c r="BG24" s="20">
        <f t="shared" si="7"/>
        <v>141.70314168283105</v>
      </c>
      <c r="BH24" s="59">
        <f t="shared" si="8"/>
        <v>424.03647501616433</v>
      </c>
      <c r="BI24" s="59">
        <f ca="1">AVERAGE(OFFSET($BH$3,0,0,'Données projet'!$E$11+1,1))-AVERAGE(OFFSET($H$3,0,0,'Données projet'!$E$11+1,1))</f>
        <v>476.64466005965136</v>
      </c>
      <c r="BJ24" s="59">
        <f t="shared" si="38"/>
        <v>312.67921212138998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1.8</v>
      </c>
      <c r="BY24" s="12">
        <f>IF('Données projet'!$A$114&gt;35,BY23+BX24-CG23,IF(A24&lt;'Données projet'!$A$114,$BV$205^A24,IF(A24='Données projet'!$A$114,'Données projet'!$B$114,BY23+BX24-CG23)))</f>
        <v>16.31832700927982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492.0029492446007</v>
      </c>
      <c r="S25" s="59">
        <f ca="1">AVERAGE(OFFSET($R$3,0,0,'Données projet'!$E$9+1,1))-AVERAGE(OFFSET($H$3,0,0,'Données projet'!$E$9+1,1))</f>
        <v>318.97291652986593</v>
      </c>
      <c r="T25" s="59">
        <f t="shared" si="34"/>
        <v>338.19413170988122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19.899999999999995</v>
      </c>
      <c r="AI25" s="13">
        <f>IF('Données projet'!$A$62&gt;35,AI24+AH25-AQ24,IF(A25&lt;'Données projet'!$A$62,$AF$205^A25,IF(A25='Données projet'!$A$62,'Données projet'!$B$62,AI24+AH25-AQ24)))</f>
        <v>157.4</v>
      </c>
      <c r="AJ25" s="13">
        <f>AI25*VLOOKUP('Données projet'!$B$10,Paramètres!$A$1:$I$89,3,0)*VLOOKUP('Données projet'!$B$10,Paramètres!$A$1:$I$89,5,0)</f>
        <v>94.125200000000021</v>
      </c>
      <c r="AK25" s="13">
        <f t="shared" si="35"/>
        <v>25.557514079834487</v>
      </c>
      <c r="AL25" s="20">
        <f t="shared" si="4"/>
        <v>208.44739368904513</v>
      </c>
      <c r="AM25" s="59">
        <f t="shared" si="5"/>
        <v>492.0029492446007</v>
      </c>
      <c r="AN25" s="59">
        <f ca="1">AVERAGE(OFFSET($AM$3,0,0,'Données projet'!$E$10+1,1))-AVERAGE(OFFSET($H$3,0,0,'Données projet'!$E$10+1,1))</f>
        <v>318.97291652986593</v>
      </c>
      <c r="AO25" s="59">
        <f t="shared" si="36"/>
        <v>338.19413170988122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2.312598484475525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7.9031569327408508</v>
      </c>
      <c r="AX25" s="21">
        <f t="shared" si="6"/>
        <v>10.215755417216375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8.1999999999999993</v>
      </c>
      <c r="BD25" s="12">
        <f>IF('Données projet'!$A$88&gt;35,BD24+BC25-BL24,IF(A25&lt;'Données projet'!$A$88,$BA$205^A25,IF(A25='Données projet'!$A$88,'Données projet'!$B$88,BD24+BC25-BL24)))</f>
        <v>83.4</v>
      </c>
      <c r="BE25" s="13">
        <f>BD25*VLOOKUP('Données projet'!$B$11,Paramètres!$A$1:$I$89,3,0)*VLOOKUP('Données projet'!$B$11,Paramètres!$A$1:$I$89,5,0)</f>
        <v>70.256160000000023</v>
      </c>
      <c r="BF25" s="13">
        <f t="shared" si="37"/>
        <v>19.737057597671299</v>
      </c>
      <c r="BG25" s="20">
        <f t="shared" si="7"/>
        <v>156.7381873159442</v>
      </c>
      <c r="BH25" s="59">
        <f t="shared" si="8"/>
        <v>440.29374287149972</v>
      </c>
      <c r="BI25" s="59">
        <f ca="1">AVERAGE(OFFSET($BH$3,0,0,'Données projet'!$E$11+1,1))-AVERAGE(OFFSET($H$3,0,0,'Données projet'!$E$11+1,1))</f>
        <v>476.64466005965136</v>
      </c>
      <c r="BJ25" s="59">
        <f t="shared" si="38"/>
        <v>312.67921212138998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1.8</v>
      </c>
      <c r="BY25" s="12">
        <f>IF('Données projet'!$A$114&gt;35,BY24+BX25-CG24,IF(A25&lt;'Données projet'!$A$114,$BV$205^A25,IF(A25='Données projet'!$A$114,'Données projet'!$B$114,BY24+BX25-CG24)))</f>
        <v>18.63897777730768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518.88902595572984</v>
      </c>
      <c r="S26" s="59">
        <f ca="1">AVERAGE(OFFSET($R$3,0,0,'Données projet'!$E$9+1,1))-AVERAGE(OFFSET($H$3,0,0,'Données projet'!$E$9+1,1))</f>
        <v>318.97291652986593</v>
      </c>
      <c r="T26" s="59">
        <f t="shared" si="34"/>
        <v>338.19413170988122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19.899999999999995</v>
      </c>
      <c r="AI26" s="13">
        <f>IF('Données projet'!$A$62&gt;35,AI25+AH26-AQ25,IF(A26&lt;'Données projet'!$A$62,$AF$205^A26,IF(A26='Données projet'!$A$62,'Données projet'!$B$62,AI25+AH26-AQ25)))</f>
        <v>177.3</v>
      </c>
      <c r="AJ26" s="13">
        <f>AI26*VLOOKUP('Données projet'!$B$10,Paramètres!$A$1:$I$89,3,0)*VLOOKUP('Données projet'!$B$10,Paramètres!$A$1:$I$89,5,0)</f>
        <v>106.02540000000002</v>
      </c>
      <c r="AK26" s="13">
        <f t="shared" si="35"/>
        <v>28.392541537580129</v>
      </c>
      <c r="AL26" s="20">
        <f t="shared" si="4"/>
        <v>234.11124817795204</v>
      </c>
      <c r="AM26" s="59">
        <f t="shared" si="5"/>
        <v>518.88902595572984</v>
      </c>
      <c r="AN26" s="59">
        <f ca="1">AVERAGE(OFFSET($AM$3,0,0,'Données projet'!$E$10+1,1))-AVERAGE(OFFSET($H$3,0,0,'Données projet'!$E$10+1,1))</f>
        <v>318.97291652986593</v>
      </c>
      <c r="AO26" s="59">
        <f t="shared" si="36"/>
        <v>338.19413170988122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2.2672498387407556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5.5883758599225315</v>
      </c>
      <c r="AX26" s="21">
        <f t="shared" si="6"/>
        <v>7.8556256986632871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8.1999999999999993</v>
      </c>
      <c r="BD26" s="12">
        <f>IF('Données projet'!$A$88&gt;35,BD25+BC26-BL25,IF(A26&lt;'Données projet'!$A$88,$BA$205^A26,IF(A26='Données projet'!$A$88,'Données projet'!$B$88,BD25+BC26-BL25)))</f>
        <v>91.600000000000009</v>
      </c>
      <c r="BE26" s="13">
        <f>BD26*VLOOKUP('Données projet'!$B$11,Paramètres!$A$1:$I$89,3,0)*VLOOKUP('Données projet'!$B$11,Paramètres!$A$1:$I$89,5,0)</f>
        <v>77.163840000000008</v>
      </c>
      <c r="BF26" s="13">
        <f t="shared" si="37"/>
        <v>21.442278213774838</v>
      </c>
      <c r="BG26" s="20">
        <f t="shared" si="7"/>
        <v>171.73898922232453</v>
      </c>
      <c r="BH26" s="59">
        <f t="shared" si="8"/>
        <v>456.51676700010228</v>
      </c>
      <c r="BI26" s="59">
        <f ca="1">AVERAGE(OFFSET($BH$3,0,0,'Données projet'!$E$11+1,1))-AVERAGE(OFFSET($H$3,0,0,'Données projet'!$E$11+1,1))</f>
        <v>476.64466005965136</v>
      </c>
      <c r="BJ26" s="59">
        <f t="shared" si="38"/>
        <v>312.67921212138998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1.8</v>
      </c>
      <c r="BY26" s="12">
        <f>IF('Données projet'!$A$114&gt;35,BY25+BX26-CG25,IF(A26&lt;'Données projet'!$A$114,$BV$205^A26,IF(A26='Données projet'!$A$114,'Données projet'!$B$114,BY25+BX26-CG25)))</f>
        <v>21.289651346330135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545.71087111615634</v>
      </c>
      <c r="S27" s="59">
        <f ca="1">AVERAGE(OFFSET($R$3,0,0,'Données projet'!$E$9+1,1))-AVERAGE(OFFSET($H$3,0,0,'Données projet'!$E$9+1,1))</f>
        <v>318.97291652986593</v>
      </c>
      <c r="T27" s="59">
        <f t="shared" si="34"/>
        <v>338.19413170988122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197.2</v>
      </c>
      <c r="AG27" s="12">
        <f>VLOOKUP(A27,'Données projet'!$A$61:$I$81,9,0)</f>
        <v>19.899999999999995</v>
      </c>
      <c r="AH27" s="12">
        <f t="array" ref="AH27">INDEX(AG:AG,MIN(IF(ISNUMBER(AG27:AG223),ROW(AG27:AG223),"")))</f>
        <v>19.899999999999995</v>
      </c>
      <c r="AI27" s="13">
        <f>IF('Données projet'!$A$62&gt;35,AI26+AH27-AQ26,IF(A27&lt;'Données projet'!$A$62,$AF$205^A27,IF(A27='Données projet'!$A$62,'Données projet'!$B$62,AI26+AH27-AQ26)))</f>
        <v>197.20000000000002</v>
      </c>
      <c r="AJ27" s="13">
        <f>AI27*VLOOKUP('Données projet'!$B$10,Paramètres!$A$1:$I$89,3,0)*VLOOKUP('Données projet'!$B$10,Paramètres!$A$1:$I$89,5,0)</f>
        <v>117.92560000000003</v>
      </c>
      <c r="AK27" s="13">
        <f t="shared" si="35"/>
        <v>31.190689636070587</v>
      </c>
      <c r="AL27" s="20">
        <f t="shared" si="4"/>
        <v>259.71087111615634</v>
      </c>
      <c r="AM27" s="59">
        <f t="shared" si="5"/>
        <v>545.71087111615634</v>
      </c>
      <c r="AN27" s="59">
        <f ca="1">AVERAGE(OFFSET($AM$3,0,0,'Données projet'!$E$10+1,1))-AVERAGE(OFFSET($H$3,0,0,'Données projet'!$E$10+1,1))</f>
        <v>318.97291652986593</v>
      </c>
      <c r="AO27" s="59">
        <f t="shared" si="36"/>
        <v>338.19413170988122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42.9</v>
      </c>
      <c r="AR27" s="16">
        <f>IF(ISNA(VLOOKUP(A27,'Données projet'!$A$61:$I$81,5,0)),0%,VLOOKUP(A27,'Données projet'!$A$61:$I$81,5,0)*VLOOKUP('Données projet'!$B$10,Paramètres!$A$1:$I$89,7,0))</f>
        <v>0.13500000000000001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0.5</v>
      </c>
      <c r="AU27" s="21">
        <f>EXP(-LN(2)/35)*AU26+(1-EXP(-LN(2)/35))/(LN(2)/35)*AQ27*AR27*VLOOKUP('Données projet'!$B$10,Paramètres!$A$1:$I$89,3,0)*0.475*44/12</f>
        <v>6.8171036824084048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18.474835369972155</v>
      </c>
      <c r="AX27" s="21">
        <f t="shared" si="6"/>
        <v>25.29193905238056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8.1999999999999993</v>
      </c>
      <c r="BD27" s="12">
        <f>IF('Données projet'!$A$88&gt;35,BD26+BC27-BL26,IF(A27&lt;'Données projet'!$A$88,$BA$205^A27,IF(A27='Données projet'!$A$88,'Données projet'!$B$88,BD26+BC27-BL26)))</f>
        <v>99.800000000000011</v>
      </c>
      <c r="BE27" s="13">
        <f>BD27*VLOOKUP('Données projet'!$B$11,Paramètres!$A$1:$I$89,3,0)*VLOOKUP('Données projet'!$B$11,Paramètres!$A$1:$I$89,5,0)</f>
        <v>84.071520000000021</v>
      </c>
      <c r="BF27" s="13">
        <f t="shared" si="37"/>
        <v>23.129797599684554</v>
      </c>
      <c r="BG27" s="20">
        <f t="shared" si="7"/>
        <v>186.70896148611726</v>
      </c>
      <c r="BH27" s="59">
        <f t="shared" si="8"/>
        <v>472.70896148611723</v>
      </c>
      <c r="BI27" s="59">
        <f ca="1">AVERAGE(OFFSET($BH$3,0,0,'Données projet'!$E$11+1,1))-AVERAGE(OFFSET($H$3,0,0,'Données projet'!$E$11+1,1))</f>
        <v>476.64466005965136</v>
      </c>
      <c r="BJ27" s="59">
        <f t="shared" si="38"/>
        <v>312.67921212138998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1.8</v>
      </c>
      <c r="BY27" s="12">
        <f>IF('Données projet'!$A$114&gt;35,BY26+BX27-CG26,IF(A27&lt;'Données projet'!$A$114,$BV$205^A27,IF(A27='Données projet'!$A$114,'Données projet'!$B$114,BY26+BX27-CG26)))</f>
        <v>24.317280693371075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517.30780156925096</v>
      </c>
      <c r="S28" s="59">
        <f ca="1">AVERAGE(OFFSET($R$3,0,0,'Données projet'!$E$9+1,1))-AVERAGE(OFFSET($H$3,0,0,'Données projet'!$E$9+1,1))</f>
        <v>318.97291652986593</v>
      </c>
      <c r="T28" s="59">
        <f t="shared" si="34"/>
        <v>338.19413170988122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19.875</v>
      </c>
      <c r="AI28" s="13">
        <f>IF('Données projet'!$A$62&gt;35,AI27+AH28-AQ27,IF(A28&lt;'Données projet'!$A$62,$AF$205^A28,IF(A28='Données projet'!$A$62,'Données projet'!$B$62,AI27+AH28-AQ27)))</f>
        <v>174.17500000000001</v>
      </c>
      <c r="AJ28" s="13">
        <f>AI28*VLOOKUP('Données projet'!$B$10,Paramètres!$A$1:$I$89,3,0)*VLOOKUP('Données projet'!$B$10,Paramètres!$A$1:$I$89,5,0)</f>
        <v>104.15665000000001</v>
      </c>
      <c r="AK28" s="13">
        <f t="shared" si="35"/>
        <v>27.949902735136092</v>
      </c>
      <c r="AL28" s="20">
        <f t="shared" si="4"/>
        <v>230.08557934702876</v>
      </c>
      <c r="AM28" s="59">
        <f t="shared" si="5"/>
        <v>517.30780156925096</v>
      </c>
      <c r="AN28" s="59">
        <f ca="1">AVERAGE(OFFSET($AM$3,0,0,'Données projet'!$E$10+1,1))-AVERAGE(OFFSET($H$3,0,0,'Données projet'!$E$10+1,1))</f>
        <v>318.97291652986593</v>
      </c>
      <c r="AO28" s="59">
        <f t="shared" si="36"/>
        <v>338.19413170988122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6.6834244372190517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13.06368137141239</v>
      </c>
      <c r="AX28" s="21">
        <f t="shared" si="6"/>
        <v>19.747105808631442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8.1999999999999993</v>
      </c>
      <c r="BD28" s="12">
        <f>IF('Données projet'!$A$88&gt;35,BD27+BC28-BL27,IF(A28&lt;'Données projet'!$A$88,$BA$205^A28,IF(A28='Données projet'!$A$88,'Données projet'!$B$88,BD27+BC28-BL27)))</f>
        <v>108.00000000000001</v>
      </c>
      <c r="BE28" s="13">
        <f>BD28*VLOOKUP('Données projet'!$B$11,Paramètres!$A$1:$I$89,3,0)*VLOOKUP('Données projet'!$B$11,Paramètres!$A$1:$I$89,5,0)</f>
        <v>90.97920000000002</v>
      </c>
      <c r="BF28" s="13">
        <f t="shared" si="37"/>
        <v>24.801235516871511</v>
      </c>
      <c r="BG28" s="20">
        <f t="shared" si="7"/>
        <v>201.65092519188457</v>
      </c>
      <c r="BH28" s="59">
        <f t="shared" si="8"/>
        <v>488.87314741410682</v>
      </c>
      <c r="BI28" s="59">
        <f ca="1">AVERAGE(OFFSET($BH$3,0,0,'Données projet'!$E$11+1,1))-AVERAGE(OFFSET($H$3,0,0,'Données projet'!$E$11+1,1))</f>
        <v>476.64466005965136</v>
      </c>
      <c r="BJ28" s="59">
        <f t="shared" si="38"/>
        <v>312.67921212138998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1.8</v>
      </c>
      <c r="BY28" s="12">
        <f>IF('Données projet'!$A$114&gt;35,BY27+BX28-CG27,IF(A28&lt;'Données projet'!$A$114,$BV$205^A28,IF(A28='Données projet'!$A$114,'Données projet'!$B$114,BY27+BX28-CG27)))</f>
        <v>27.775473195906979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544.10707877173172</v>
      </c>
      <c r="S29" s="59">
        <f ca="1">AVERAGE(OFFSET($R$3,0,0,'Données projet'!$E$9+1,1))-AVERAGE(OFFSET($H$3,0,0,'Données projet'!$E$9+1,1))</f>
        <v>318.97291652986593</v>
      </c>
      <c r="T29" s="59">
        <f t="shared" si="34"/>
        <v>338.19413170988122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19.875</v>
      </c>
      <c r="AI29" s="13">
        <f>IF('Données projet'!$A$62&gt;35,AI28+AH29-AQ28,IF(A29&lt;'Données projet'!$A$62,$AF$205^A29,IF(A29='Données projet'!$A$62,'Données projet'!$B$62,AI28+AH29-AQ28)))</f>
        <v>194.05</v>
      </c>
      <c r="AJ29" s="13">
        <f>AI29*VLOOKUP('Données projet'!$B$10,Paramètres!$A$1:$I$89,3,0)*VLOOKUP('Données projet'!$B$10,Paramètres!$A$1:$I$89,5,0)</f>
        <v>116.04190000000001</v>
      </c>
      <c r="AK29" s="13">
        <f t="shared" si="35"/>
        <v>30.750043154423295</v>
      </c>
      <c r="AL29" s="20">
        <f t="shared" si="4"/>
        <v>255.66263432728726</v>
      </c>
      <c r="AM29" s="59">
        <f t="shared" si="5"/>
        <v>544.10707877173172</v>
      </c>
      <c r="AN29" s="59">
        <f ca="1">AVERAGE(OFFSET($AM$3,0,0,'Données projet'!$E$10+1,1))-AVERAGE(OFFSET($H$3,0,0,'Données projet'!$E$10+1,1))</f>
        <v>318.97291652986593</v>
      </c>
      <c r="AO29" s="59">
        <f t="shared" si="36"/>
        <v>338.19413170988122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6.5523665604915733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9.2374176849860774</v>
      </c>
      <c r="AX29" s="21">
        <f t="shared" si="6"/>
        <v>15.789784245477652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8.1999999999999993</v>
      </c>
      <c r="BD29" s="12">
        <f>IF('Données projet'!$A$88&gt;35,BD28+BC29-BL28,IF(A29&lt;'Données projet'!$A$88,$BA$205^A29,IF(A29='Données projet'!$A$88,'Données projet'!$B$88,BD28+BC29-BL28)))</f>
        <v>116.20000000000002</v>
      </c>
      <c r="BE29" s="13">
        <f>BD29*VLOOKUP('Données projet'!$B$11,Paramètres!$A$1:$I$89,3,0)*VLOOKUP('Données projet'!$B$11,Paramètres!$A$1:$I$89,5,0)</f>
        <v>97.886880000000019</v>
      </c>
      <c r="BF29" s="13">
        <f t="shared" si="37"/>
        <v>26.457951797777866</v>
      </c>
      <c r="BG29" s="20">
        <f t="shared" si="7"/>
        <v>216.56724871446315</v>
      </c>
      <c r="BH29" s="59">
        <f t="shared" si="8"/>
        <v>505.01169315890763</v>
      </c>
      <c r="BI29" s="59">
        <f ca="1">AVERAGE(OFFSET($BH$3,0,0,'Données projet'!$E$11+1,1))-AVERAGE(OFFSET($H$3,0,0,'Données projet'!$E$11+1,1))</f>
        <v>476.64466005965136</v>
      </c>
      <c r="BJ29" s="59">
        <f t="shared" si="38"/>
        <v>312.67921212138998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1.8</v>
      </c>
      <c r="BY29" s="12">
        <f>IF('Données projet'!$A$114&gt;35,BY28+BX29-CG28,IF(A29&lt;'Données projet'!$A$114,$BV$205^A29,IF(A29='Données projet'!$A$114,'Données projet'!$B$114,BY28+BX29-CG28)))</f>
        <v>31.725459807142535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570.84845223854927</v>
      </c>
      <c r="S30" s="59">
        <f ca="1">AVERAGE(OFFSET($R$3,0,0,'Données projet'!$E$9+1,1))-AVERAGE(OFFSET($H$3,0,0,'Données projet'!$E$9+1,1))</f>
        <v>318.97291652986593</v>
      </c>
      <c r="T30" s="59">
        <f t="shared" si="34"/>
        <v>338.19413170988122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19.875</v>
      </c>
      <c r="AI30" s="13">
        <f>IF('Données projet'!$A$62&gt;35,AI29+AH30-AQ29,IF(A30&lt;'Données projet'!$A$62,$AF$205^A30,IF(A30='Données projet'!$A$62,'Données projet'!$B$62,AI29+AH30-AQ29)))</f>
        <v>213.92500000000001</v>
      </c>
      <c r="AJ30" s="13">
        <f>AI30*VLOOKUP('Données projet'!$B$10,Paramètres!$A$1:$I$89,3,0)*VLOOKUP('Données projet'!$B$10,Paramètres!$A$1:$I$89,5,0)</f>
        <v>127.92715000000001</v>
      </c>
      <c r="AK30" s="13">
        <f t="shared" si="35"/>
        <v>33.51693740969332</v>
      </c>
      <c r="AL30" s="20">
        <f t="shared" si="4"/>
        <v>281.18178557188253</v>
      </c>
      <c r="AM30" s="59">
        <f t="shared" si="5"/>
        <v>570.84845223854927</v>
      </c>
      <c r="AN30" s="59">
        <f ca="1">AVERAGE(OFFSET($AM$3,0,0,'Données projet'!$E$10+1,1))-AVERAGE(OFFSET($H$3,0,0,'Données projet'!$E$10+1,1))</f>
        <v>318.97291652986593</v>
      </c>
      <c r="AO30" s="59">
        <f t="shared" si="36"/>
        <v>338.19413170988122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6.4238786487893087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6.5318406857061948</v>
      </c>
      <c r="AX30" s="21">
        <f t="shared" si="6"/>
        <v>12.955719334495504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8.1999999999999993</v>
      </c>
      <c r="BD30" s="12">
        <f>IF('Données projet'!$A$88&gt;35,BD29+BC30-BL29,IF(A30&lt;'Données projet'!$A$88,$BA$205^A30,IF(A30='Données projet'!$A$88,'Données projet'!$B$88,BD29+BC30-BL29)))</f>
        <v>124.40000000000002</v>
      </c>
      <c r="BE30" s="13">
        <f>BD30*VLOOKUP('Données projet'!$B$11,Paramètres!$A$1:$I$89,3,0)*VLOOKUP('Données projet'!$B$11,Paramètres!$A$1:$I$89,5,0)</f>
        <v>104.79456000000003</v>
      </c>
      <c r="BF30" s="13">
        <f t="shared" si="37"/>
        <v>28.101103481959861</v>
      </c>
      <c r="BG30" s="20">
        <f t="shared" si="7"/>
        <v>231.45994723108015</v>
      </c>
      <c r="BH30" s="59">
        <f t="shared" si="8"/>
        <v>521.12661389774689</v>
      </c>
      <c r="BI30" s="59">
        <f ca="1">AVERAGE(OFFSET($BH$3,0,0,'Données projet'!$E$11+1,1))-AVERAGE(OFFSET($H$3,0,0,'Données projet'!$E$11+1,1))</f>
        <v>476.64466005965136</v>
      </c>
      <c r="BJ30" s="59">
        <f t="shared" si="38"/>
        <v>312.67921212138998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1.8</v>
      </c>
      <c r="BY30" s="12">
        <f>IF('Données projet'!$A$114&gt;35,BY29+BX30-CG29,IF(A30&lt;'Données projet'!$A$114,$BV$205^A30,IF(A30='Données projet'!$A$114,'Données projet'!$B$114,BY29+BX30-CG29)))</f>
        <v>36.237179214751805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597.53791350350582</v>
      </c>
      <c r="S31" s="59">
        <f ca="1">AVERAGE(OFFSET($R$3,0,0,'Données projet'!$E$9+1,1))-AVERAGE(OFFSET($H$3,0,0,'Données projet'!$E$9+1,1))</f>
        <v>318.97291652986593</v>
      </c>
      <c r="T31" s="59">
        <f t="shared" si="34"/>
        <v>338.19413170988122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>
        <f>VLOOKUP(A31,'Données projet'!$A$61:$I$81,2,0)</f>
        <v>233.79999999999998</v>
      </c>
      <c r="AG31" s="12">
        <f>VLOOKUP(A31,'Données projet'!$A$61:$I$81,9,0)</f>
        <v>19.875</v>
      </c>
      <c r="AH31" s="12">
        <f t="array" ref="AH31">INDEX(AG:AG,MIN(IF(ISNUMBER(AG31:AG227),ROW(AG31:AG227),"")))</f>
        <v>19.875</v>
      </c>
      <c r="AI31" s="13">
        <f>IF('Données projet'!$A$62&gt;35,AI30+AH31-AQ30,IF(A31&lt;'Données projet'!$A$62,$AF$205^A31,IF(A31='Données projet'!$A$62,'Données projet'!$B$62,AI30+AH31-AQ30)))</f>
        <v>233.8</v>
      </c>
      <c r="AJ31" s="13">
        <f>AI31*VLOOKUP('Données projet'!$B$10,Paramètres!$A$1:$I$89,3,0)*VLOOKUP('Données projet'!$B$10,Paramètres!$A$1:$I$89,5,0)</f>
        <v>139.81240000000003</v>
      </c>
      <c r="AK31" s="13">
        <f t="shared" si="35"/>
        <v>36.254025616047976</v>
      </c>
      <c r="AL31" s="20">
        <f t="shared" si="4"/>
        <v>306.64902461461696</v>
      </c>
      <c r="AM31" s="59">
        <f t="shared" si="5"/>
        <v>597.53791350350582</v>
      </c>
      <c r="AN31" s="59">
        <f ca="1">AVERAGE(OFFSET($AM$3,0,0,'Données projet'!$E$10+1,1))-AVERAGE(OFFSET($H$3,0,0,'Données projet'!$E$10+1,1))</f>
        <v>318.97291652986593</v>
      </c>
      <c r="AO31" s="59">
        <f t="shared" si="36"/>
        <v>338.19413170988122</v>
      </c>
      <c r="AP31" s="15">
        <f>IF(ISNA(VLOOKUP(A31,'Données projet'!$A$61:$I$81,3,0)),0,VLOOKUP(A31,'Données projet'!$A$61:$I$81,3,0))</f>
        <v>5</v>
      </c>
      <c r="AQ31" s="15">
        <f>IF(ISNA(VLOOKUP(A31,'Données projet'!$A$61:$I$81,4,0)),0,VLOOKUP(A31,'Données projet'!$A$61:$I$81,4,0))</f>
        <v>41.4</v>
      </c>
      <c r="AR31" s="16">
        <f>IF(ISNA(VLOOKUP(A31,'Données projet'!$A$61:$I$81,5,0)),0%,VLOOKUP(A31,'Données projet'!$A$61:$I$81,5,0)*VLOOKUP('Données projet'!$B$10,Paramètres!$A$1:$I$89,7,0))</f>
        <v>0.22500000000000001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0.4</v>
      </c>
      <c r="AU31" s="21">
        <f>EXP(-LN(2)/35)*AU30+(1-EXP(-LN(2)/35))/(LN(2)/35)*AQ31*AR31*VLOOKUP('Données projet'!$B$10,Paramètres!$A$1:$I$89,3,0)*0.475*44/12</f>
        <v>13.68736515231239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15.831069417021927</v>
      </c>
      <c r="AX31" s="21">
        <f t="shared" si="6"/>
        <v>29.518434569334318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8.1999999999999993</v>
      </c>
      <c r="BD31" s="12">
        <f>IF('Données projet'!$A$88&gt;35,BD30+BC31-BL30,IF(A31&lt;'Données projet'!$A$88,$BA$205^A31,IF(A31='Données projet'!$A$88,'Données projet'!$B$88,BD30+BC31-BL30)))</f>
        <v>132.60000000000002</v>
      </c>
      <c r="BE31" s="13">
        <f>BD31*VLOOKUP('Données projet'!$B$11,Paramètres!$A$1:$I$89,3,0)*VLOOKUP('Données projet'!$B$11,Paramètres!$A$1:$I$89,5,0)</f>
        <v>111.70224000000003</v>
      </c>
      <c r="BF31" s="13">
        <f t="shared" si="37"/>
        <v>29.731686445309627</v>
      </c>
      <c r="BG31" s="20">
        <f t="shared" si="7"/>
        <v>246.33075522558093</v>
      </c>
      <c r="BH31" s="59">
        <f t="shared" si="8"/>
        <v>537.21964411446982</v>
      </c>
      <c r="BI31" s="59">
        <f ca="1">AVERAGE(OFFSET($BH$3,0,0,'Données projet'!$E$11+1,1))-AVERAGE(OFFSET($H$3,0,0,'Données projet'!$E$11+1,1))</f>
        <v>476.64466005965136</v>
      </c>
      <c r="BJ31" s="59">
        <f t="shared" si="38"/>
        <v>312.67921212138998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1.8</v>
      </c>
      <c r="BY31" s="12">
        <f>IF('Données projet'!$A$114&gt;35,BY30+BX31-CG30,IF(A31&lt;'Données projet'!$A$114,$BV$205^A31,IF(A31='Données projet'!$A$114,'Données projet'!$B$114,BY30+BX31-CG30)))</f>
        <v>41.390516179261404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569.66893721631868</v>
      </c>
      <c r="S32" s="59">
        <f ca="1">AVERAGE(OFFSET($R$3,0,0,'Données projet'!$E$9+1,1))-AVERAGE(OFFSET($H$3,0,0,'Données projet'!$E$9+1,1))</f>
        <v>318.97291652986593</v>
      </c>
      <c r="T32" s="59">
        <f t="shared" si="34"/>
        <v>338.19413170988122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18.700000000000006</v>
      </c>
      <c r="AI32" s="13">
        <f>IF('Données projet'!$A$62&gt;35,AI31+AH32-AQ31,IF(A32&lt;'Données projet'!$A$62,$AF$205^A32,IF(A32='Données projet'!$A$62,'Données projet'!$B$62,AI31+AH32-AQ31)))</f>
        <v>211.10000000000002</v>
      </c>
      <c r="AJ32" s="13">
        <f>AI32*VLOOKUP('Données projet'!$B$10,Paramètres!$A$1:$I$89,3,0)*VLOOKUP('Données projet'!$B$10,Paramètres!$A$1:$I$89,5,0)</f>
        <v>126.23780000000002</v>
      </c>
      <c r="AK32" s="13">
        <f t="shared" si="35"/>
        <v>33.12554513217659</v>
      </c>
      <c r="AL32" s="20">
        <f t="shared" si="4"/>
        <v>277.5578261052076</v>
      </c>
      <c r="AM32" s="59">
        <f t="shared" si="5"/>
        <v>569.66893721631868</v>
      </c>
      <c r="AN32" s="59">
        <f ca="1">AVERAGE(OFFSET($AM$3,0,0,'Données projet'!$E$10+1,1))-AVERAGE(OFFSET($H$3,0,0,'Données projet'!$E$10+1,1))</f>
        <v>318.97291652986593</v>
      </c>
      <c r="AO32" s="59">
        <f t="shared" si="36"/>
        <v>338.19413170988122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13.418964270143944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11.194256538211169</v>
      </c>
      <c r="AX32" s="21">
        <f t="shared" si="6"/>
        <v>24.613220808355113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8.1999999999999993</v>
      </c>
      <c r="BD32" s="12">
        <f>IF('Données projet'!$A$88&gt;35,BD31+BC32-BL31,IF(A32&lt;'Données projet'!$A$88,$BA$205^A32,IF(A32='Données projet'!$A$88,'Données projet'!$B$88,BD31+BC32-BL31)))</f>
        <v>140.80000000000001</v>
      </c>
      <c r="BE32" s="13">
        <f>BD32*VLOOKUP('Données projet'!$B$11,Paramètres!$A$1:$I$89,3,0)*VLOOKUP('Données projet'!$B$11,Paramètres!$A$1:$I$89,5,0)</f>
        <v>118.60992000000002</v>
      </c>
      <c r="BF32" s="13">
        <f t="shared" si="37"/>
        <v>31.35056643275615</v>
      </c>
      <c r="BG32" s="20">
        <f t="shared" si="7"/>
        <v>261.18118053705035</v>
      </c>
      <c r="BH32" s="59">
        <f t="shared" si="8"/>
        <v>553.29229164816149</v>
      </c>
      <c r="BI32" s="59">
        <f ca="1">AVERAGE(OFFSET($BH$3,0,0,'Données projet'!$E$11+1,1))-AVERAGE(OFFSET($H$3,0,0,'Données projet'!$E$11+1,1))</f>
        <v>476.64466005965136</v>
      </c>
      <c r="BJ32" s="59">
        <f t="shared" si="38"/>
        <v>312.67921212138998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1.8</v>
      </c>
      <c r="BY32" s="12">
        <f>IF('Données projet'!$A$114&gt;35,BY31+BX32-CG31,IF(A32&lt;'Données projet'!$A$114,$BV$205^A32,IF(A32='Données projet'!$A$114,'Données projet'!$B$114,BY31+BX32-CG31)))</f>
        <v>47.276715978165399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318.97291652986593</v>
      </c>
      <c r="T33" s="59">
        <f t="shared" si="34"/>
        <v>338.19413170988122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18.700000000000006</v>
      </c>
      <c r="AI33" s="13">
        <f>IF('Données projet'!$A$62&gt;35,AI32+AH33-AQ32,IF(A33&lt;'Données projet'!$A$62,$AF$205^A33,IF(A33='Données projet'!$A$62,'Données projet'!$B$62,AI32+AH33-AQ32)))</f>
        <v>229.80000000000004</v>
      </c>
      <c r="AJ33" s="13">
        <f>AI33*VLOOKUP('Données projet'!$B$10,Paramètres!$A$1:$I$89,3,0)*VLOOKUP('Données projet'!$B$10,Paramètres!$A$1:$I$89,5,0)</f>
        <v>137.42040000000003</v>
      </c>
      <c r="AK33" s="13">
        <f t="shared" si="35"/>
        <v>35.705417249692559</v>
      </c>
      <c r="AL33" s="20">
        <f t="shared" si="4"/>
        <v>301.52746504321459</v>
      </c>
      <c r="AM33" s="59">
        <f t="shared" si="5"/>
        <v>594.8607983765479</v>
      </c>
      <c r="AN33" s="59">
        <f ca="1">AVERAGE(OFFSET($AM$3,0,0,'Données projet'!$E$10+1,1))-AVERAGE(OFFSET($H$3,0,0,'Données projet'!$E$10+1,1))</f>
        <v>318.97291652986593</v>
      </c>
      <c r="AO33" s="59">
        <f t="shared" si="36"/>
        <v>338.19413170988122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13.155826565566448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7.9155347085109646</v>
      </c>
      <c r="AX33" s="21">
        <f t="shared" si="6"/>
        <v>21.071361274077411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8.1999999999999993</v>
      </c>
      <c r="BC33" s="12">
        <f t="array" ref="BC33">INDEX(BB:BB,MIN(IF(ISNUMBER(BB33:BB229),ROW(BB33:BB229),"")))</f>
        <v>8.1999999999999993</v>
      </c>
      <c r="BD33" s="12">
        <f>IF('Données projet'!$A$88&gt;35,BD32+BC33-BL32,IF(A33&lt;'Données projet'!$A$88,$BA$205^A33,IF(A33='Données projet'!$A$88,'Données projet'!$B$88,BD32+BC33-BL32)))</f>
        <v>149</v>
      </c>
      <c r="BE33" s="13">
        <f>BD33*VLOOKUP('Données projet'!$B$11,Paramètres!$A$1:$I$89,3,0)*VLOOKUP('Données projet'!$B$11,Paramètres!$A$1:$I$89,5,0)</f>
        <v>125.51760000000002</v>
      </c>
      <c r="BF33" s="13">
        <f t="shared" si="37"/>
        <v>32.95850265342969</v>
      </c>
      <c r="BG33" s="20">
        <f t="shared" si="7"/>
        <v>276.01254545472335</v>
      </c>
      <c r="BH33" s="59">
        <f t="shared" si="8"/>
        <v>569.34587878805667</v>
      </c>
      <c r="BI33" s="59">
        <f ca="1">AVERAGE(OFFSET($BH$3,0,0,'Données projet'!$E$11+1,1))-AVERAGE(OFFSET($H$3,0,0,'Données projet'!$E$11+1,1))</f>
        <v>476.64466005965136</v>
      </c>
      <c r="BJ33" s="59">
        <f t="shared" si="38"/>
        <v>312.67921212138998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1.8</v>
      </c>
      <c r="BX33" s="12">
        <f t="array" ref="BX33">INDEX(BW:BW,MIN(IF(ISNUMBER(BW33:BW229),ROW(BW33:BW229),"")))</f>
        <v>1.8</v>
      </c>
      <c r="BY33" s="12">
        <f>IF('Données projet'!$A$114&gt;35,BY32+BX33-CG32,IF(A33&lt;'Données projet'!$A$114,$BV$205^A33,IF(A33='Données projet'!$A$114,'Données projet'!$B$114,BY32+BX33-CG32)))</f>
        <v>54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0</v>
      </c>
      <c r="CH33" s="16" t="e">
        <f>IF(ISNA(VLOOKUP(A33,'Données projet'!$A$113:$I$133,5,0)),0%,VLOOKUP(A33,'Données projet'!$A$113:$I$133,5,0)*VLOOKUP('Données projet'!$B$12,Paramètres!$A$1:$I$89,7,0))</f>
        <v>#N/A</v>
      </c>
      <c r="CI33" s="16" t="e">
        <f>IF(ISNA(VLOOKUP(A33,'Données projet'!$A$113:$I$133,6,0)),0%,VLOOKUP(A33,'Données projet'!$A$113:$I$133,6,0)*VLOOKUP('Données projet'!$B$12,Paramètres!$A$1:$I$89,7,0))</f>
        <v>#N/A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318.97291652986593</v>
      </c>
      <c r="T34" s="59">
        <f t="shared" si="34"/>
        <v>338.19413170988122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18.700000000000006</v>
      </c>
      <c r="AI34" s="13">
        <f>IF('Données projet'!$A$62&gt;35,AI33+AH34-AQ33,IF(A34&lt;'Données projet'!$A$62,$AF$205^A34,IF(A34='Données projet'!$A$62,'Données projet'!$B$62,AI33+AH34-AQ33)))</f>
        <v>248.50000000000006</v>
      </c>
      <c r="AJ34" s="13">
        <f>AI34*VLOOKUP('Données projet'!$B$10,Paramètres!$A$1:$I$89,3,0)*VLOOKUP('Données projet'!$B$10,Paramètres!$A$1:$I$89,5,0)</f>
        <v>148.60300000000004</v>
      </c>
      <c r="AK34" s="13">
        <f t="shared" si="35"/>
        <v>38.260939676613795</v>
      </c>
      <c r="AL34" s="20">
        <f t="shared" si="4"/>
        <v>325.45469493676904</v>
      </c>
      <c r="AM34" s="59">
        <f t="shared" si="5"/>
        <v>618.78802827010236</v>
      </c>
      <c r="AN34" s="59">
        <f ca="1">AVERAGE(OFFSET($AM$3,0,0,'Données projet'!$E$10+1,1))-AVERAGE(OFFSET($H$3,0,0,'Données projet'!$E$10+1,1))</f>
        <v>318.97291652986593</v>
      </c>
      <c r="AO34" s="59">
        <f t="shared" si="36"/>
        <v>338.19413170988122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12.897848830877566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5.5971282691055855</v>
      </c>
      <c r="AX34" s="21">
        <f t="shared" si="6"/>
        <v>18.494977099983153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</v>
      </c>
      <c r="BD34" s="12">
        <f>IF('Données projet'!$A$88&gt;35,BD33+BC34-BL33,IF(A34&lt;'Données projet'!$A$88,$BA$205^A34,IF(A34='Données projet'!$A$88,'Données projet'!$B$88,BD33+BC34-BL33)))</f>
        <v>104</v>
      </c>
      <c r="BE34" s="13">
        <f>BD34*VLOOKUP('Données projet'!$B$11,Paramètres!$A$1:$I$89,3,0)*VLOOKUP('Données projet'!$B$11,Paramètres!$A$1:$I$89,5,0)</f>
        <v>87.609600000000015</v>
      </c>
      <c r="BF34" s="13">
        <f t="shared" si="37"/>
        <v>23.987817980868787</v>
      </c>
      <c r="BG34" s="20">
        <f t="shared" si="7"/>
        <v>194.36550298334649</v>
      </c>
      <c r="BH34" s="59">
        <f t="shared" si="8"/>
        <v>487.69883631667983</v>
      </c>
      <c r="BI34" s="59">
        <f ca="1">AVERAGE(OFFSET($BH$3,0,0,'Données projet'!$E$11+1,1))-AVERAGE(OFFSET($H$3,0,0,'Données projet'!$E$11+1,1))</f>
        <v>476.64466005965136</v>
      </c>
      <c r="BJ34" s="59">
        <f t="shared" si="38"/>
        <v>312.67921212138998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5.2</v>
      </c>
      <c r="BY34" s="12">
        <f>IF('Données projet'!$A$114&gt;35,BY33+BX34-CG33,IF(A34&lt;'Données projet'!$A$114,$BV$205^A34,IF(A34='Données projet'!$A$114,'Données projet'!$B$114,BY33+BX34-CG33)))</f>
        <v>59.2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318.97291652986593</v>
      </c>
      <c r="T35" s="59">
        <f t="shared" si="34"/>
        <v>338.19413170988122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18.700000000000006</v>
      </c>
      <c r="AI35" s="13">
        <f>IF('Données projet'!$A$62&gt;35,AI34+AH35-AQ34,IF(A35&lt;'Données projet'!$A$62,$AF$205^A35,IF(A35='Données projet'!$A$62,'Données projet'!$B$62,AI34+AH35-AQ34)))</f>
        <v>267.20000000000005</v>
      </c>
      <c r="AJ35" s="13">
        <f>AI35*VLOOKUP('Données projet'!$B$10,Paramètres!$A$1:$I$89,3,0)*VLOOKUP('Données projet'!$B$10,Paramètres!$A$1:$I$89,5,0)</f>
        <v>159.78560000000004</v>
      </c>
      <c r="AK35" s="13">
        <f t="shared" si="35"/>
        <v>40.794153114967841</v>
      </c>
      <c r="AL35" s="20">
        <f t="shared" si="4"/>
        <v>349.3430700085691</v>
      </c>
      <c r="AM35" s="59">
        <f t="shared" si="5"/>
        <v>642.67640334190241</v>
      </c>
      <c r="AN35" s="59">
        <f ca="1">AVERAGE(OFFSET($AM$3,0,0,'Données projet'!$E$10+1,1))-AVERAGE(OFFSET($H$3,0,0,'Données projet'!$E$10+1,1))</f>
        <v>318.97291652986593</v>
      </c>
      <c r="AO35" s="59">
        <f t="shared" si="36"/>
        <v>338.19413170988122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12.644929882215051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3.9577673542554832</v>
      </c>
      <c r="AX35" s="21">
        <f t="shared" si="6"/>
        <v>16.602697236470533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</v>
      </c>
      <c r="BD35" s="12">
        <f>IF('Données projet'!$A$88&gt;35,BD34+BC35-BL34,IF(A35&lt;'Données projet'!$A$88,$BA$205^A35,IF(A35='Données projet'!$A$88,'Données projet'!$B$88,BD34+BC35-BL34)))</f>
        <v>115</v>
      </c>
      <c r="BE35" s="13">
        <f>BD35*VLOOKUP('Données projet'!$B$11,Paramètres!$A$1:$I$89,3,0)*VLOOKUP('Données projet'!$B$11,Paramètres!$A$1:$I$89,5,0)</f>
        <v>96.876000000000005</v>
      </c>
      <c r="BF35" s="13">
        <f t="shared" si="37"/>
        <v>26.21637845945024</v>
      </c>
      <c r="BG35" s="20">
        <f t="shared" si="7"/>
        <v>214.38589248354251</v>
      </c>
      <c r="BH35" s="59">
        <f t="shared" si="8"/>
        <v>507.71922581687579</v>
      </c>
      <c r="BI35" s="59">
        <f ca="1">AVERAGE(OFFSET($BH$3,0,0,'Données projet'!$E$11+1,1))-AVERAGE(OFFSET($H$3,0,0,'Données projet'!$E$11+1,1))</f>
        <v>476.64466005965136</v>
      </c>
      <c r="BJ35" s="59">
        <f t="shared" si="38"/>
        <v>312.67921212138998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5.2</v>
      </c>
      <c r="BY35" s="12">
        <f>IF('Données projet'!$A$114&gt;35,BY34+BX35-CG34,IF(A35&lt;'Données projet'!$A$114,$BV$205^A35,IF(A35='Données projet'!$A$114,'Données projet'!$B$114,BY34+BX35-CG34)))</f>
        <v>64.400000000000006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318.97291652986593</v>
      </c>
      <c r="T36" s="59">
        <f t="shared" si="34"/>
        <v>338.19413170988122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18.700000000000006</v>
      </c>
      <c r="AI36" s="13">
        <f>IF('Données projet'!$A$62&gt;35,AI35+AH36-AQ35,IF(A36&lt;'Données projet'!$A$62,$AF$205^A36,IF(A36='Données projet'!$A$62,'Données projet'!$B$62,AI35+AH36-AQ35)))</f>
        <v>285.90000000000003</v>
      </c>
      <c r="AJ36" s="13">
        <f>AI36*VLOOKUP('Données projet'!$B$10,Paramètres!$A$1:$I$89,3,0)*VLOOKUP('Données projet'!$B$10,Paramètres!$A$1:$I$89,5,0)</f>
        <v>170.96820000000002</v>
      </c>
      <c r="AK36" s="13">
        <f t="shared" si="35"/>
        <v>43.306796452756018</v>
      </c>
      <c r="AL36" s="20">
        <f t="shared" si="4"/>
        <v>373.19561882188344</v>
      </c>
      <c r="AM36" s="59">
        <f t="shared" si="5"/>
        <v>666.52895215521676</v>
      </c>
      <c r="AN36" s="59">
        <f ca="1">AVERAGE(OFFSET($AM$3,0,0,'Données projet'!$E$10+1,1))-AVERAGE(OFFSET($H$3,0,0,'Données projet'!$E$10+1,1))</f>
        <v>318.97291652986593</v>
      </c>
      <c r="AO36" s="59">
        <f t="shared" si="36"/>
        <v>338.19413170988122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12.39697051987048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2.7985641345527932</v>
      </c>
      <c r="AX36" s="21">
        <f t="shared" si="6"/>
        <v>15.195534654423273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</v>
      </c>
      <c r="BD36" s="12">
        <f>IF('Données projet'!$A$88&gt;35,BD35+BC36-BL35,IF(A36&lt;'Données projet'!$A$88,$BA$205^A36,IF(A36='Données projet'!$A$88,'Données projet'!$B$88,BD35+BC36-BL35)))</f>
        <v>126</v>
      </c>
      <c r="BE36" s="13">
        <f>BD36*VLOOKUP('Données projet'!$B$11,Paramètres!$A$1:$I$89,3,0)*VLOOKUP('Données projet'!$B$11,Paramètres!$A$1:$I$89,5,0)</f>
        <v>106.14240000000001</v>
      </c>
      <c r="BF36" s="13">
        <f t="shared" si="37"/>
        <v>28.420224211524975</v>
      </c>
      <c r="BG36" s="20">
        <f t="shared" si="7"/>
        <v>234.36323716840602</v>
      </c>
      <c r="BH36" s="59">
        <f t="shared" si="8"/>
        <v>527.6965705017393</v>
      </c>
      <c r="BI36" s="59">
        <f ca="1">AVERAGE(OFFSET($BH$3,0,0,'Données projet'!$E$11+1,1))-AVERAGE(OFFSET($H$3,0,0,'Données projet'!$E$11+1,1))</f>
        <v>476.64466005965136</v>
      </c>
      <c r="BJ36" s="59">
        <f t="shared" si="38"/>
        <v>312.67921212138998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5.2</v>
      </c>
      <c r="BY36" s="12">
        <f>IF('Données projet'!$A$114&gt;35,BY35+BX36-CG35,IF(A36&lt;'Données projet'!$A$114,$BV$205^A36,IF(A36='Données projet'!$A$114,'Données projet'!$B$114,BY35+BX36-CG35)))</f>
        <v>69.600000000000009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318.97291652986593</v>
      </c>
      <c r="T37" s="59">
        <f t="shared" si="34"/>
        <v>338.19413170988122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304.60000000000002</v>
      </c>
      <c r="AG37" s="12">
        <f>VLOOKUP(A37,'Données projet'!$A$61:$I$81,9,0)</f>
        <v>18.700000000000006</v>
      </c>
      <c r="AH37" s="12">
        <f t="array" ref="AH37">INDEX(AG:AG,MIN(IF(ISNUMBER(AG37:AG233),ROW(AG37:AG233),"")))</f>
        <v>18.700000000000006</v>
      </c>
      <c r="AI37" s="13">
        <f>IF('Données projet'!$A$62&gt;35,AI36+AH37-AQ36,IF(A37&lt;'Données projet'!$A$62,$AF$205^A37,IF(A37='Données projet'!$A$62,'Données projet'!$B$62,AI36+AH37-AQ36)))</f>
        <v>304.60000000000002</v>
      </c>
      <c r="AJ37" s="13">
        <f>AI37*VLOOKUP('Données projet'!$B$10,Paramètres!$A$1:$I$89,3,0)*VLOOKUP('Données projet'!$B$10,Paramètres!$A$1:$I$89,5,0)</f>
        <v>182.15080000000003</v>
      </c>
      <c r="AK37" s="13">
        <f t="shared" si="35"/>
        <v>45.800368240506849</v>
      </c>
      <c r="AL37" s="20">
        <f t="shared" si="4"/>
        <v>397.0149513522162</v>
      </c>
      <c r="AM37" s="59">
        <f t="shared" si="5"/>
        <v>690.34828468554952</v>
      </c>
      <c r="AN37" s="59">
        <f ca="1">AVERAGE(OFFSET($AM$3,0,0,'Données projet'!$E$10+1,1))-AVERAGE(OFFSET($H$3,0,0,'Données projet'!$E$10+1,1))</f>
        <v>318.97291652986593</v>
      </c>
      <c r="AO37" s="59">
        <f t="shared" si="36"/>
        <v>338.19413170988122</v>
      </c>
      <c r="AP37" s="15">
        <f>IF(ISNA(VLOOKUP(A37,'Données projet'!$A$61:$I$81,3,0)),0,VLOOKUP(A37,'Données projet'!$A$61:$I$81,3,0))</f>
        <v>6</v>
      </c>
      <c r="AQ37" s="15">
        <f>IF(ISNA(VLOOKUP(A37,'Données projet'!$A$61:$I$81,4,0)),0,VLOOKUP(A37,'Données projet'!$A$61:$I$81,4,0))</f>
        <v>59.9</v>
      </c>
      <c r="AR37" s="16">
        <f>IF(ISNA(VLOOKUP(A37,'Données projet'!$A$61:$I$81,5,0)),0%,VLOOKUP(A37,'Données projet'!$A$61:$I$81,5,0)*VLOOKUP('Données projet'!$B$10,Paramètres!$A$1:$I$89,7,0))</f>
        <v>0.315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0.2</v>
      </c>
      <c r="AU37" s="21">
        <f>EXP(-LN(2)/35)*AU36+(1-EXP(-LN(2)/35))/(LN(2)/35)*AQ37*AR37*VLOOKUP('Données projet'!$B$10,Paramètres!$A$1:$I$89,3,0)*0.475*44/12</f>
        <v>27.121981783002866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10.090241145899245</v>
      </c>
      <c r="AX37" s="21">
        <f t="shared" si="6"/>
        <v>37.212222928902108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</v>
      </c>
      <c r="BD37" s="12">
        <f>IF('Données projet'!$A$88&gt;35,BD36+BC37-BL36,IF(A37&lt;'Données projet'!$A$88,$BA$205^A37,IF(A37='Données projet'!$A$88,'Données projet'!$B$88,BD36+BC37-BL36)))</f>
        <v>137</v>
      </c>
      <c r="BE37" s="13">
        <f>BD37*VLOOKUP('Données projet'!$B$11,Paramètres!$A$1:$I$89,3,0)*VLOOKUP('Données projet'!$B$11,Paramètres!$A$1:$I$89,5,0)</f>
        <v>115.40880000000001</v>
      </c>
      <c r="BF37" s="13">
        <f t="shared" si="37"/>
        <v>30.60175820334798</v>
      </c>
      <c r="BG37" s="20">
        <f t="shared" si="7"/>
        <v>254.30172220416441</v>
      </c>
      <c r="BH37" s="59">
        <f t="shared" si="8"/>
        <v>547.63505553749769</v>
      </c>
      <c r="BI37" s="59">
        <f ca="1">AVERAGE(OFFSET($BH$3,0,0,'Données projet'!$E$11+1,1))-AVERAGE(OFFSET($H$3,0,0,'Données projet'!$E$11+1,1))</f>
        <v>476.64466005965136</v>
      </c>
      <c r="BJ37" s="59">
        <f t="shared" si="38"/>
        <v>312.67921212138998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5.2</v>
      </c>
      <c r="BY37" s="12">
        <f>IF('Données projet'!$A$114&gt;35,BY36+BX37-CG36,IF(A37&lt;'Données projet'!$A$114,$BV$205^A37,IF(A37='Données projet'!$A$114,'Données projet'!$B$114,BY36+BX37-CG36)))</f>
        <v>74.800000000000011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318.97291652986593</v>
      </c>
      <c r="T38" s="59">
        <f t="shared" si="34"/>
        <v>338.19413170988122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14.850000000000009</v>
      </c>
      <c r="AI38" s="13">
        <f>IF('Données projet'!$A$62&gt;35,AI37+AH38-AQ37,IF(A38&lt;'Données projet'!$A$62,$AF$205^A38,IF(A38='Données projet'!$A$62,'Données projet'!$B$62,AI37+AH38-AQ37)))</f>
        <v>259.55000000000007</v>
      </c>
      <c r="AJ38" s="13">
        <f>AI38*VLOOKUP('Données projet'!$B$10,Paramètres!$A$1:$I$89,3,0)*VLOOKUP('Données projet'!$B$10,Paramètres!$A$1:$I$89,5,0)</f>
        <v>155.21090000000007</v>
      </c>
      <c r="AK38" s="13">
        <f t="shared" si="35"/>
        <v>39.760417498033199</v>
      </c>
      <c r="AL38" s="20">
        <f t="shared" si="4"/>
        <v>339.57504464240793</v>
      </c>
      <c r="AM38" s="59">
        <f t="shared" si="5"/>
        <v>632.90837797574125</v>
      </c>
      <c r="AN38" s="59">
        <f ca="1">AVERAGE(OFFSET($AM$3,0,0,'Données projet'!$E$10+1,1))-AVERAGE(OFFSET($H$3,0,0,'Données projet'!$E$10+1,1))</f>
        <v>318.97291652986593</v>
      </c>
      <c r="AO38" s="59">
        <f t="shared" si="36"/>
        <v>338.19413170988122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26.590136263013605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7.1348779380728766</v>
      </c>
      <c r="AX38" s="21">
        <f t="shared" si="6"/>
        <v>33.725014201086481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</v>
      </c>
      <c r="BD38" s="12">
        <f>IF('Données projet'!$A$88&gt;35,BD37+BC38-BL37,IF(A38&lt;'Données projet'!$A$88,$BA$205^A38,IF(A38='Données projet'!$A$88,'Données projet'!$B$88,BD37+BC38-BL37)))</f>
        <v>148</v>
      </c>
      <c r="BE38" s="13">
        <f>BD38*VLOOKUP('Données projet'!$B$11,Paramètres!$A$1:$I$89,3,0)*VLOOKUP('Données projet'!$B$11,Paramètres!$A$1:$I$89,5,0)</f>
        <v>124.6752</v>
      </c>
      <c r="BF38" s="13">
        <f t="shared" si="37"/>
        <v>32.762975561628714</v>
      </c>
      <c r="BG38" s="20">
        <f t="shared" si="7"/>
        <v>274.20482243650338</v>
      </c>
      <c r="BH38" s="59">
        <f t="shared" si="8"/>
        <v>567.53815576983675</v>
      </c>
      <c r="BI38" s="59">
        <f ca="1">AVERAGE(OFFSET($BH$3,0,0,'Données projet'!$E$11+1,1))-AVERAGE(OFFSET($H$3,0,0,'Données projet'!$E$11+1,1))</f>
        <v>476.64466005965136</v>
      </c>
      <c r="BJ38" s="59">
        <f t="shared" si="38"/>
        <v>312.67921212138998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5.2</v>
      </c>
      <c r="BY38" s="12">
        <f>IF('Données projet'!$A$114&gt;35,BY37+BX38-CG37,IF(A38&lt;'Données projet'!$A$114,$BV$205^A38,IF(A38='Données projet'!$A$114,'Données projet'!$B$114,BY37+BX38-CG37)))</f>
        <v>80.000000000000014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318.97291652986593</v>
      </c>
      <c r="T39" s="59">
        <f t="shared" si="34"/>
        <v>338.19413170988122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14.850000000000009</v>
      </c>
      <c r="AI39" s="13">
        <f>IF('Données projet'!$A$62&gt;35,AI38+AH39-AQ38,IF(A39&lt;'Données projet'!$A$62,$AF$205^A39,IF(A39='Données projet'!$A$62,'Données projet'!$B$62,AI38+AH39-AQ38)))</f>
        <v>274.40000000000009</v>
      </c>
      <c r="AJ39" s="13">
        <f>AI39*VLOOKUP('Données projet'!$B$10,Paramètres!$A$1:$I$89,3,0)*VLOOKUP('Données projet'!$B$10,Paramètres!$A$1:$I$89,5,0)</f>
        <v>164.09120000000007</v>
      </c>
      <c r="AK39" s="13">
        <f t="shared" si="35"/>
        <v>41.763936620208121</v>
      </c>
      <c r="AL39" s="20">
        <f t="shared" si="4"/>
        <v>358.5310296135292</v>
      </c>
      <c r="AM39" s="59">
        <f t="shared" si="5"/>
        <v>651.86436294686246</v>
      </c>
      <c r="AN39" s="59">
        <f ca="1">AVERAGE(OFFSET($AM$3,0,0,'Données projet'!$E$10+1,1))-AVERAGE(OFFSET($H$3,0,0,'Données projet'!$E$10+1,1))</f>
        <v>318.97291652986593</v>
      </c>
      <c r="AO39" s="59">
        <f t="shared" si="36"/>
        <v>338.19413170988122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26.068719909277597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5.0451205729496236</v>
      </c>
      <c r="AX39" s="21">
        <f t="shared" si="6"/>
        <v>31.113840482227221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</v>
      </c>
      <c r="BD39" s="12">
        <f>IF('Données projet'!$A$88&gt;35,BD38+BC39-BL38,IF(A39&lt;'Données projet'!$A$88,$BA$205^A39,IF(A39='Données projet'!$A$88,'Données projet'!$B$88,BD38+BC39-BL38)))</f>
        <v>159</v>
      </c>
      <c r="BE39" s="13">
        <f>BD39*VLOOKUP('Données projet'!$B$11,Paramètres!$A$1:$I$89,3,0)*VLOOKUP('Données projet'!$B$11,Paramètres!$A$1:$I$89,5,0)</f>
        <v>133.94159999999999</v>
      </c>
      <c r="BF39" s="13">
        <f t="shared" si="37"/>
        <v>34.905558014330531</v>
      </c>
      <c r="BG39" s="20">
        <f t="shared" si="7"/>
        <v>294.07546687495898</v>
      </c>
      <c r="BH39" s="59">
        <f t="shared" si="8"/>
        <v>587.40880020829229</v>
      </c>
      <c r="BI39" s="59">
        <f ca="1">AVERAGE(OFFSET($BH$3,0,0,'Données projet'!$E$11+1,1))-AVERAGE(OFFSET($H$3,0,0,'Données projet'!$E$11+1,1))</f>
        <v>476.64466005965136</v>
      </c>
      <c r="BJ39" s="59">
        <f t="shared" si="38"/>
        <v>312.67921212138998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5.2</v>
      </c>
      <c r="BY39" s="12">
        <f>IF('Données projet'!$A$114&gt;35,BY38+BX39-CG38,IF(A39&lt;'Données projet'!$A$114,$BV$205^A39,IF(A39='Données projet'!$A$114,'Données projet'!$B$114,BY38+BX39-CG38)))</f>
        <v>85.200000000000017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318.97291652986593</v>
      </c>
      <c r="T40" s="59">
        <f t="shared" si="34"/>
        <v>338.19413170988122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14.850000000000009</v>
      </c>
      <c r="AI40" s="13">
        <f>IF('Données projet'!$A$62&gt;35,AI39+AH40-AQ39,IF(A40&lt;'Données projet'!$A$62,$AF$205^A40,IF(A40='Données projet'!$A$62,'Données projet'!$B$62,AI39+AH40-AQ39)))</f>
        <v>289.25000000000011</v>
      </c>
      <c r="AJ40" s="13">
        <f>AI40*VLOOKUP('Données projet'!$B$10,Paramètres!$A$1:$I$89,3,0)*VLOOKUP('Données projet'!$B$10,Paramètres!$A$1:$I$89,5,0)</f>
        <v>172.97150000000008</v>
      </c>
      <c r="AK40" s="13">
        <f t="shared" si="35"/>
        <v>43.754868068248705</v>
      </c>
      <c r="AL40" s="20">
        <f t="shared" si="4"/>
        <v>377.46509105219997</v>
      </c>
      <c r="AM40" s="59">
        <f t="shared" si="5"/>
        <v>670.79842438553328</v>
      </c>
      <c r="AN40" s="59">
        <f ca="1">AVERAGE(OFFSET($AM$3,0,0,'Données projet'!$E$10+1,1))-AVERAGE(OFFSET($H$3,0,0,'Données projet'!$E$10+1,1))</f>
        <v>318.97291652986593</v>
      </c>
      <c r="AO40" s="59">
        <f t="shared" si="36"/>
        <v>338.19413170988122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25.557528212205778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3.5674389690364392</v>
      </c>
      <c r="AX40" s="21">
        <f t="shared" si="6"/>
        <v>29.124967181242216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</v>
      </c>
      <c r="BD40" s="12">
        <f>IF('Données projet'!$A$88&gt;35,BD39+BC40-BL39,IF(A40&lt;'Données projet'!$A$88,$BA$205^A40,IF(A40='Données projet'!$A$88,'Données projet'!$B$88,BD39+BC40-BL39)))</f>
        <v>170</v>
      </c>
      <c r="BE40" s="13">
        <f>BD40*VLOOKUP('Données projet'!$B$11,Paramètres!$A$1:$I$89,3,0)*VLOOKUP('Données projet'!$B$11,Paramètres!$A$1:$I$89,5,0)</f>
        <v>143.20800000000003</v>
      </c>
      <c r="BF40" s="13">
        <f t="shared" si="37"/>
        <v>37.030941422835831</v>
      </c>
      <c r="BG40" s="20">
        <f t="shared" si="7"/>
        <v>313.91615631143912</v>
      </c>
      <c r="BH40" s="59">
        <f t="shared" si="8"/>
        <v>607.24948964477244</v>
      </c>
      <c r="BI40" s="59">
        <f ca="1">AVERAGE(OFFSET($BH$3,0,0,'Données projet'!$E$11+1,1))-AVERAGE(OFFSET($H$3,0,0,'Données projet'!$E$11+1,1))</f>
        <v>476.64466005965136</v>
      </c>
      <c r="BJ40" s="59">
        <f t="shared" si="38"/>
        <v>312.67921212138998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5.2</v>
      </c>
      <c r="BY40" s="12">
        <f>IF('Données projet'!$A$114&gt;35,BY39+BX40-CG39,IF(A40&lt;'Données projet'!$A$114,$BV$205^A40,IF(A40='Données projet'!$A$114,'Données projet'!$B$114,BY39+BX40-CG39)))</f>
        <v>90.40000000000002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318.97291652986593</v>
      </c>
      <c r="T41" s="59">
        <f t="shared" si="34"/>
        <v>338.19413170988122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14.850000000000009</v>
      </c>
      <c r="AI41" s="13">
        <f>IF('Données projet'!$A$62&gt;35,AI40+AH41-AQ40,IF(A41&lt;'Données projet'!$A$62,$AF$205^A41,IF(A41='Données projet'!$A$62,'Données projet'!$B$62,AI40+AH41-AQ40)))</f>
        <v>304.10000000000014</v>
      </c>
      <c r="AJ41" s="13">
        <f>AI41*VLOOKUP('Données projet'!$B$10,Paramètres!$A$1:$I$89,3,0)*VLOOKUP('Données projet'!$B$10,Paramètres!$A$1:$I$89,5,0)</f>
        <v>181.85180000000011</v>
      </c>
      <c r="AK41" s="13">
        <f t="shared" si="35"/>
        <v>45.733931809167743</v>
      </c>
      <c r="AL41" s="20">
        <f t="shared" si="4"/>
        <v>396.3784829009673</v>
      </c>
      <c r="AM41" s="59">
        <f t="shared" si="5"/>
        <v>689.71181623430061</v>
      </c>
      <c r="AN41" s="59">
        <f ca="1">AVERAGE(OFFSET($AM$3,0,0,'Données projet'!$E$10+1,1))-AVERAGE(OFFSET($H$3,0,0,'Données projet'!$E$10+1,1))</f>
        <v>318.97291652986593</v>
      </c>
      <c r="AO41" s="59">
        <f t="shared" si="36"/>
        <v>338.19413170988122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25.056360672517389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2.5225602864748122</v>
      </c>
      <c r="AX41" s="21">
        <f t="shared" si="6"/>
        <v>27.5789209589922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</v>
      </c>
      <c r="BD41" s="12">
        <f>IF('Données projet'!$A$88&gt;35,BD40+BC41-BL40,IF(A41&lt;'Données projet'!$A$88,$BA$205^A41,IF(A41='Données projet'!$A$88,'Données projet'!$B$88,BD40+BC41-BL40)))</f>
        <v>181</v>
      </c>
      <c r="BE41" s="13">
        <f>BD41*VLOOKUP('Données projet'!$B$11,Paramètres!$A$1:$I$89,3,0)*VLOOKUP('Données projet'!$B$11,Paramètres!$A$1:$I$89,5,0)</f>
        <v>152.47440000000003</v>
      </c>
      <c r="BF41" s="13">
        <f t="shared" si="37"/>
        <v>39.140365323908171</v>
      </c>
      <c r="BG41" s="20">
        <f t="shared" si="7"/>
        <v>333.72904960580678</v>
      </c>
      <c r="BH41" s="59">
        <f t="shared" si="8"/>
        <v>627.06238293914009</v>
      </c>
      <c r="BI41" s="59">
        <f ca="1">AVERAGE(OFFSET($BH$3,0,0,'Données projet'!$E$11+1,1))-AVERAGE(OFFSET($H$3,0,0,'Données projet'!$E$11+1,1))</f>
        <v>476.64466005965136</v>
      </c>
      <c r="BJ41" s="59">
        <f t="shared" si="38"/>
        <v>312.67921212138998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5.2</v>
      </c>
      <c r="BY41" s="12">
        <f>IF('Données projet'!$A$114&gt;35,BY40+BX41-CG40,IF(A41&lt;'Données projet'!$A$114,$BV$205^A41,IF(A41='Données projet'!$A$114,'Données projet'!$B$114,BY40+BX41-CG40)))</f>
        <v>95.600000000000023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318.97291652986593</v>
      </c>
      <c r="T42" s="59">
        <f t="shared" si="34"/>
        <v>338.19413170988122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14.850000000000009</v>
      </c>
      <c r="AI42" s="13">
        <f>IF('Données projet'!$A$62&gt;35,AI41+AH42-AQ41,IF(A42&lt;'Données projet'!$A$62,$AF$205^A42,IF(A42='Données projet'!$A$62,'Données projet'!$B$62,AI41+AH42-AQ41)))</f>
        <v>318.95000000000016</v>
      </c>
      <c r="AJ42" s="13">
        <f>AI42*VLOOKUP('Données projet'!$B$10,Paramètres!$A$1:$I$89,3,0)*VLOOKUP('Données projet'!$B$10,Paramètres!$A$1:$I$89,5,0)</f>
        <v>190.73210000000009</v>
      </c>
      <c r="AK42" s="13">
        <f t="shared" si="35"/>
        <v>47.701773521629008</v>
      </c>
      <c r="AL42" s="20">
        <f t="shared" si="4"/>
        <v>415.27232971683731</v>
      </c>
      <c r="AM42" s="59">
        <f t="shared" si="5"/>
        <v>708.60566305017062</v>
      </c>
      <c r="AN42" s="59">
        <f ca="1">AVERAGE(OFFSET($AM$3,0,0,'Données projet'!$E$10+1,1))-AVERAGE(OFFSET($H$3,0,0,'Données projet'!$E$10+1,1))</f>
        <v>318.97291652986593</v>
      </c>
      <c r="AO42" s="59">
        <f t="shared" si="36"/>
        <v>338.19413170988122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24.565020722600273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1.7837194845182198</v>
      </c>
      <c r="AX42" s="21">
        <f t="shared" si="6"/>
        <v>26.348740207118492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</v>
      </c>
      <c r="BD42" s="12">
        <f>IF('Données projet'!$A$88&gt;35,BD41+BC42-BL41,IF(A42&lt;'Données projet'!$A$88,$BA$205^A42,IF(A42='Données projet'!$A$88,'Données projet'!$B$88,BD41+BC42-BL41)))</f>
        <v>192</v>
      </c>
      <c r="BE42" s="13">
        <f>BD42*VLOOKUP('Données projet'!$B$11,Paramètres!$A$1:$I$89,3,0)*VLOOKUP('Données projet'!$B$11,Paramètres!$A$1:$I$89,5,0)</f>
        <v>161.74080000000001</v>
      </c>
      <c r="BF42" s="13">
        <f t="shared" si="37"/>
        <v>41.234910079352424</v>
      </c>
      <c r="BG42" s="20">
        <f t="shared" si="7"/>
        <v>353.51602838820548</v>
      </c>
      <c r="BH42" s="59">
        <f t="shared" si="8"/>
        <v>646.8493617215388</v>
      </c>
      <c r="BI42" s="59">
        <f ca="1">AVERAGE(OFFSET($BH$3,0,0,'Données projet'!$E$11+1,1))-AVERAGE(OFFSET($H$3,0,0,'Données projet'!$E$11+1,1))</f>
        <v>476.64466005965136</v>
      </c>
      <c r="BJ42" s="59">
        <f t="shared" si="38"/>
        <v>312.67921212138998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5.2</v>
      </c>
      <c r="BY42" s="12">
        <f>IF('Données projet'!$A$114&gt;35,BY41+BX42-CG41,IF(A42&lt;'Données projet'!$A$114,$BV$205^A42,IF(A42='Données projet'!$A$114,'Données projet'!$B$114,BY41+BX42-CG41)))</f>
        <v>100.80000000000003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318.97291652986593</v>
      </c>
      <c r="T43" s="59">
        <f t="shared" si="34"/>
        <v>338.19413170988122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333.80000000000007</v>
      </c>
      <c r="AG43" s="12">
        <f>VLOOKUP(A43,'Données projet'!$A$61:$I$81,9,0)</f>
        <v>14.850000000000009</v>
      </c>
      <c r="AH43" s="12">
        <f t="array" ref="AH43">INDEX(AG:AG,MIN(IF(ISNUMBER(AG43:AG239),ROW(AG43:AG239),"")))</f>
        <v>14.850000000000009</v>
      </c>
      <c r="AI43" s="13">
        <f>IF('Données projet'!$A$62&gt;35,AI42+AH43-AQ42,IF(A43&lt;'Données projet'!$A$62,$AF$205^A43,IF(A43='Données projet'!$A$62,'Données projet'!$B$62,AI42+AH43-AQ42)))</f>
        <v>333.80000000000018</v>
      </c>
      <c r="AJ43" s="13">
        <f>AI43*VLOOKUP('Données projet'!$B$10,Paramètres!$A$1:$I$89,3,0)*VLOOKUP('Données projet'!$B$10,Paramètres!$A$1:$I$89,5,0)</f>
        <v>199.61240000000012</v>
      </c>
      <c r="AK43" s="13">
        <f t="shared" si="35"/>
        <v>49.658975362033459</v>
      </c>
      <c r="AL43" s="20">
        <f t="shared" si="4"/>
        <v>434.14764542220854</v>
      </c>
      <c r="AM43" s="59">
        <f t="shared" si="5"/>
        <v>727.48097875554186</v>
      </c>
      <c r="AN43" s="59">
        <f ca="1">AVERAGE(OFFSET($AM$3,0,0,'Données projet'!$E$10+1,1))-AVERAGE(OFFSET($H$3,0,0,'Données projet'!$E$10+1,1))</f>
        <v>318.97291652986593</v>
      </c>
      <c r="AO43" s="59">
        <f t="shared" si="36"/>
        <v>338.19413170988122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34.1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24.083315649413258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1.2612801432374063</v>
      </c>
      <c r="AX43" s="21">
        <f t="shared" si="6"/>
        <v>25.344595792650665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203</v>
      </c>
      <c r="BB43" s="12">
        <f>VLOOKUP(A43,'Données projet'!$A$87:$I$107,9,0)</f>
        <v>11</v>
      </c>
      <c r="BC43" s="12">
        <f t="array" ref="BC43">INDEX(BB:BB,MIN(IF(ISNUMBER(BB43:BB239),ROW(BB43:BB239),"")))</f>
        <v>11</v>
      </c>
      <c r="BD43" s="12">
        <f>IF('Données projet'!$A$88&gt;35,BD42+BC43-BL42,IF(A43&lt;'Données projet'!$A$88,$BA$205^A43,IF(A43='Données projet'!$A$88,'Données projet'!$B$88,BD42+BC43-BL42)))</f>
        <v>203</v>
      </c>
      <c r="BE43" s="13">
        <f>BD43*VLOOKUP('Données projet'!$B$11,Paramètres!$A$1:$I$89,3,0)*VLOOKUP('Données projet'!$B$11,Paramètres!$A$1:$I$89,5,0)</f>
        <v>171.00720000000001</v>
      </c>
      <c r="BF43" s="13">
        <f t="shared" si="37"/>
        <v>43.315525267338089</v>
      </c>
      <c r="BG43" s="20">
        <f t="shared" si="7"/>
        <v>373.27874650728057</v>
      </c>
      <c r="BH43" s="59">
        <f t="shared" si="8"/>
        <v>666.61207984061389</v>
      </c>
      <c r="BI43" s="59">
        <f ca="1">AVERAGE(OFFSET($BH$3,0,0,'Données projet'!$E$11+1,1))-AVERAGE(OFFSET($H$3,0,0,'Données projet'!$E$11+1,1))</f>
        <v>476.64466005965136</v>
      </c>
      <c r="BJ43" s="59">
        <f t="shared" si="38"/>
        <v>312.67921212138998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106</v>
      </c>
      <c r="BW43" s="12">
        <f>VLOOKUP(A43,'Données projet'!$A$113:$I$133,9,0)</f>
        <v>5.2</v>
      </c>
      <c r="BX43" s="12">
        <f t="array" ref="BX43">INDEX(BW:BW,MIN(IF(ISNUMBER(BW43:BW239),ROW(BW43:BW239),"")))</f>
        <v>5.2</v>
      </c>
      <c r="BY43" s="12">
        <f>IF('Données projet'!$A$114&gt;35,BY42+BX43-CG42,IF(A43&lt;'Données projet'!$A$114,$BV$205^A43,IF(A43='Données projet'!$A$114,'Données projet'!$B$114,BY42+BX43-CG42)))</f>
        <v>106.00000000000003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2</v>
      </c>
      <c r="CG43" s="15">
        <f>IF(ISNA(VLOOKUP(A43,'Données projet'!$A$113:$I$133,4,0)),0,VLOOKUP(A43,'Données projet'!$A$113:$I$133,4,0))</f>
        <v>27</v>
      </c>
      <c r="CH43" s="16" t="e">
        <f>IF(ISNA(VLOOKUP(A43,'Données projet'!$A$113:$I$133,5,0)),0%,VLOOKUP(A43,'Données projet'!$A$113:$I$133,5,0)*VLOOKUP('Données projet'!$B$12,Paramètres!$A$1:$I$89,7,0))</f>
        <v>#N/A</v>
      </c>
      <c r="CI43" s="16" t="e">
        <f>IF(ISNA(VLOOKUP(A43,'Données projet'!$A$113:$I$133,6,0)),0%,VLOOKUP(A43,'Données projet'!$A$113:$I$133,6,0)*VLOOKUP('Données projet'!$B$12,Paramètres!$A$1:$I$89,7,0))</f>
        <v>#N/A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318.97291652986593</v>
      </c>
      <c r="T44" s="59">
        <f t="shared" si="34"/>
        <v>338.19413170988122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11.049999999999992</v>
      </c>
      <c r="AI44" s="13">
        <f>IF('Données projet'!$A$62&gt;35,AI43+AH44-AQ43,IF(A44&lt;'Données projet'!$A$62,$AF$205^A44,IF(A44='Données projet'!$A$62,'Données projet'!$B$62,AI43+AH44-AQ43)))</f>
        <v>310.75000000000017</v>
      </c>
      <c r="AJ44" s="13">
        <f>AI44*VLOOKUP('Données projet'!$B$10,Paramètres!$A$1:$I$89,3,0)*VLOOKUP('Données projet'!$B$10,Paramètres!$A$1:$I$89,5,0)</f>
        <v>185.8285000000001</v>
      </c>
      <c r="AK44" s="13">
        <f t="shared" si="35"/>
        <v>46.616505227631968</v>
      </c>
      <c r="AL44" s="20">
        <f t="shared" si="4"/>
        <v>404.84171743812584</v>
      </c>
      <c r="AM44" s="59">
        <f t="shared" si="5"/>
        <v>698.17505077145915</v>
      </c>
      <c r="AN44" s="59">
        <f ca="1">AVERAGE(OFFSET($AM$3,0,0,'Données projet'!$E$10+1,1))-AVERAGE(OFFSET($H$3,0,0,'Données projet'!$E$10+1,1))</f>
        <v>318.97291652986593</v>
      </c>
      <c r="AO44" s="59">
        <f t="shared" si="36"/>
        <v>338.19413170988122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23.611056518900355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0.89185974225911002</v>
      </c>
      <c r="AX44" s="21">
        <f t="shared" si="6"/>
        <v>24.502916261159466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11.2</v>
      </c>
      <c r="BD44" s="12">
        <f>IF('Données projet'!$A$88&gt;35,BD43+BC44-BL43,IF(A44&lt;'Données projet'!$A$88,$BA$205^A44,IF(A44='Données projet'!$A$88,'Données projet'!$B$88,BD43+BC44-BL43)))</f>
        <v>158.19999999999999</v>
      </c>
      <c r="BE44" s="13">
        <f>BD44*VLOOKUP('Données projet'!$B$11,Paramètres!$A$1:$I$89,3,0)*VLOOKUP('Données projet'!$B$11,Paramètres!$A$1:$I$89,5,0)</f>
        <v>133.26768000000001</v>
      </c>
      <c r="BF44" s="13">
        <f t="shared" si="37"/>
        <v>34.750329840004937</v>
      </c>
      <c r="BG44" s="20">
        <f t="shared" si="7"/>
        <v>292.63136713800856</v>
      </c>
      <c r="BH44" s="59">
        <f t="shared" si="8"/>
        <v>585.96470047134187</v>
      </c>
      <c r="BI44" s="59">
        <f ca="1">AVERAGE(OFFSET($BH$3,0,0,'Données projet'!$E$11+1,1))-AVERAGE(OFFSET($H$3,0,0,'Données projet'!$E$11+1,1))</f>
        <v>476.64466005965136</v>
      </c>
      <c r="BJ44" s="59">
        <f t="shared" si="38"/>
        <v>312.67921212138998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84.600000000000023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318.97291652986593</v>
      </c>
      <c r="T45" s="59">
        <f t="shared" si="34"/>
        <v>338.19413170988122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11.049999999999992</v>
      </c>
      <c r="AI45" s="13">
        <f>IF('Données projet'!$A$62&gt;35,AI44+AH45-AQ44,IF(A45&lt;'Données projet'!$A$62,$AF$205^A45,IF(A45='Données projet'!$A$62,'Données projet'!$B$62,AI44+AH45-AQ44)))</f>
        <v>321.80000000000018</v>
      </c>
      <c r="AJ45" s="13">
        <f>AI45*VLOOKUP('Données projet'!$B$10,Paramètres!$A$1:$I$89,3,0)*VLOOKUP('Données projet'!$B$10,Paramètres!$A$1:$I$89,5,0)</f>
        <v>192.43640000000011</v>
      </c>
      <c r="AK45" s="13">
        <f t="shared" si="35"/>
        <v>48.07820620284339</v>
      </c>
      <c r="AL45" s="20">
        <f t="shared" si="4"/>
        <v>418.89627246995241</v>
      </c>
      <c r="AM45" s="59">
        <f t="shared" si="5"/>
        <v>712.22960580328572</v>
      </c>
      <c r="AN45" s="59">
        <f ca="1">AVERAGE(OFFSET($AM$3,0,0,'Données projet'!$E$10+1,1))-AVERAGE(OFFSET($H$3,0,0,'Données projet'!$E$10+1,1))</f>
        <v>318.97291652986593</v>
      </c>
      <c r="AO45" s="59">
        <f t="shared" si="36"/>
        <v>338.19413170988122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23.148058101887184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0.63064007161870328</v>
      </c>
      <c r="AX45" s="21">
        <f t="shared" si="6"/>
        <v>23.778698173505887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11.2</v>
      </c>
      <c r="BD45" s="12">
        <f>IF('Données projet'!$A$88&gt;35,BD44+BC45-BL44,IF(A45&lt;'Données projet'!$A$88,$BA$205^A45,IF(A45='Données projet'!$A$88,'Données projet'!$B$88,BD44+BC45-BL44)))</f>
        <v>169.39999999999998</v>
      </c>
      <c r="BE45" s="13">
        <f>BD45*VLOOKUP('Données projet'!$B$11,Paramètres!$A$1:$I$89,3,0)*VLOOKUP('Données projet'!$B$11,Paramètres!$A$1:$I$89,5,0)</f>
        <v>142.70256000000001</v>
      </c>
      <c r="BF45" s="13">
        <f t="shared" si="37"/>
        <v>36.91543341153259</v>
      </c>
      <c r="BG45" s="20">
        <f t="shared" si="7"/>
        <v>312.83467185841931</v>
      </c>
      <c r="BH45" s="59">
        <f t="shared" si="8"/>
        <v>606.16800519175263</v>
      </c>
      <c r="BI45" s="59">
        <f ca="1">AVERAGE(OFFSET($BH$3,0,0,'Données projet'!$E$11+1,1))-AVERAGE(OFFSET($H$3,0,0,'Données projet'!$E$11+1,1))</f>
        <v>476.64466005965136</v>
      </c>
      <c r="BJ45" s="59">
        <f t="shared" si="38"/>
        <v>312.67921212138998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90.200000000000017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318.97291652986593</v>
      </c>
      <c r="T46" s="59">
        <f t="shared" si="34"/>
        <v>338.19413170988122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11.049999999999992</v>
      </c>
      <c r="AI46" s="13">
        <f>IF('Données projet'!$A$62&gt;35,AI45+AH46-AQ45,IF(A46&lt;'Données projet'!$A$62,$AF$205^A46,IF(A46='Données projet'!$A$62,'Données projet'!$B$62,AI45+AH46-AQ45)))</f>
        <v>332.85000000000019</v>
      </c>
      <c r="AJ46" s="13">
        <f>AI46*VLOOKUP('Données projet'!$B$10,Paramètres!$A$1:$I$89,3,0)*VLOOKUP('Données projet'!$B$10,Paramètres!$A$1:$I$89,5,0)</f>
        <v>199.04430000000013</v>
      </c>
      <c r="AK46" s="13">
        <f t="shared" si="35"/>
        <v>49.534075275146158</v>
      </c>
      <c r="AL46" s="20">
        <f t="shared" si="4"/>
        <v>432.94067027087976</v>
      </c>
      <c r="AM46" s="59">
        <f t="shared" si="5"/>
        <v>726.27400360421302</v>
      </c>
      <c r="AN46" s="59">
        <f ca="1">AVERAGE(OFFSET($AM$3,0,0,'Données projet'!$E$10+1,1))-AVERAGE(OFFSET($H$3,0,0,'Données projet'!$E$10+1,1))</f>
        <v>318.97291652986593</v>
      </c>
      <c r="AO46" s="59">
        <f t="shared" si="36"/>
        <v>338.19413170988122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22.694138801430491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0.44592987112955512</v>
      </c>
      <c r="AX46" s="21">
        <f t="shared" si="6"/>
        <v>23.140068672560044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11.2</v>
      </c>
      <c r="BD46" s="12">
        <f>IF('Données projet'!$A$88&gt;35,BD45+BC46-BL45,IF(A46&lt;'Données projet'!$A$88,$BA$205^A46,IF(A46='Données projet'!$A$88,'Données projet'!$B$88,BD45+BC46-BL45)))</f>
        <v>180.59999999999997</v>
      </c>
      <c r="BE46" s="13">
        <f>BD46*VLOOKUP('Données projet'!$B$11,Paramètres!$A$1:$I$89,3,0)*VLOOKUP('Données projet'!$B$11,Paramètres!$A$1:$I$89,5,0)</f>
        <v>152.13744</v>
      </c>
      <c r="BF46" s="13">
        <f t="shared" si="37"/>
        <v>39.063925813036093</v>
      </c>
      <c r="BG46" s="20">
        <f t="shared" si="7"/>
        <v>333.00904545770453</v>
      </c>
      <c r="BH46" s="59">
        <f t="shared" si="8"/>
        <v>626.34237879103785</v>
      </c>
      <c r="BI46" s="59">
        <f ca="1">AVERAGE(OFFSET($BH$3,0,0,'Données projet'!$E$11+1,1))-AVERAGE(OFFSET($H$3,0,0,'Données projet'!$E$11+1,1))</f>
        <v>476.64466005965136</v>
      </c>
      <c r="BJ46" s="59">
        <f t="shared" si="38"/>
        <v>312.67921212138998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95.800000000000011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318.97291652986593</v>
      </c>
      <c r="T47" s="59">
        <f t="shared" si="34"/>
        <v>338.19413170988122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11.049999999999992</v>
      </c>
      <c r="AI47" s="13">
        <f>IF('Données projet'!$A$62&gt;35,AI46+AH47-AQ46,IF(A47&lt;'Données projet'!$A$62,$AF$205^A47,IF(A47='Données projet'!$A$62,'Données projet'!$B$62,AI46+AH47-AQ46)))</f>
        <v>343.9000000000002</v>
      </c>
      <c r="AJ47" s="13">
        <f>AI47*VLOOKUP('Données projet'!$B$10,Paramètres!$A$1:$I$89,3,0)*VLOOKUP('Données projet'!$B$10,Paramètres!$A$1:$I$89,5,0)</f>
        <v>205.65220000000014</v>
      </c>
      <c r="AK47" s="13">
        <f t="shared" si="35"/>
        <v>50.984328252291228</v>
      </c>
      <c r="AL47" s="20">
        <f t="shared" si="4"/>
        <v>446.97528670607409</v>
      </c>
      <c r="AM47" s="59">
        <f t="shared" si="5"/>
        <v>740.3086200394074</v>
      </c>
      <c r="AN47" s="59">
        <f ca="1">AVERAGE(OFFSET($AM$3,0,0,'Données projet'!$E$10+1,1))-AVERAGE(OFFSET($H$3,0,0,'Données projet'!$E$10+1,1))</f>
        <v>318.97291652986593</v>
      </c>
      <c r="AO47" s="59">
        <f t="shared" si="36"/>
        <v>338.19413170988122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22.249120581592319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0.3153200358093517</v>
      </c>
      <c r="AX47" s="21">
        <f t="shared" si="6"/>
        <v>22.564440617401669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11.2</v>
      </c>
      <c r="BD47" s="12">
        <f>IF('Données projet'!$A$88&gt;35,BD46+BC47-BL46,IF(A47&lt;'Données projet'!$A$88,$BA$205^A47,IF(A47='Données projet'!$A$88,'Données projet'!$B$88,BD46+BC47-BL46)))</f>
        <v>191.79999999999995</v>
      </c>
      <c r="BE47" s="13">
        <f>BD47*VLOOKUP('Données projet'!$B$11,Paramètres!$A$1:$I$89,3,0)*VLOOKUP('Données projet'!$B$11,Paramètres!$A$1:$I$89,5,0)</f>
        <v>161.57231999999999</v>
      </c>
      <c r="BF47" s="13">
        <f t="shared" si="37"/>
        <v>41.196954479055741</v>
      </c>
      <c r="BG47" s="20">
        <f t="shared" si="7"/>
        <v>353.15648638435545</v>
      </c>
      <c r="BH47" s="59">
        <f t="shared" si="8"/>
        <v>646.48981971768876</v>
      </c>
      <c r="BI47" s="59">
        <f ca="1">AVERAGE(OFFSET($BH$3,0,0,'Données projet'!$E$11+1,1))-AVERAGE(OFFSET($H$3,0,0,'Données projet'!$E$11+1,1))</f>
        <v>476.64466005965136</v>
      </c>
      <c r="BJ47" s="59">
        <f t="shared" si="38"/>
        <v>312.67921212138998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101.4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318.97291652986593</v>
      </c>
      <c r="T48" s="59">
        <f t="shared" si="34"/>
        <v>338.19413170988122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11.049999999999992</v>
      </c>
      <c r="AI48" s="13">
        <f>IF('Données projet'!$A$62&gt;35,AI47+AH48-AQ47,IF(A48&lt;'Données projet'!$A$62,$AF$205^A48,IF(A48='Données projet'!$A$62,'Données projet'!$B$62,AI47+AH48-AQ47)))</f>
        <v>354.95000000000022</v>
      </c>
      <c r="AJ48" s="13">
        <f>AI48*VLOOKUP('Données projet'!$B$10,Paramètres!$A$1:$I$89,3,0)*VLOOKUP('Données projet'!$B$10,Paramètres!$A$1:$I$89,5,0)</f>
        <v>212.26010000000014</v>
      </c>
      <c r="AK48" s="13">
        <f t="shared" si="35"/>
        <v>52.429166286213409</v>
      </c>
      <c r="AL48" s="20">
        <f t="shared" si="4"/>
        <v>461.00047211515522</v>
      </c>
      <c r="AM48" s="59">
        <f t="shared" si="5"/>
        <v>754.33380544848853</v>
      </c>
      <c r="AN48" s="59">
        <f ca="1">AVERAGE(OFFSET($AM$3,0,0,'Données projet'!$E$10+1,1))-AVERAGE(OFFSET($H$3,0,0,'Données projet'!$E$10+1,1))</f>
        <v>318.97291652986593</v>
      </c>
      <c r="AO48" s="59">
        <f t="shared" si="36"/>
        <v>338.19413170988122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21.81282889761086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0.22296493556477759</v>
      </c>
      <c r="AX48" s="21">
        <f t="shared" si="6"/>
        <v>22.035793833175639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11.2</v>
      </c>
      <c r="BD48" s="12">
        <f>IF('Données projet'!$A$88&gt;35,BD47+BC48-BL47,IF(A48&lt;'Données projet'!$A$88,$BA$205^A48,IF(A48='Données projet'!$A$88,'Données projet'!$B$88,BD47+BC48-BL47)))</f>
        <v>202.99999999999994</v>
      </c>
      <c r="BE48" s="13">
        <f>BD48*VLOOKUP('Données projet'!$B$11,Paramètres!$A$1:$I$89,3,0)*VLOOKUP('Données projet'!$B$11,Paramètres!$A$1:$I$89,5,0)</f>
        <v>171.00719999999995</v>
      </c>
      <c r="BF48" s="13">
        <f t="shared" si="37"/>
        <v>43.315525267338089</v>
      </c>
      <c r="BG48" s="20">
        <f t="shared" si="7"/>
        <v>373.27874650728046</v>
      </c>
      <c r="BH48" s="59">
        <f t="shared" si="8"/>
        <v>666.61207984061377</v>
      </c>
      <c r="BI48" s="59">
        <f ca="1">AVERAGE(OFFSET($BH$3,0,0,'Données projet'!$E$11+1,1))-AVERAGE(OFFSET($H$3,0,0,'Données projet'!$E$11+1,1))</f>
        <v>476.64466005965136</v>
      </c>
      <c r="BJ48" s="59">
        <f t="shared" si="38"/>
        <v>312.67921212138998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107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318.97291652986593</v>
      </c>
      <c r="T49" s="59">
        <f t="shared" si="34"/>
        <v>338.19413170988122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366</v>
      </c>
      <c r="AG49" s="12">
        <f>VLOOKUP(A49,'Données projet'!$A$61:$I$81,9,0)</f>
        <v>11.049999999999992</v>
      </c>
      <c r="AH49" s="12">
        <f t="array" ref="AH49">INDEX(AG:AG,MIN(IF(ISNUMBER(AG49:AG245),ROW(AG49:AG245),"")))</f>
        <v>11.049999999999992</v>
      </c>
      <c r="AI49" s="13">
        <f>IF('Données projet'!$A$62&gt;35,AI48+AH49-AQ48,IF(A49&lt;'Données projet'!$A$62,$AF$205^A49,IF(A49='Données projet'!$A$62,'Données projet'!$B$62,AI48+AH49-AQ48)))</f>
        <v>366.00000000000023</v>
      </c>
      <c r="AJ49" s="13">
        <f>AI49*VLOOKUP('Données projet'!$B$10,Paramètres!$A$1:$I$89,3,0)*VLOOKUP('Données projet'!$B$10,Paramètres!$A$1:$I$89,5,0)</f>
        <v>218.86800000000014</v>
      </c>
      <c r="AK49" s="13">
        <f t="shared" si="35"/>
        <v>53.868777293257544</v>
      </c>
      <c r="AL49" s="20">
        <f t="shared" si="4"/>
        <v>475.01655378575714</v>
      </c>
      <c r="AM49" s="59">
        <f t="shared" si="5"/>
        <v>768.34988711909045</v>
      </c>
      <c r="AN49" s="59">
        <f ca="1">AVERAGE(OFFSET($AM$3,0,0,'Données projet'!$E$10+1,1))-AVERAGE(OFFSET($H$3,0,0,'Données projet'!$E$10+1,1))</f>
        <v>318.97291652986593</v>
      </c>
      <c r="AO49" s="59">
        <f t="shared" si="36"/>
        <v>338.19413170988122</v>
      </c>
      <c r="AP49" s="15">
        <f>IF(ISNA(VLOOKUP(A49,'Données projet'!$A$61:$I$81,3,0)),0,VLOOKUP(A49,'Données projet'!$A$61:$I$81,3,0))</f>
        <v>8</v>
      </c>
      <c r="AQ49" s="15">
        <f>IF(ISNA(VLOOKUP(A49,'Données projet'!$A$61:$I$81,4,0)),0,VLOOKUP(A49,'Données projet'!$A$61:$I$81,4,0))</f>
        <v>21.3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21.385092627440628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0.15766001790467588</v>
      </c>
      <c r="AX49" s="21">
        <f t="shared" si="6"/>
        <v>21.542752645345303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11.2</v>
      </c>
      <c r="BD49" s="12">
        <f>IF('Données projet'!$A$88&gt;35,BD48+BC49-BL48,IF(A49&lt;'Données projet'!$A$88,$BA$205^A49,IF(A49='Données projet'!$A$88,'Données projet'!$B$88,BD48+BC49-BL48)))</f>
        <v>214.19999999999993</v>
      </c>
      <c r="BE49" s="13">
        <f>BD49*VLOOKUP('Données projet'!$B$11,Paramètres!$A$1:$I$89,3,0)*VLOOKUP('Données projet'!$B$11,Paramètres!$A$1:$I$89,5,0)</f>
        <v>180.44207999999995</v>
      </c>
      <c r="BF49" s="13">
        <f t="shared" si="37"/>
        <v>45.420526775820029</v>
      </c>
      <c r="BG49" s="20">
        <f t="shared" si="7"/>
        <v>393.37737346788646</v>
      </c>
      <c r="BH49" s="59">
        <f t="shared" si="8"/>
        <v>686.71070680121977</v>
      </c>
      <c r="BI49" s="59">
        <f ca="1">AVERAGE(OFFSET($BH$3,0,0,'Données projet'!$E$11+1,1))-AVERAGE(OFFSET($H$3,0,0,'Données projet'!$E$11+1,1))</f>
        <v>476.64466005965136</v>
      </c>
      <c r="BJ49" s="59">
        <f t="shared" si="38"/>
        <v>312.67921212138998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112.6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318.97291652986593</v>
      </c>
      <c r="T50" s="59">
        <f t="shared" si="34"/>
        <v>338.19413170988122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7.2999999999999972</v>
      </c>
      <c r="AI50" s="13">
        <f>IF('Données projet'!$A$62&gt;35,AI49+AH50-AQ49,IF(A50&lt;'Données projet'!$A$62,$AF$205^A50,IF(A50='Données projet'!$A$62,'Données projet'!$B$62,AI49+AH50-AQ49)))</f>
        <v>352.00000000000023</v>
      </c>
      <c r="AJ50" s="13">
        <f>AI50*VLOOKUP('Données projet'!$B$10,Paramètres!$A$1:$I$89,3,0)*VLOOKUP('Données projet'!$B$10,Paramètres!$A$1:$I$89,5,0)</f>
        <v>210.49600000000015</v>
      </c>
      <c r="AK50" s="13">
        <f t="shared" si="35"/>
        <v>52.043959291168512</v>
      </c>
      <c r="AL50" s="20">
        <f t="shared" si="4"/>
        <v>457.25709576545205</v>
      </c>
      <c r="AM50" s="59">
        <f t="shared" si="5"/>
        <v>750.59042909878531</v>
      </c>
      <c r="AN50" s="59">
        <f ca="1">AVERAGE(OFFSET($AM$3,0,0,'Données projet'!$E$10+1,1))-AVERAGE(OFFSET($H$3,0,0,'Données projet'!$E$10+1,1))</f>
        <v>318.97291652986593</v>
      </c>
      <c r="AO50" s="59">
        <f t="shared" si="36"/>
        <v>338.19413170988122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20.96574400463507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0.11148246778238882</v>
      </c>
      <c r="AX50" s="21">
        <f t="shared" si="6"/>
        <v>21.077226472417458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11.2</v>
      </c>
      <c r="BD50" s="12">
        <f>IF('Données projet'!$A$88&gt;35,BD49+BC50-BL49,IF(A50&lt;'Données projet'!$A$88,$BA$205^A50,IF(A50='Données projet'!$A$88,'Données projet'!$B$88,BD49+BC50-BL49)))</f>
        <v>225.39999999999992</v>
      </c>
      <c r="BE50" s="13">
        <f>BD50*VLOOKUP('Données projet'!$B$11,Paramètres!$A$1:$I$89,3,0)*VLOOKUP('Données projet'!$B$11,Paramètres!$A$1:$I$89,5,0)</f>
        <v>189.87695999999994</v>
      </c>
      <c r="BF50" s="13">
        <f t="shared" si="37"/>
        <v>47.5127494286954</v>
      </c>
      <c r="BG50" s="20">
        <f t="shared" si="7"/>
        <v>413.45374392164439</v>
      </c>
      <c r="BH50" s="59">
        <f t="shared" si="8"/>
        <v>706.7870772549777</v>
      </c>
      <c r="BI50" s="59">
        <f ca="1">AVERAGE(OFFSET($BH$3,0,0,'Données projet'!$E$11+1,1))-AVERAGE(OFFSET($H$3,0,0,'Données projet'!$E$11+1,1))</f>
        <v>476.64466005965136</v>
      </c>
      <c r="BJ50" s="59">
        <f t="shared" si="38"/>
        <v>312.67921212138998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118.19999999999999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318.97291652986593</v>
      </c>
      <c r="T51" s="59">
        <f t="shared" si="34"/>
        <v>338.19413170988122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7.2999999999999972</v>
      </c>
      <c r="AI51" s="13">
        <f>IF('Données projet'!$A$62&gt;35,AI50+AH51-AQ50,IF(A51&lt;'Données projet'!$A$62,$AF$205^A51,IF(A51='Données projet'!$A$62,'Données projet'!$B$62,AI50+AH51-AQ50)))</f>
        <v>359.30000000000024</v>
      </c>
      <c r="AJ51" s="13">
        <f>AI51*VLOOKUP('Données projet'!$B$10,Paramètres!$A$1:$I$89,3,0)*VLOOKUP('Données projet'!$B$10,Paramètres!$A$1:$I$89,5,0)</f>
        <v>214.86140000000015</v>
      </c>
      <c r="AK51" s="13">
        <f t="shared" si="35"/>
        <v>52.996504799916742</v>
      </c>
      <c r="AL51" s="20">
        <f t="shared" si="4"/>
        <v>466.51918419318849</v>
      </c>
      <c r="AM51" s="59">
        <f t="shared" si="5"/>
        <v>759.85251752652175</v>
      </c>
      <c r="AN51" s="59">
        <f ca="1">AVERAGE(OFFSET($AM$3,0,0,'Données projet'!$E$10+1,1))-AVERAGE(OFFSET($H$3,0,0,'Données projet'!$E$10+1,1))</f>
        <v>318.97291652986593</v>
      </c>
      <c r="AO51" s="59">
        <f t="shared" si="36"/>
        <v>338.19413170988122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20.554618552545325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7.8830008952337952E-2</v>
      </c>
      <c r="AX51" s="21">
        <f t="shared" si="6"/>
        <v>20.633448561497662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11.2</v>
      </c>
      <c r="BD51" s="12">
        <f>IF('Données projet'!$A$88&gt;35,BD50+BC51-BL50,IF(A51&lt;'Données projet'!$A$88,$BA$205^A51,IF(A51='Données projet'!$A$88,'Données projet'!$B$88,BD50+BC51-BL50)))</f>
        <v>236.59999999999991</v>
      </c>
      <c r="BE51" s="13">
        <f>BD51*VLOOKUP('Données projet'!$B$11,Paramètres!$A$1:$I$89,3,0)*VLOOKUP('Données projet'!$B$11,Paramètres!$A$1:$I$89,5,0)</f>
        <v>199.31183999999993</v>
      </c>
      <c r="BF51" s="13">
        <f t="shared" si="37"/>
        <v>49.592900661217925</v>
      </c>
      <c r="BG51" s="20">
        <f t="shared" si="7"/>
        <v>433.50908998495447</v>
      </c>
      <c r="BH51" s="59">
        <f t="shared" si="8"/>
        <v>726.84242331828773</v>
      </c>
      <c r="BI51" s="59">
        <f ca="1">AVERAGE(OFFSET($BH$3,0,0,'Données projet'!$E$11+1,1))-AVERAGE(OFFSET($H$3,0,0,'Données projet'!$E$11+1,1))</f>
        <v>476.64466005965136</v>
      </c>
      <c r="BJ51" s="59">
        <f t="shared" si="38"/>
        <v>312.67921212138998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123.79999999999998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318.97291652986593</v>
      </c>
      <c r="T52" s="59">
        <f t="shared" si="34"/>
        <v>338.19413170988122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7.2999999999999972</v>
      </c>
      <c r="AI52" s="13">
        <f>IF('Données projet'!$A$62&gt;35,AI51+AH52-AQ51,IF(A52&lt;'Données projet'!$A$62,$AF$205^A52,IF(A52='Données projet'!$A$62,'Données projet'!$B$62,AI51+AH52-AQ51)))</f>
        <v>366.60000000000025</v>
      </c>
      <c r="AJ52" s="13">
        <f>AI52*VLOOKUP('Données projet'!$B$10,Paramètres!$A$1:$I$89,3,0)*VLOOKUP('Données projet'!$B$10,Paramètres!$A$1:$I$89,5,0)</f>
        <v>219.22680000000014</v>
      </c>
      <c r="AK52" s="13">
        <f t="shared" si="35"/>
        <v>53.946800101493466</v>
      </c>
      <c r="AL52" s="20">
        <f t="shared" si="4"/>
        <v>475.77735351010136</v>
      </c>
      <c r="AM52" s="59">
        <f t="shared" si="5"/>
        <v>769.11068684343468</v>
      </c>
      <c r="AN52" s="59">
        <f ca="1">AVERAGE(OFFSET($AM$3,0,0,'Données projet'!$E$10+1,1))-AVERAGE(OFFSET($H$3,0,0,'Données projet'!$E$10+1,1))</f>
        <v>318.97291652986593</v>
      </c>
      <c r="AO52" s="59">
        <f t="shared" si="36"/>
        <v>338.19413170988122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20.151555019809294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5.5741233891194418E-2</v>
      </c>
      <c r="AX52" s="21">
        <f t="shared" si="6"/>
        <v>20.207296253700488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11.2</v>
      </c>
      <c r="BD52" s="12">
        <f>IF('Données projet'!$A$88&gt;35,BD51+BC52-BL51,IF(A52&lt;'Données projet'!$A$88,$BA$205^A52,IF(A52='Données projet'!$A$88,'Données projet'!$B$88,BD51+BC52-BL51)))</f>
        <v>247.7999999999999</v>
      </c>
      <c r="BE52" s="13">
        <f>BD52*VLOOKUP('Données projet'!$B$11,Paramètres!$A$1:$I$89,3,0)*VLOOKUP('Données projet'!$B$11,Paramètres!$A$1:$I$89,5,0)</f>
        <v>208.74671999999993</v>
      </c>
      <c r="BF52" s="13">
        <f t="shared" si="37"/>
        <v>51.661617147836218</v>
      </c>
      <c r="BG52" s="20">
        <f t="shared" si="7"/>
        <v>453.54452053248133</v>
      </c>
      <c r="BH52" s="59">
        <f t="shared" si="8"/>
        <v>746.87785386581459</v>
      </c>
      <c r="BI52" s="59">
        <f ca="1">AVERAGE(OFFSET($BH$3,0,0,'Données projet'!$E$11+1,1))-AVERAGE(OFFSET($H$3,0,0,'Données projet'!$E$11+1,1))</f>
        <v>476.64466005965136</v>
      </c>
      <c r="BJ52" s="59">
        <f t="shared" si="38"/>
        <v>312.67921212138998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129.39999999999998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318.97291652986593</v>
      </c>
      <c r="T53" s="59">
        <f t="shared" si="34"/>
        <v>338.19413170988122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7.2999999999999972</v>
      </c>
      <c r="AI53" s="13">
        <f>IF('Données projet'!$A$62&gt;35,AI52+AH53-AQ52,IF(A53&lt;'Données projet'!$A$62,$AF$205^A53,IF(A53='Données projet'!$A$62,'Données projet'!$B$62,AI52+AH53-AQ52)))</f>
        <v>373.90000000000026</v>
      </c>
      <c r="AJ53" s="13">
        <f>AI53*VLOOKUP('Données projet'!$B$10,Paramètres!$A$1:$I$89,3,0)*VLOOKUP('Données projet'!$B$10,Paramètres!$A$1:$I$89,5,0)</f>
        <v>223.59220000000019</v>
      </c>
      <c r="AK53" s="13">
        <f t="shared" si="35"/>
        <v>54.894895167980749</v>
      </c>
      <c r="AL53" s="20">
        <f t="shared" si="4"/>
        <v>485.03169075090017</v>
      </c>
      <c r="AM53" s="59">
        <f t="shared" si="5"/>
        <v>778.36502408423348</v>
      </c>
      <c r="AN53" s="59">
        <f ca="1">AVERAGE(OFFSET($AM$3,0,0,'Données projet'!$E$10+1,1))-AVERAGE(OFFSET($H$3,0,0,'Données projet'!$E$10+1,1))</f>
        <v>318.97291652986593</v>
      </c>
      <c r="AO53" s="59">
        <f t="shared" si="36"/>
        <v>338.19413170988122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19.756395317105738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3.9415004476168983E-2</v>
      </c>
      <c r="AX53" s="21">
        <f t="shared" si="6"/>
        <v>19.795810321581907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259</v>
      </c>
      <c r="BB53" s="12">
        <f>VLOOKUP(A53,'Données projet'!$A$87:$I$107,9,0)</f>
        <v>11.2</v>
      </c>
      <c r="BC53" s="12">
        <f t="array" ref="BC53">INDEX(BB:BB,MIN(IF(ISNUMBER(BB53:BB249),ROW(BB53:BB249),"")))</f>
        <v>11.2</v>
      </c>
      <c r="BD53" s="12">
        <f>IF('Données projet'!$A$88&gt;35,BD52+BC53-BL52,IF(A53&lt;'Données projet'!$A$88,$BA$205^A53,IF(A53='Données projet'!$A$88,'Données projet'!$B$88,BD52+BC53-BL52)))</f>
        <v>258.99999999999989</v>
      </c>
      <c r="BE53" s="13">
        <f>BD53*VLOOKUP('Données projet'!$B$11,Paramètres!$A$1:$I$89,3,0)*VLOOKUP('Données projet'!$B$11,Paramètres!$A$1:$I$89,5,0)</f>
        <v>218.18159999999995</v>
      </c>
      <c r="BF53" s="13">
        <f t="shared" si="37"/>
        <v>53.719474757115933</v>
      </c>
      <c r="BG53" s="20">
        <f t="shared" si="7"/>
        <v>473.56103853531016</v>
      </c>
      <c r="BH53" s="59">
        <f t="shared" si="8"/>
        <v>766.89437186864347</v>
      </c>
      <c r="BI53" s="59">
        <f ca="1">AVERAGE(OFFSET($BH$3,0,0,'Données projet'!$E$11+1,1))-AVERAGE(OFFSET($H$3,0,0,'Données projet'!$E$11+1,1))</f>
        <v>476.64466005965136</v>
      </c>
      <c r="BJ53" s="59">
        <f t="shared" si="38"/>
        <v>312.67921212138998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56</v>
      </c>
      <c r="BM53" s="16">
        <f>IF(ISNA(VLOOKUP(A53,'Données projet'!$A$87:$I$107,5,0)),0%,VLOOKUP(A53,'Données projet'!$A$87:$I$107,5,0)*VLOOKUP('Données projet'!$B$11,Paramètres!$A$1:$I$89,7,0))</f>
        <v>0.36549999999999999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19.06078913430343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19.06078913430343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135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134.99999999999997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28</v>
      </c>
      <c r="CH53" s="16" t="e">
        <f>IF(ISNA(VLOOKUP(A53,'Données projet'!$A$113:$I$133,5,0)),0%,VLOOKUP(A53,'Données projet'!$A$113:$I$133,5,0)*VLOOKUP('Données projet'!$B$12,Paramètres!$A$1:$I$89,7,0))</f>
        <v>#N/A</v>
      </c>
      <c r="CI53" s="16" t="e">
        <f>IF(ISNA(VLOOKUP(A53,'Données projet'!$A$113:$I$133,6,0)),0%,VLOOKUP(A53,'Données projet'!$A$113:$I$133,6,0)*VLOOKUP('Données projet'!$B$12,Paramètres!$A$1:$I$89,7,0))</f>
        <v>#N/A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318.97291652986593</v>
      </c>
      <c r="T54" s="59">
        <f t="shared" si="34"/>
        <v>338.19413170988122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7.2999999999999972</v>
      </c>
      <c r="AI54" s="13">
        <f>IF('Données projet'!$A$62&gt;35,AI53+AH54-AQ53,IF(A54&lt;'Données projet'!$A$62,$AF$205^A54,IF(A54='Données projet'!$A$62,'Données projet'!$B$62,AI53+AH54-AQ53)))</f>
        <v>381.20000000000027</v>
      </c>
      <c r="AJ54" s="13">
        <f>AI54*VLOOKUP('Données projet'!$B$10,Paramètres!$A$1:$I$89,3,0)*VLOOKUP('Données projet'!$B$10,Paramètres!$A$1:$I$89,5,0)</f>
        <v>227.95760000000018</v>
      </c>
      <c r="AK54" s="13">
        <f t="shared" si="35"/>
        <v>55.840837908542632</v>
      </c>
      <c r="AL54" s="20">
        <f t="shared" si="4"/>
        <v>494.28227935737868</v>
      </c>
      <c r="AM54" s="59">
        <f t="shared" si="5"/>
        <v>787.61561269071194</v>
      </c>
      <c r="AN54" s="59">
        <f ca="1">AVERAGE(OFFSET($AM$3,0,0,'Données projet'!$E$10+1,1))-AVERAGE(OFFSET($H$3,0,0,'Données projet'!$E$10+1,1))</f>
        <v>318.97291652986593</v>
      </c>
      <c r="AO54" s="59">
        <f t="shared" si="36"/>
        <v>338.19413170988122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19.368984455148578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2.7870616945597212E-2</v>
      </c>
      <c r="AX54" s="21">
        <f t="shared" si="6"/>
        <v>19.396855072094176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9.8000000000000007</v>
      </c>
      <c r="BD54" s="12">
        <f>IF('Données projet'!$A$88&gt;35,BD53+BC54-BL53,IF(A54&lt;'Données projet'!$A$88,$BA$205^A54,IF(A54='Données projet'!$A$88,'Données projet'!$B$88,BD53+BC54-BL53)))</f>
        <v>212.7999999999999</v>
      </c>
      <c r="BE54" s="13">
        <f>BD54*VLOOKUP('Données projet'!$B$11,Paramètres!$A$1:$I$89,3,0)*VLOOKUP('Données projet'!$B$11,Paramètres!$A$1:$I$89,5,0)</f>
        <v>179.26271999999992</v>
      </c>
      <c r="BF54" s="13">
        <f t="shared" si="37"/>
        <v>45.158115787467111</v>
      </c>
      <c r="BG54" s="20">
        <f t="shared" si="7"/>
        <v>390.86628899650503</v>
      </c>
      <c r="BH54" s="59">
        <f t="shared" si="8"/>
        <v>684.19962232983835</v>
      </c>
      <c r="BI54" s="59">
        <f ca="1">AVERAGE(OFFSET($BH$3,0,0,'Données projet'!$E$11+1,1))-AVERAGE(OFFSET($H$3,0,0,'Données projet'!$E$11+1,1))</f>
        <v>476.64466005965136</v>
      </c>
      <c r="BJ54" s="59">
        <f t="shared" si="38"/>
        <v>312.67921212138998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18.687018685313145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18.687018685313145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112.59999999999997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318.97291652986593</v>
      </c>
      <c r="T55" s="59">
        <f t="shared" si="34"/>
        <v>338.19413170988122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7.2999999999999972</v>
      </c>
      <c r="AI55" s="13">
        <f>IF('Données projet'!$A$62&gt;35,AI54+AH55-AQ54,IF(A55&lt;'Données projet'!$A$62,$AF$205^A55,IF(A55='Données projet'!$A$62,'Données projet'!$B$62,AI54+AH55-AQ54)))</f>
        <v>388.50000000000028</v>
      </c>
      <c r="AJ55" s="13">
        <f>AI55*VLOOKUP('Données projet'!$B$10,Paramètres!$A$1:$I$89,3,0)*VLOOKUP('Données projet'!$B$10,Paramètres!$A$1:$I$89,5,0)</f>
        <v>232.32300000000021</v>
      </c>
      <c r="AK55" s="13">
        <f t="shared" si="35"/>
        <v>56.784674292431681</v>
      </c>
      <c r="AL55" s="20">
        <f t="shared" si="4"/>
        <v>503.52919939265217</v>
      </c>
      <c r="AM55" s="59">
        <f t="shared" si="5"/>
        <v>796.86253272598549</v>
      </c>
      <c r="AN55" s="59">
        <f ca="1">AVERAGE(OFFSET($AM$3,0,0,'Données projet'!$E$10+1,1))-AVERAGE(OFFSET($H$3,0,0,'Données projet'!$E$10+1,1))</f>
        <v>318.97291652986593</v>
      </c>
      <c r="AO55" s="59">
        <f t="shared" si="36"/>
        <v>338.19413170988122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18.989170483897105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1.9707502238084491E-2</v>
      </c>
      <c r="AX55" s="21">
        <f t="shared" si="6"/>
        <v>19.00887798613519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9.8000000000000007</v>
      </c>
      <c r="BD55" s="12">
        <f>IF('Données projet'!$A$88&gt;35,BD54+BC55-BL54,IF(A55&lt;'Données projet'!$A$88,$BA$205^A55,IF(A55='Données projet'!$A$88,'Données projet'!$B$88,BD54+BC55-BL54)))</f>
        <v>222.59999999999991</v>
      </c>
      <c r="BE55" s="13">
        <f>BD55*VLOOKUP('Données projet'!$B$11,Paramètres!$A$1:$I$89,3,0)*VLOOKUP('Données projet'!$B$11,Paramètres!$A$1:$I$89,5,0)</f>
        <v>187.51823999999996</v>
      </c>
      <c r="BF55" s="13">
        <f t="shared" si="37"/>
        <v>46.990851800962481</v>
      </c>
      <c r="BG55" s="20">
        <f t="shared" si="7"/>
        <v>408.43666822000955</v>
      </c>
      <c r="BH55" s="59">
        <f t="shared" si="8"/>
        <v>701.77000155334281</v>
      </c>
      <c r="BI55" s="59">
        <f ca="1">AVERAGE(OFFSET($BH$3,0,0,'Données projet'!$E$11+1,1))-AVERAGE(OFFSET($H$3,0,0,'Données projet'!$E$11+1,1))</f>
        <v>476.64466005965136</v>
      </c>
      <c r="BJ55" s="59">
        <f t="shared" si="38"/>
        <v>312.67921212138998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18.320577646850097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18.320577646850097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118.19999999999996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318.97291652986593</v>
      </c>
      <c r="T56" s="59">
        <f t="shared" si="34"/>
        <v>338.19413170988122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7.2999999999999972</v>
      </c>
      <c r="AI56" s="13">
        <f>IF('Données projet'!$A$62&gt;35,AI55+AH56-AQ55,IF(A56&lt;'Données projet'!$A$62,$AF$205^A56,IF(A56='Données projet'!$A$62,'Données projet'!$B$62,AI55+AH56-AQ55)))</f>
        <v>395.8000000000003</v>
      </c>
      <c r="AJ56" s="13">
        <f>AI56*VLOOKUP('Données projet'!$B$10,Paramètres!$A$1:$I$89,3,0)*VLOOKUP('Données projet'!$B$10,Paramètres!$A$1:$I$89,5,0)</f>
        <v>236.6884000000002</v>
      </c>
      <c r="AK56" s="13">
        <f t="shared" si="35"/>
        <v>57.726448462488456</v>
      </c>
      <c r="AL56" s="20">
        <f t="shared" si="4"/>
        <v>512.77252773883436</v>
      </c>
      <c r="AM56" s="59">
        <f t="shared" si="5"/>
        <v>806.10586107216773</v>
      </c>
      <c r="AN56" s="59">
        <f ca="1">AVERAGE(OFFSET($AM$3,0,0,'Données projet'!$E$10+1,1))-AVERAGE(OFFSET($H$3,0,0,'Données projet'!$E$10+1,1))</f>
        <v>318.97291652986593</v>
      </c>
      <c r="AO56" s="59">
        <f t="shared" si="36"/>
        <v>338.19413170988122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18.616804432958226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1.3935308472798606E-2</v>
      </c>
      <c r="AX56" s="21">
        <f t="shared" si="6"/>
        <v>18.630739741431025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9.8000000000000007</v>
      </c>
      <c r="BD56" s="12">
        <f>IF('Données projet'!$A$88&gt;35,BD55+BC56-BL55,IF(A56&lt;'Données projet'!$A$88,$BA$205^A56,IF(A56='Données projet'!$A$88,'Données projet'!$B$88,BD55+BC56-BL55)))</f>
        <v>232.39999999999992</v>
      </c>
      <c r="BE56" s="13">
        <f>BD56*VLOOKUP('Données projet'!$B$11,Paramètres!$A$1:$I$89,3,0)*VLOOKUP('Données projet'!$B$11,Paramètres!$A$1:$I$89,5,0)</f>
        <v>195.77375999999995</v>
      </c>
      <c r="BF56" s="13">
        <f t="shared" si="37"/>
        <v>48.814216733702644</v>
      </c>
      <c r="BG56" s="20">
        <f t="shared" si="7"/>
        <v>425.99072614453195</v>
      </c>
      <c r="BH56" s="59">
        <f t="shared" si="8"/>
        <v>719.32405947786526</v>
      </c>
      <c r="BI56" s="59">
        <f ca="1">AVERAGE(OFFSET($BH$3,0,0,'Données projet'!$E$11+1,1))-AVERAGE(OFFSET($H$3,0,0,'Données projet'!$E$11+1,1))</f>
        <v>476.64466005965136</v>
      </c>
      <c r="BJ56" s="59">
        <f t="shared" si="38"/>
        <v>312.67921212138998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17.961322293644347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17.961322293644347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123.79999999999995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318.97291652986593</v>
      </c>
      <c r="T57" s="59">
        <f t="shared" si="34"/>
        <v>338.19413170988122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403.09999999999997</v>
      </c>
      <c r="AG57" s="12">
        <f>VLOOKUP(A57,'Données projet'!$A$61:$I$81,9,0)</f>
        <v>7.2999999999999972</v>
      </c>
      <c r="AH57" s="12">
        <f t="array" ref="AH57">INDEX(AG:AG,MIN(IF(ISNUMBER(AG57:AG253),ROW(AG57:AG253),"")))</f>
        <v>7.2999999999999972</v>
      </c>
      <c r="AI57" s="13">
        <f>IF('Données projet'!$A$62&gt;35,AI56+AH57-AQ56,IF(A57&lt;'Données projet'!$A$62,$AF$205^A57,IF(A57='Données projet'!$A$62,'Données projet'!$B$62,AI56+AH57-AQ56)))</f>
        <v>403.10000000000031</v>
      </c>
      <c r="AJ57" s="13">
        <f>AI57*VLOOKUP('Données projet'!$B$10,Paramètres!$A$1:$I$89,3,0)*VLOOKUP('Données projet'!$B$10,Paramètres!$A$1:$I$89,5,0)</f>
        <v>241.05380000000022</v>
      </c>
      <c r="AK57" s="13">
        <f t="shared" si="35"/>
        <v>58.666202840030898</v>
      </c>
      <c r="AL57" s="20">
        <f t="shared" si="4"/>
        <v>522.01233827972089</v>
      </c>
      <c r="AM57" s="59">
        <f t="shared" si="5"/>
        <v>815.34567161305426</v>
      </c>
      <c r="AN57" s="59">
        <f ca="1">AVERAGE(OFFSET($AM$3,0,0,'Données projet'!$E$10+1,1))-AVERAGE(OFFSET($H$3,0,0,'Données projet'!$E$10+1,1))</f>
        <v>318.97291652986593</v>
      </c>
      <c r="AO57" s="59">
        <f t="shared" si="36"/>
        <v>338.19413170988122</v>
      </c>
      <c r="AP57" s="15">
        <f>IF(ISNA(VLOOKUP(A57,'Données projet'!$A$61:$I$81,3,0)),0,VLOOKUP(A57,'Données projet'!$A$61:$I$81,3,0))</f>
        <v>9</v>
      </c>
      <c r="AQ57" s="15">
        <f>IF(ISNA(VLOOKUP(A57,'Données projet'!$A$61:$I$81,4,0)),0,VLOOKUP(A57,'Données projet'!$A$61:$I$81,4,0))</f>
        <v>17.399999999999999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18.251740253157394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9.8537511190422457E-3</v>
      </c>
      <c r="AX57" s="21">
        <f t="shared" si="6"/>
        <v>18.261594004276436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9.8000000000000007</v>
      </c>
      <c r="BD57" s="12">
        <f>IF('Données projet'!$A$88&gt;35,BD56+BC57-BL56,IF(A57&lt;'Données projet'!$A$88,$BA$205^A57,IF(A57='Données projet'!$A$88,'Données projet'!$B$88,BD56+BC57-BL56)))</f>
        <v>242.19999999999993</v>
      </c>
      <c r="BE57" s="13">
        <f>BD57*VLOOKUP('Données projet'!$B$11,Paramètres!$A$1:$I$89,3,0)*VLOOKUP('Données projet'!$B$11,Paramètres!$A$1:$I$89,5,0)</f>
        <v>204.02927999999997</v>
      </c>
      <c r="BF57" s="13">
        <f t="shared" si="37"/>
        <v>50.628650934368238</v>
      </c>
      <c r="BG57" s="20">
        <f t="shared" si="7"/>
        <v>443.52922971069125</v>
      </c>
      <c r="BH57" s="59">
        <f t="shared" si="8"/>
        <v>736.86256304402457</v>
      </c>
      <c r="BI57" s="59">
        <f ca="1">AVERAGE(OFFSET($BH$3,0,0,'Données projet'!$E$11+1,1))-AVERAGE(OFFSET($H$3,0,0,'Données projet'!$E$11+1,1))</f>
        <v>476.64466005965136</v>
      </c>
      <c r="BJ57" s="59">
        <f t="shared" si="38"/>
        <v>312.67921212138998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17.609111718790832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17.609111718790832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129.39999999999995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318.97291652986593</v>
      </c>
      <c r="T58" s="59">
        <f t="shared" si="34"/>
        <v>338.19413170988122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3.0375000000000085</v>
      </c>
      <c r="AI58" s="13">
        <f>IF('Données projet'!$A$62&gt;35,AI57+AH58-AQ57,IF(A58&lt;'Données projet'!$A$62,$AF$205^A58,IF(A58='Données projet'!$A$62,'Données projet'!$B$62,AI57+AH58-AQ57)))</f>
        <v>388.73750000000035</v>
      </c>
      <c r="AJ58" s="13">
        <f>AI58*VLOOKUP('Données projet'!$B$10,Paramètres!$A$1:$I$89,3,0)*VLOOKUP('Données projet'!$B$10,Paramètres!$A$1:$I$89,5,0)</f>
        <v>232.46502500000025</v>
      </c>
      <c r="AK58" s="13">
        <f t="shared" si="35"/>
        <v>56.81534642612386</v>
      </c>
      <c r="AL58" s="20">
        <f t="shared" si="4"/>
        <v>503.82998023383288</v>
      </c>
      <c r="AM58" s="59">
        <f t="shared" si="5"/>
        <v>797.16331356716614</v>
      </c>
      <c r="AN58" s="59">
        <f ca="1">AVERAGE(OFFSET($AM$3,0,0,'Données projet'!$E$10+1,1))-AVERAGE(OFFSET($H$3,0,0,'Données projet'!$E$10+1,1))</f>
        <v>318.97291652986593</v>
      </c>
      <c r="AO58" s="59">
        <f t="shared" si="36"/>
        <v>338.19413170988122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17.893834759255292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6.9676542363993031E-3</v>
      </c>
      <c r="AX58" s="21">
        <f t="shared" si="6"/>
        <v>17.900802413491689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9.8000000000000007</v>
      </c>
      <c r="BD58" s="12">
        <f>IF('Données projet'!$A$88&gt;35,BD57+BC58-BL57,IF(A58&lt;'Données projet'!$A$88,$BA$205^A58,IF(A58='Données projet'!$A$88,'Données projet'!$B$88,BD57+BC58-BL57)))</f>
        <v>251.99999999999994</v>
      </c>
      <c r="BE58" s="13">
        <f>BD58*VLOOKUP('Données projet'!$B$11,Paramètres!$A$1:$I$89,3,0)*VLOOKUP('Données projet'!$B$11,Paramètres!$A$1:$I$89,5,0)</f>
        <v>212.28479999999999</v>
      </c>
      <c r="BF58" s="13">
        <f t="shared" si="37"/>
        <v>52.434557099704193</v>
      </c>
      <c r="BG58" s="20">
        <f t="shared" si="7"/>
        <v>461.05288028198476</v>
      </c>
      <c r="BH58" s="59">
        <f t="shared" si="8"/>
        <v>754.38621361531807</v>
      </c>
      <c r="BI58" s="59">
        <f ca="1">AVERAGE(OFFSET($BH$3,0,0,'Données projet'!$E$11+1,1))-AVERAGE(OFFSET($H$3,0,0,'Données projet'!$E$11+1,1))</f>
        <v>476.64466005965136</v>
      </c>
      <c r="BJ58" s="59">
        <f t="shared" si="38"/>
        <v>312.67921212138998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17.263807778482956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17.263807778482956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134.99999999999994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318.97291652986593</v>
      </c>
      <c r="T59" s="59">
        <f t="shared" si="34"/>
        <v>338.19413170988122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3.0375000000000085</v>
      </c>
      <c r="AI59" s="13">
        <f>IF('Données projet'!$A$62&gt;35,AI58+AH59-AQ58,IF(A59&lt;'Données projet'!$A$62,$AF$205^A59,IF(A59='Données projet'!$A$62,'Données projet'!$B$62,AI58+AH59-AQ58)))</f>
        <v>391.77500000000038</v>
      </c>
      <c r="AJ59" s="13">
        <f>AI59*VLOOKUP('Données projet'!$B$10,Paramètres!$A$1:$I$89,3,0)*VLOOKUP('Données projet'!$B$10,Paramètres!$A$1:$I$89,5,0)</f>
        <v>234.28145000000023</v>
      </c>
      <c r="AK59" s="13">
        <f t="shared" si="35"/>
        <v>57.207435050889636</v>
      </c>
      <c r="AL59" s="20">
        <f t="shared" si="4"/>
        <v>507.67647479696649</v>
      </c>
      <c r="AM59" s="59">
        <f t="shared" si="5"/>
        <v>801.0098081302998</v>
      </c>
      <c r="AN59" s="59">
        <f ca="1">AVERAGE(OFFSET($AM$3,0,0,'Données projet'!$E$10+1,1))-AVERAGE(OFFSET($H$3,0,0,'Données projet'!$E$10+1,1))</f>
        <v>318.97291652986593</v>
      </c>
      <c r="AO59" s="59">
        <f t="shared" si="36"/>
        <v>338.19413170988122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17.542947573787814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4.9268755595211228E-3</v>
      </c>
      <c r="AX59" s="21">
        <f t="shared" si="6"/>
        <v>17.547874449347336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9.8000000000000007</v>
      </c>
      <c r="BD59" s="12">
        <f>IF('Données projet'!$A$88&gt;35,BD58+BC59-BL58,IF(A59&lt;'Données projet'!$A$88,$BA$205^A59,IF(A59='Données projet'!$A$88,'Données projet'!$B$88,BD58+BC59-BL58)))</f>
        <v>261.79999999999995</v>
      </c>
      <c r="BE59" s="13">
        <f>BD59*VLOOKUP('Données projet'!$B$11,Paramètres!$A$1:$I$89,3,0)*VLOOKUP('Données projet'!$B$11,Paramètres!$A$1:$I$89,5,0)</f>
        <v>220.54031999999998</v>
      </c>
      <c r="BF59" s="13">
        <f t="shared" si="37"/>
        <v>54.232304832110685</v>
      </c>
      <c r="BG59" s="20">
        <f t="shared" si="7"/>
        <v>478.56232158259263</v>
      </c>
      <c r="BH59" s="59">
        <f t="shared" si="8"/>
        <v>771.89565491592589</v>
      </c>
      <c r="BI59" s="59">
        <f ca="1">AVERAGE(OFFSET($BH$3,0,0,'Données projet'!$E$11+1,1))-AVERAGE(OFFSET($H$3,0,0,'Données projet'!$E$11+1,1))</f>
        <v>476.64466005965136</v>
      </c>
      <c r="BJ59" s="59">
        <f t="shared" si="38"/>
        <v>312.67921212138998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16.925275037829909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16.925275037829909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5.6</v>
      </c>
      <c r="BY59" s="12">
        <f>IF('Données projet'!$A$114&gt;35,BY58+BX59-CG58,IF(A59&lt;'Données projet'!$A$114,$BV$205^A59,IF(A59='Données projet'!$A$114,'Données projet'!$B$114,BY58+BX59-CG58)))</f>
        <v>140.59999999999994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318.97291652986593</v>
      </c>
      <c r="T60" s="59">
        <f t="shared" si="34"/>
        <v>338.19413170988122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3.0375000000000085</v>
      </c>
      <c r="AI60" s="13">
        <f>IF('Données projet'!$A$62&gt;35,AI59+AH60-AQ59,IF(A60&lt;'Données projet'!$A$62,$AF$205^A60,IF(A60='Données projet'!$A$62,'Données projet'!$B$62,AI59+AH60-AQ59)))</f>
        <v>394.8125000000004</v>
      </c>
      <c r="AJ60" s="13">
        <f>AI60*VLOOKUP('Données projet'!$B$10,Paramètres!$A$1:$I$89,3,0)*VLOOKUP('Données projet'!$B$10,Paramètres!$A$1:$I$89,5,0)</f>
        <v>236.09787500000024</v>
      </c>
      <c r="AK60" s="13">
        <f t="shared" si="35"/>
        <v>57.599169983491038</v>
      </c>
      <c r="AL60" s="20">
        <f t="shared" si="4"/>
        <v>511.52235334624737</v>
      </c>
      <c r="AM60" s="59">
        <f t="shared" si="5"/>
        <v>804.85568667958069</v>
      </c>
      <c r="AN60" s="59">
        <f ca="1">AVERAGE(OFFSET($AM$3,0,0,'Données projet'!$E$10+1,1))-AVERAGE(OFFSET($H$3,0,0,'Données projet'!$E$10+1,1))</f>
        <v>318.97291652986593</v>
      </c>
      <c r="AO60" s="59">
        <f t="shared" si="36"/>
        <v>338.19413170988122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17.198941072007305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3.4838271181996516E-3</v>
      </c>
      <c r="AX60" s="21">
        <f t="shared" si="6"/>
        <v>17.202424899125504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9.8000000000000007</v>
      </c>
      <c r="BD60" s="12">
        <f>IF('Données projet'!$A$88&gt;35,BD59+BC60-BL59,IF(A60&lt;'Données projet'!$A$88,$BA$205^A60,IF(A60='Données projet'!$A$88,'Données projet'!$B$88,BD59+BC60-BL59)))</f>
        <v>271.59999999999997</v>
      </c>
      <c r="BE60" s="13">
        <f>BD60*VLOOKUP('Données projet'!$B$11,Paramètres!$A$1:$I$89,3,0)*VLOOKUP('Données projet'!$B$11,Paramètres!$A$1:$I$89,5,0)</f>
        <v>228.79584</v>
      </c>
      <c r="BF60" s="13">
        <f t="shared" si="37"/>
        <v>56.022234495627458</v>
      </c>
      <c r="BG60" s="20">
        <f t="shared" si="7"/>
        <v>496.0581464132178</v>
      </c>
      <c r="BH60" s="59">
        <f t="shared" si="8"/>
        <v>789.39147974655111</v>
      </c>
      <c r="BI60" s="59">
        <f ca="1">AVERAGE(OFFSET($BH$3,0,0,'Données projet'!$E$11+1,1))-AVERAGE(OFFSET($H$3,0,0,'Données projet'!$E$11+1,1))</f>
        <v>476.64466005965136</v>
      </c>
      <c r="BJ60" s="59">
        <f t="shared" si="38"/>
        <v>312.67921212138998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16.593380717736487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16.593380717736487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5.6</v>
      </c>
      <c r="BY60" s="12">
        <f>IF('Données projet'!$A$114&gt;35,BY59+BX60-CG59,IF(A60&lt;'Données projet'!$A$114,$BV$205^A60,IF(A60='Données projet'!$A$114,'Données projet'!$B$114,BY59+BX60-CG59)))</f>
        <v>146.19999999999993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318.97291652986593</v>
      </c>
      <c r="T61" s="59">
        <f t="shared" si="34"/>
        <v>338.19413170988122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3.0375000000000085</v>
      </c>
      <c r="AI61" s="13">
        <f>IF('Données projet'!$A$62&gt;35,AI60+AH61-AQ60,IF(A61&lt;'Données projet'!$A$62,$AF$205^A61,IF(A61='Données projet'!$A$62,'Données projet'!$B$62,AI60+AH61-AQ60)))</f>
        <v>397.85000000000042</v>
      </c>
      <c r="AJ61" s="13">
        <f>AI61*VLOOKUP('Données projet'!$B$10,Paramètres!$A$1:$I$89,3,0)*VLOOKUP('Données projet'!$B$10,Paramètres!$A$1:$I$89,5,0)</f>
        <v>237.91430000000025</v>
      </c>
      <c r="AK61" s="13">
        <f t="shared" si="35"/>
        <v>57.990554260508603</v>
      </c>
      <c r="AL61" s="20">
        <f t="shared" si="4"/>
        <v>515.3676211703862</v>
      </c>
      <c r="AM61" s="59">
        <f t="shared" si="5"/>
        <v>808.70095450371946</v>
      </c>
      <c r="AN61" s="59">
        <f ca="1">AVERAGE(OFFSET($AM$3,0,0,'Données projet'!$E$10+1,1))-AVERAGE(OFFSET($H$3,0,0,'Données projet'!$E$10+1,1))</f>
        <v>318.97291652986593</v>
      </c>
      <c r="AO61" s="59">
        <f t="shared" si="36"/>
        <v>338.19413170988122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16.861680327903464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2.4634377797605614E-3</v>
      </c>
      <c r="AX61" s="21">
        <f t="shared" si="6"/>
        <v>16.864143765683224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9.8000000000000007</v>
      </c>
      <c r="BD61" s="12">
        <f>IF('Données projet'!$A$88&gt;35,BD60+BC61-BL60,IF(A61&lt;'Données projet'!$A$88,$BA$205^A61,IF(A61='Données projet'!$A$88,'Données projet'!$B$88,BD60+BC61-BL60)))</f>
        <v>281.39999999999998</v>
      </c>
      <c r="BE61" s="13">
        <f>BD61*VLOOKUP('Données projet'!$B$11,Paramètres!$A$1:$I$89,3,0)*VLOOKUP('Données projet'!$B$11,Paramètres!$A$1:$I$89,5,0)</f>
        <v>237.05135999999999</v>
      </c>
      <c r="BF61" s="13">
        <f t="shared" si="37"/>
        <v>57.804660499743029</v>
      </c>
      <c r="BG61" s="20">
        <f t="shared" si="7"/>
        <v>513.54090237038565</v>
      </c>
      <c r="BH61" s="59">
        <f t="shared" si="8"/>
        <v>806.87423570371902</v>
      </c>
      <c r="BI61" s="59">
        <f ca="1">AVERAGE(OFFSET($BH$3,0,0,'Données projet'!$E$11+1,1))-AVERAGE(OFFSET($H$3,0,0,'Données projet'!$E$11+1,1))</f>
        <v>476.64466005965136</v>
      </c>
      <c r="BJ61" s="59">
        <f t="shared" si="38"/>
        <v>312.67921212138998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16.267994642824551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16.267994642824551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5.6</v>
      </c>
      <c r="BY61" s="12">
        <f>IF('Données projet'!$A$114&gt;35,BY60+BX61-CG60,IF(A61&lt;'Données projet'!$A$114,$BV$205^A61,IF(A61='Données projet'!$A$114,'Données projet'!$B$114,BY60+BX61-CG60)))</f>
        <v>151.79999999999993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318.97291652986593</v>
      </c>
      <c r="T62" s="59">
        <f t="shared" si="34"/>
        <v>338.19413170988122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3.0375000000000085</v>
      </c>
      <c r="AI62" s="13">
        <f>IF('Données projet'!$A$62&gt;35,AI61+AH62-AQ61,IF(A62&lt;'Données projet'!$A$62,$AF$205^A62,IF(A62='Données projet'!$A$62,'Données projet'!$B$62,AI61+AH62-AQ61)))</f>
        <v>400.88750000000044</v>
      </c>
      <c r="AJ62" s="13">
        <f>AI62*VLOOKUP('Données projet'!$B$10,Paramètres!$A$1:$I$89,3,0)*VLOOKUP('Données projet'!$B$10,Paramètres!$A$1:$I$89,5,0)</f>
        <v>239.73072500000029</v>
      </c>
      <c r="AK62" s="13">
        <f t="shared" si="35"/>
        <v>58.381590869477499</v>
      </c>
      <c r="AL62" s="20">
        <f t="shared" si="4"/>
        <v>519.2122834726739</v>
      </c>
      <c r="AM62" s="59">
        <f t="shared" si="5"/>
        <v>812.54561680600727</v>
      </c>
      <c r="AN62" s="59">
        <f ca="1">AVERAGE(OFFSET($AM$3,0,0,'Données projet'!$E$10+1,1))-AVERAGE(OFFSET($H$3,0,0,'Données projet'!$E$10+1,1))</f>
        <v>318.97291652986593</v>
      </c>
      <c r="AO62" s="59">
        <f t="shared" si="36"/>
        <v>338.19413170988122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16.531033061282756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1.7419135590998258E-3</v>
      </c>
      <c r="AX62" s="21">
        <f t="shared" si="6"/>
        <v>16.532774974841857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9.8000000000000007</v>
      </c>
      <c r="BD62" s="12">
        <f>IF('Données projet'!$A$88&gt;35,BD61+BC62-BL61,IF(A62&lt;'Données projet'!$A$88,$BA$205^A62,IF(A62='Données projet'!$A$88,'Données projet'!$B$88,BD61+BC62-BL61)))</f>
        <v>291.2</v>
      </c>
      <c r="BE62" s="13">
        <f>BD62*VLOOKUP('Données projet'!$B$11,Paramètres!$A$1:$I$89,3,0)*VLOOKUP('Données projet'!$B$11,Paramètres!$A$1:$I$89,5,0)</f>
        <v>245.30688000000001</v>
      </c>
      <c r="BF62" s="13">
        <f t="shared" si="37"/>
        <v>59.579874112906374</v>
      </c>
      <c r="BG62" s="20">
        <f t="shared" si="7"/>
        <v>531.01109674664531</v>
      </c>
      <c r="BH62" s="59">
        <f t="shared" si="8"/>
        <v>824.34443007997857</v>
      </c>
      <c r="BI62" s="59">
        <f ca="1">AVERAGE(OFFSET($BH$3,0,0,'Données projet'!$E$11+1,1))-AVERAGE(OFFSET($H$3,0,0,'Données projet'!$E$11+1,1))</f>
        <v>476.64466005965136</v>
      </c>
      <c r="BJ62" s="59">
        <f t="shared" si="38"/>
        <v>312.67921212138998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15.948989190375729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15.948989190375729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5.6</v>
      </c>
      <c r="BY62" s="12">
        <f>IF('Données projet'!$A$114&gt;35,BY61+BX62-CG61,IF(A62&lt;'Données projet'!$A$114,$BV$205^A62,IF(A62='Données projet'!$A$114,'Données projet'!$B$114,BY61+BX62-CG61)))</f>
        <v>157.39999999999992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318.97291652986593</v>
      </c>
      <c r="T63" s="59">
        <f t="shared" si="34"/>
        <v>338.19413170988122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3.0375000000000085</v>
      </c>
      <c r="AI63" s="13">
        <f>IF('Données projet'!$A$62&gt;35,AI62+AH63-AQ62,IF(A63&lt;'Données projet'!$A$62,$AF$205^A63,IF(A63='Données projet'!$A$62,'Données projet'!$B$62,AI62+AH63-AQ62)))</f>
        <v>403.92500000000047</v>
      </c>
      <c r="AJ63" s="13">
        <f>AI63*VLOOKUP('Données projet'!$B$10,Paramètres!$A$1:$I$89,3,0)*VLOOKUP('Données projet'!$B$10,Paramètres!$A$1:$I$89,5,0)</f>
        <v>241.5471500000003</v>
      </c>
      <c r="AK63" s="13">
        <f t="shared" si="35"/>
        <v>58.772282750044901</v>
      </c>
      <c r="AL63" s="20">
        <f t="shared" si="4"/>
        <v>523.05634537299545</v>
      </c>
      <c r="AM63" s="59">
        <f t="shared" si="5"/>
        <v>816.38967870632882</v>
      </c>
      <c r="AN63" s="59">
        <f ca="1">AVERAGE(OFFSET($AM$3,0,0,'Données projet'!$E$10+1,1))-AVERAGE(OFFSET($H$3,0,0,'Données projet'!$E$10+1,1))</f>
        <v>318.97291652986593</v>
      </c>
      <c r="AO63" s="59">
        <f t="shared" si="36"/>
        <v>338.19413170988122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16.20686958588556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1.2317188898802807E-3</v>
      </c>
      <c r="AX63" s="21">
        <f t="shared" si="6"/>
        <v>16.20810130477544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301</v>
      </c>
      <c r="BB63" s="12">
        <f>VLOOKUP(A63,'Données projet'!$A$87:$I$107,9,0)</f>
        <v>9.8000000000000007</v>
      </c>
      <c r="BC63" s="12">
        <f t="array" ref="BC63">INDEX(BB:BB,MIN(IF(ISNUMBER(BB63:BB259),ROW(BB63:BB259),"")))</f>
        <v>9.8000000000000007</v>
      </c>
      <c r="BD63" s="12">
        <f>IF('Données projet'!$A$88&gt;35,BD62+BC63-BL62,IF(A63&lt;'Données projet'!$A$88,$BA$205^A63,IF(A63='Données projet'!$A$88,'Données projet'!$B$88,BD62+BC63-BL62)))</f>
        <v>301</v>
      </c>
      <c r="BE63" s="13">
        <f>BD63*VLOOKUP('Données projet'!$B$11,Paramètres!$A$1:$I$89,3,0)*VLOOKUP('Données projet'!$B$11,Paramètres!$A$1:$I$89,5,0)</f>
        <v>253.56240000000005</v>
      </c>
      <c r="BF63" s="13">
        <f t="shared" si="37"/>
        <v>61.348145886656177</v>
      </c>
      <c r="BG63" s="20">
        <f t="shared" si="7"/>
        <v>548.46920075259288</v>
      </c>
      <c r="BH63" s="59">
        <f t="shared" si="8"/>
        <v>841.80253408592625</v>
      </c>
      <c r="BI63" s="59">
        <f ca="1">AVERAGE(OFFSET($BH$3,0,0,'Données projet'!$E$11+1,1))-AVERAGE(OFFSET($H$3,0,0,'Données projet'!$E$11+1,1))</f>
        <v>476.64466005965136</v>
      </c>
      <c r="BJ63" s="59">
        <f t="shared" si="38"/>
        <v>312.67921212138998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56</v>
      </c>
      <c r="BM63" s="16">
        <f>IF(ISNA(VLOOKUP(A63,'Données projet'!$A$87:$I$107,5,0)),0%,VLOOKUP(A63,'Données projet'!$A$87:$I$107,5,0)*VLOOKUP('Données projet'!$B$11,Paramètres!$A$1:$I$89,7,0))</f>
        <v>0.36549999999999999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34.697028374578743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34.697028374578743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163</v>
      </c>
      <c r="BW63" s="12">
        <f>VLOOKUP(A63,'Données projet'!$A$113:$I$133,9,0)</f>
        <v>5.6</v>
      </c>
      <c r="BX63" s="12">
        <f t="array" ref="BX63">INDEX(BW:BW,MIN(IF(ISNUMBER(BW63:BW259),ROW(BW63:BW259),"")))</f>
        <v>5.6</v>
      </c>
      <c r="BY63" s="12">
        <f>IF('Données projet'!$A$114&gt;35,BY62+BX63-CG62,IF(A63&lt;'Données projet'!$A$114,$BV$205^A63,IF(A63='Données projet'!$A$114,'Données projet'!$B$114,BY62+BX63-CG62)))</f>
        <v>162.99999999999991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4</v>
      </c>
      <c r="CG63" s="15">
        <f>IF(ISNA(VLOOKUP(A63,'Données projet'!$A$113:$I$133,4,0)),0,VLOOKUP(A63,'Données projet'!$A$113:$I$133,4,0))</f>
        <v>28</v>
      </c>
      <c r="CH63" s="16" t="e">
        <f>IF(ISNA(VLOOKUP(A63,'Données projet'!$A$113:$I$133,5,0)),0%,VLOOKUP(A63,'Données projet'!$A$113:$I$133,5,0)*VLOOKUP('Données projet'!$B$12,Paramètres!$A$1:$I$89,7,0))</f>
        <v>#N/A</v>
      </c>
      <c r="CI63" s="16" t="e">
        <f>IF(ISNA(VLOOKUP(A63,'Données projet'!$A$113:$I$133,6,0)),0%,VLOOKUP(A63,'Données projet'!$A$113:$I$133,6,0)*VLOOKUP('Données projet'!$B$12,Paramètres!$A$1:$I$89,7,0))</f>
        <v>#N/A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318.97291652986593</v>
      </c>
      <c r="T64" s="59">
        <f t="shared" si="34"/>
        <v>338.19413170988122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3.0375000000000085</v>
      </c>
      <c r="AI64" s="13">
        <f>IF('Données projet'!$A$62&gt;35,AI63+AH64-AQ63,IF(A64&lt;'Données projet'!$A$62,$AF$205^A64,IF(A64='Données projet'!$A$62,'Données projet'!$B$62,AI63+AH64-AQ63)))</f>
        <v>406.96250000000049</v>
      </c>
      <c r="AJ64" s="13">
        <f>AI64*VLOOKUP('Données projet'!$B$10,Paramètres!$A$1:$I$89,3,0)*VLOOKUP('Données projet'!$B$10,Paramètres!$A$1:$I$89,5,0)</f>
        <v>243.36357500000031</v>
      </c>
      <c r="AK64" s="13">
        <f t="shared" si="35"/>
        <v>59.162632795092129</v>
      </c>
      <c r="AL64" s="20">
        <f t="shared" si="4"/>
        <v>526.89981190978597</v>
      </c>
      <c r="AM64" s="59">
        <f t="shared" si="5"/>
        <v>820.23314524311922</v>
      </c>
      <c r="AN64" s="59">
        <f ca="1">AVERAGE(OFFSET($AM$3,0,0,'Données projet'!$E$10+1,1))-AVERAGE(OFFSET($H$3,0,0,'Données projet'!$E$10+1,1))</f>
        <v>318.97291652986593</v>
      </c>
      <c r="AO64" s="59">
        <f t="shared" si="36"/>
        <v>338.19413170988122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15.889062758520707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8.7095677954991289E-4</v>
      </c>
      <c r="AX64" s="21">
        <f t="shared" si="6"/>
        <v>15.889933715300257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</v>
      </c>
      <c r="BD64" s="12">
        <f>IF('Données projet'!$A$88&gt;35,BD63+BC64-BL63,IF(A64&lt;'Données projet'!$A$88,$BA$205^A64,IF(A64='Données projet'!$A$88,'Données projet'!$B$88,BD63+BC64-BL63)))</f>
        <v>253.5</v>
      </c>
      <c r="BE64" s="13">
        <f>BD64*VLOOKUP('Données projet'!$B$11,Paramètres!$A$1:$I$89,3,0)*VLOOKUP('Données projet'!$B$11,Paramètres!$A$1:$I$89,5,0)</f>
        <v>213.54840000000004</v>
      </c>
      <c r="BF64" s="13">
        <f t="shared" si="37"/>
        <v>52.710242573823848</v>
      </c>
      <c r="BG64" s="20">
        <f t="shared" si="7"/>
        <v>463.73380248274316</v>
      </c>
      <c r="BH64" s="59">
        <f t="shared" si="8"/>
        <v>757.06713581607642</v>
      </c>
      <c r="BI64" s="59">
        <f ca="1">AVERAGE(OFFSET($BH$3,0,0,'Données projet'!$E$11+1,1))-AVERAGE(OFFSET($H$3,0,0,'Données projet'!$E$11+1,1))</f>
        <v>476.64466005965136</v>
      </c>
      <c r="BJ64" s="59">
        <f t="shared" si="38"/>
        <v>312.67921212138998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34.01664081125088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34.01664081125088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140.1999999999999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318.97291652986593</v>
      </c>
      <c r="T65" s="59">
        <f t="shared" si="34"/>
        <v>338.19413170988122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410.00000000000006</v>
      </c>
      <c r="AG65" s="12">
        <f>VLOOKUP(A65,'Données projet'!$A$61:$I$81,9,0)</f>
        <v>3.0375000000000085</v>
      </c>
      <c r="AH65" s="12">
        <f t="array" ref="AH65">INDEX(AG:AG,MIN(IF(ISNUMBER(AG65:AG261),ROW(AG65:AG261),"")))</f>
        <v>3.0375000000000085</v>
      </c>
      <c r="AI65" s="13">
        <f>IF('Données projet'!$A$62&gt;35,AI64+AH65-AQ64,IF(A65&lt;'Données projet'!$A$62,$AF$205^A65,IF(A65='Données projet'!$A$62,'Données projet'!$B$62,AI64+AH65-AQ64)))</f>
        <v>410.00000000000051</v>
      </c>
      <c r="AJ65" s="13">
        <f>AI65*VLOOKUP('Données projet'!$B$10,Paramètres!$A$1:$I$89,3,0)*VLOOKUP('Données projet'!$B$10,Paramètres!$A$1:$I$89,5,0)</f>
        <v>245.18000000000032</v>
      </c>
      <c r="AK65" s="13">
        <f t="shared" si="35"/>
        <v>59.552643851821543</v>
      </c>
      <c r="AL65" s="20">
        <f t="shared" si="4"/>
        <v>530.74268804192309</v>
      </c>
      <c r="AM65" s="59">
        <f t="shared" si="5"/>
        <v>824.07602137525646</v>
      </c>
      <c r="AN65" s="59">
        <f ca="1">AVERAGE(OFFSET($AM$3,0,0,'Données projet'!$E$10+1,1))-AVERAGE(OFFSET($H$3,0,0,'Données projet'!$E$10+1,1))</f>
        <v>318.97291652986593</v>
      </c>
      <c r="AO65" s="59">
        <f t="shared" si="36"/>
        <v>338.19413170988122</v>
      </c>
      <c r="AP65" s="15">
        <f>IF(ISNA(VLOOKUP(A65,'Données projet'!$A$61:$I$81,3,0)),0,VLOOKUP(A65,'Données projet'!$A$61:$I$81,3,0))</f>
        <v>10</v>
      </c>
      <c r="AQ65" s="15">
        <f>IF(ISNA(VLOOKUP(A65,'Données projet'!$A$61:$I$81,4,0)),0,VLOOKUP(A65,'Données projet'!$A$61:$I$81,4,0))</f>
        <v>410.00000000000006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15.577487929197455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6.1585944494014036E-4</v>
      </c>
      <c r="AX65" s="21">
        <f t="shared" si="6"/>
        <v>15.578103788642395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</v>
      </c>
      <c r="BD65" s="12">
        <f>IF('Données projet'!$A$88&gt;35,BD64+BC65-BL64,IF(A65&lt;'Données projet'!$A$88,$BA$205^A65,IF(A65='Données projet'!$A$88,'Données projet'!$B$88,BD64+BC65-BL64)))</f>
        <v>262</v>
      </c>
      <c r="BE65" s="13">
        <f>BD65*VLOOKUP('Données projet'!$B$11,Paramètres!$A$1:$I$89,3,0)*VLOOKUP('Données projet'!$B$11,Paramètres!$A$1:$I$89,5,0)</f>
        <v>220.70880000000002</v>
      </c>
      <c r="BF65" s="13">
        <f t="shared" si="37"/>
        <v>54.268911046456566</v>
      </c>
      <c r="BG65" s="20">
        <f t="shared" si="7"/>
        <v>478.91951340591186</v>
      </c>
      <c r="BH65" s="59">
        <f t="shared" si="8"/>
        <v>772.25284673924511</v>
      </c>
      <c r="BI65" s="59">
        <f ca="1">AVERAGE(OFFSET($BH$3,0,0,'Données projet'!$E$11+1,1))-AVERAGE(OFFSET($H$3,0,0,'Données projet'!$E$11+1,1))</f>
        <v>476.64466005965136</v>
      </c>
      <c r="BJ65" s="59">
        <f t="shared" si="38"/>
        <v>312.67921212138998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33.34959523304444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33.34959523304444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145.39999999999989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318.97291652986593</v>
      </c>
      <c r="T66" s="59">
        <f t="shared" si="34"/>
        <v>338.19413170988122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4.5474735088646412E-13</v>
      </c>
      <c r="AJ66" s="13">
        <f>AI66*VLOOKUP('Données projet'!$B$10,Paramètres!$A$1:$I$89,3,0)*VLOOKUP('Données projet'!$B$10,Paramètres!$A$1:$I$89,5,0)</f>
        <v>2.7193891583010558E-13</v>
      </c>
      <c r="AK66" s="13">
        <f t="shared" si="35"/>
        <v>3.6362267729089988E-12</v>
      </c>
      <c r="AL66" s="20">
        <f t="shared" si="4"/>
        <v>6.8067219078872727E-12</v>
      </c>
      <c r="AM66" s="59">
        <f t="shared" si="5"/>
        <v>293.33333333334014</v>
      </c>
      <c r="AN66" s="59">
        <f ca="1">AVERAGE(OFFSET($AM$3,0,0,'Données projet'!$E$10+1,1))-AVERAGE(OFFSET($H$3,0,0,'Données projet'!$E$10+1,1))</f>
        <v>318.97291652986593</v>
      </c>
      <c r="AO66" s="59">
        <f t="shared" si="36"/>
        <v>338.19413170988122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15.27202289223535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4.3547838977495644E-4</v>
      </c>
      <c r="AX66" s="21">
        <f t="shared" si="6"/>
        <v>15.272458370625126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</v>
      </c>
      <c r="BD66" s="12">
        <f>IF('Données projet'!$A$88&gt;35,BD65+BC66-BL65,IF(A66&lt;'Données projet'!$A$88,$BA$205^A66,IF(A66='Données projet'!$A$88,'Données projet'!$B$88,BD65+BC66-BL65)))</f>
        <v>270.5</v>
      </c>
      <c r="BE66" s="13">
        <f>BD66*VLOOKUP('Données projet'!$B$11,Paramètres!$A$1:$I$89,3,0)*VLOOKUP('Données projet'!$B$11,Paramètres!$A$1:$I$89,5,0)</f>
        <v>227.86920000000003</v>
      </c>
      <c r="BF66" s="13">
        <f t="shared" si="37"/>
        <v>55.82170347430052</v>
      </c>
      <c r="BG66" s="20">
        <f t="shared" si="7"/>
        <v>494.09499021774013</v>
      </c>
      <c r="BH66" s="59">
        <f t="shared" si="8"/>
        <v>787.42832355107339</v>
      </c>
      <c r="BI66" s="59">
        <f ca="1">AVERAGE(OFFSET($BH$3,0,0,'Données projet'!$E$11+1,1))-AVERAGE(OFFSET($H$3,0,0,'Données projet'!$E$11+1,1))</f>
        <v>476.64466005965136</v>
      </c>
      <c r="BJ66" s="59">
        <f t="shared" si="38"/>
        <v>312.67921212138998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32.695630011768998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32.695630011768998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150.59999999999988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318.97291652986593</v>
      </c>
      <c r="T67" s="59">
        <f t="shared" si="34"/>
        <v>338.19413170988122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4.5474735088646412E-13</v>
      </c>
      <c r="AJ67" s="13">
        <f>AI67*VLOOKUP('Données projet'!$B$10,Paramètres!$A$1:$I$89,3,0)*VLOOKUP('Données projet'!$B$10,Paramètres!$A$1:$I$89,5,0)</f>
        <v>2.7193891583010558E-13</v>
      </c>
      <c r="AK67" s="13">
        <f t="shared" si="35"/>
        <v>3.6362267729089988E-12</v>
      </c>
      <c r="AL67" s="20">
        <f t="shared" si="4"/>
        <v>6.8067219078872727E-12</v>
      </c>
      <c r="AM67" s="59">
        <f t="shared" si="5"/>
        <v>293.33333333334014</v>
      </c>
      <c r="AN67" s="59">
        <f ca="1">AVERAGE(OFFSET($AM$3,0,0,'Données projet'!$E$10+1,1))-AVERAGE(OFFSET($H$3,0,0,'Données projet'!$E$10+1,1))</f>
        <v>318.97291652986593</v>
      </c>
      <c r="AO67" s="59">
        <f t="shared" si="36"/>
        <v>338.19413170988122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14.972547838332797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3.0792972247007018E-4</v>
      </c>
      <c r="AX67" s="21">
        <f t="shared" si="6"/>
        <v>14.972855768055268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</v>
      </c>
      <c r="BD67" s="12">
        <f>IF('Données projet'!$A$88&gt;35,BD66+BC67-BL66,IF(A67&lt;'Données projet'!$A$88,$BA$205^A67,IF(A67='Données projet'!$A$88,'Données projet'!$B$88,BD66+BC67-BL66)))</f>
        <v>279</v>
      </c>
      <c r="BE67" s="13">
        <f>BD67*VLOOKUP('Données projet'!$B$11,Paramètres!$A$1:$I$89,3,0)*VLOOKUP('Données projet'!$B$11,Paramètres!$A$1:$I$89,5,0)</f>
        <v>235.02960000000002</v>
      </c>
      <c r="BF67" s="13">
        <f t="shared" si="37"/>
        <v>57.368825686861157</v>
      </c>
      <c r="BG67" s="20">
        <f t="shared" si="7"/>
        <v>509.26059140461649</v>
      </c>
      <c r="BH67" s="59">
        <f t="shared" si="8"/>
        <v>802.59392473794981</v>
      </c>
      <c r="BI67" s="59">
        <f ca="1">AVERAGE(OFFSET($BH$3,0,0,'Données projet'!$E$11+1,1))-AVERAGE(OFFSET($H$3,0,0,'Données projet'!$E$11+1,1))</f>
        <v>476.64466005965136</v>
      </c>
      <c r="BJ67" s="59">
        <f t="shared" si="38"/>
        <v>312.67921212138998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32.054488649603371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32.054488649603371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155.79999999999987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318.97291652986593</v>
      </c>
      <c r="T68" s="59">
        <f t="shared" si="34"/>
        <v>338.19413170988122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4.5474735088646412E-13</v>
      </c>
      <c r="AJ68" s="13">
        <f>AI68*VLOOKUP('Données projet'!$B$10,Paramètres!$A$1:$I$89,3,0)*VLOOKUP('Données projet'!$B$10,Paramètres!$A$1:$I$89,5,0)</f>
        <v>2.7193891583010558E-13</v>
      </c>
      <c r="AK68" s="13">
        <f t="shared" si="35"/>
        <v>3.6362267729089988E-12</v>
      </c>
      <c r="AL68" s="20">
        <f t="shared" ref="AL68:AL131" si="58">(AJ68+AK68)*0.475*44/12</f>
        <v>6.8067219078872727E-12</v>
      </c>
      <c r="AM68" s="59">
        <f t="shared" ref="AM68:AM131" si="59">AL68+(AD68+AE68)*44/12</f>
        <v>293.33333333334014</v>
      </c>
      <c r="AN68" s="59">
        <f ca="1">AVERAGE(OFFSET($AM$3,0,0,'Données projet'!$E$10+1,1))-AVERAGE(OFFSET($H$3,0,0,'Données projet'!$E$10+1,1))</f>
        <v>318.97291652986593</v>
      </c>
      <c r="AO68" s="59">
        <f t="shared" si="36"/>
        <v>338.19413170988122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14.678945307575528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2.1773919488747822E-4</v>
      </c>
      <c r="AX68" s="21">
        <f t="shared" ref="AX68:AX131" si="60">SUM(AU68:AW68)</f>
        <v>14.679163046770416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</v>
      </c>
      <c r="BD68" s="12">
        <f>IF('Données projet'!$A$88&gt;35,BD67+BC68-BL67,IF(A68&lt;'Données projet'!$A$88,$BA$205^A68,IF(A68='Données projet'!$A$88,'Données projet'!$B$88,BD67+BC68-BL67)))</f>
        <v>287.5</v>
      </c>
      <c r="BE68" s="13">
        <f>BD68*VLOOKUP('Données projet'!$B$11,Paramètres!$A$1:$I$89,3,0)*VLOOKUP('Données projet'!$B$11,Paramètres!$A$1:$I$89,5,0)</f>
        <v>242.19</v>
      </c>
      <c r="BF68" s="13">
        <f t="shared" si="37"/>
        <v>58.910470259429353</v>
      </c>
      <c r="BG68" s="20">
        <f t="shared" ref="BG68:BG131" si="61">(BE68+BF68)*0.475*44/12</f>
        <v>524.41665236850611</v>
      </c>
      <c r="BH68" s="59">
        <f t="shared" ref="BH68:BH131" si="62">BG68+(AY68+AZ68)*44/12</f>
        <v>817.74998570183948</v>
      </c>
      <c r="BI68" s="59">
        <f ca="1">AVERAGE(OFFSET($BH$3,0,0,'Données projet'!$E$11+1,1))-AVERAGE(OFFSET($H$3,0,0,'Données projet'!$E$11+1,1))</f>
        <v>476.64466005965136</v>
      </c>
      <c r="BJ68" s="59">
        <f t="shared" si="38"/>
        <v>312.67921212138998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31.425919678492193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31.425919678492193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160.99999999999986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318.97291652986593</v>
      </c>
      <c r="T69" s="59">
        <f t="shared" ref="T69:T132" si="88">$T$3</f>
        <v>338.19413170988122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4.5474735088646412E-13</v>
      </c>
      <c r="AJ69" s="13">
        <f>AI69*VLOOKUP('Données projet'!$B$10,Paramètres!$A$1:$I$89,3,0)*VLOOKUP('Données projet'!$B$10,Paramètres!$A$1:$I$89,5,0)</f>
        <v>2.7193891583010558E-13</v>
      </c>
      <c r="AK69" s="13">
        <f t="shared" ref="AK69:AK132" si="89">EXP(-1.0587+0.8836*LN(AJ69)+0.284)</f>
        <v>3.6362267729089988E-12</v>
      </c>
      <c r="AL69" s="20">
        <f t="shared" si="58"/>
        <v>6.8067219078872727E-12</v>
      </c>
      <c r="AM69" s="59">
        <f t="shared" si="59"/>
        <v>293.33333333334014</v>
      </c>
      <c r="AN69" s="59">
        <f ca="1">AVERAGE(OFFSET($AM$3,0,0,'Données projet'!$E$10+1,1))-AVERAGE(OFFSET($H$3,0,0,'Données projet'!$E$10+1,1))</f>
        <v>318.97291652986593</v>
      </c>
      <c r="AO69" s="59">
        <f t="shared" ref="AO69:AO132" si="90">$AO$3</f>
        <v>338.19413170988122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14.391100143366547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1.5396486123503509E-4</v>
      </c>
      <c r="AX69" s="21">
        <f t="shared" si="60"/>
        <v>14.391254108227782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</v>
      </c>
      <c r="BD69" s="12">
        <f>IF('Données projet'!$A$88&gt;35,BD68+BC69-BL68,IF(A69&lt;'Données projet'!$A$88,$BA$205^A69,IF(A69='Données projet'!$A$88,'Données projet'!$B$88,BD68+BC69-BL68)))</f>
        <v>296</v>
      </c>
      <c r="BE69" s="13">
        <f>BD69*VLOOKUP('Données projet'!$B$11,Paramètres!$A$1:$I$89,3,0)*VLOOKUP('Données projet'!$B$11,Paramètres!$A$1:$I$89,5,0)</f>
        <v>249.35040000000001</v>
      </c>
      <c r="BF69" s="13">
        <f t="shared" ref="BF69:BF132" si="91">EXP(-1.0587+0.8836*LN(BE69)+0.284)</f>
        <v>60.446817732908166</v>
      </c>
      <c r="BG69" s="20">
        <f t="shared" si="61"/>
        <v>539.56348755148167</v>
      </c>
      <c r="BH69" s="59">
        <f t="shared" si="62"/>
        <v>832.89682088481504</v>
      </c>
      <c r="BI69" s="59">
        <f ca="1">AVERAGE(OFFSET($BH$3,0,0,'Données projet'!$E$11+1,1))-AVERAGE(OFFSET($H$3,0,0,'Données projet'!$E$11+1,1))</f>
        <v>476.64466005965136</v>
      </c>
      <c r="BJ69" s="59">
        <f t="shared" ref="BJ69:BJ132" si="92">$BJ$3</f>
        <v>312.67921212138998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30.809676561515289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30.809676561515289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166.19999999999985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318.97291652986593</v>
      </c>
      <c r="T70" s="59">
        <f t="shared" si="88"/>
        <v>338.19413170988122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4.5474735088646412E-13</v>
      </c>
      <c r="AJ70" s="13">
        <f>AI70*VLOOKUP('Données projet'!$B$10,Paramètres!$A$1:$I$89,3,0)*VLOOKUP('Données projet'!$B$10,Paramètres!$A$1:$I$89,5,0)</f>
        <v>2.7193891583010558E-13</v>
      </c>
      <c r="AK70" s="13">
        <f t="shared" si="89"/>
        <v>3.6362267729089988E-12</v>
      </c>
      <c r="AL70" s="20">
        <f t="shared" si="58"/>
        <v>6.8067219078872727E-12</v>
      </c>
      <c r="AM70" s="59">
        <f t="shared" si="59"/>
        <v>293.33333333334014</v>
      </c>
      <c r="AN70" s="59">
        <f ca="1">AVERAGE(OFFSET($AM$3,0,0,'Données projet'!$E$10+1,1))-AVERAGE(OFFSET($H$3,0,0,'Données projet'!$E$10+1,1))</f>
        <v>318.97291652986593</v>
      </c>
      <c r="AO70" s="59">
        <f t="shared" si="90"/>
        <v>338.19413170988122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14.108899447259491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1.0886959744373911E-4</v>
      </c>
      <c r="AX70" s="21">
        <f t="shared" si="60"/>
        <v>14.109008316856935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8.5</v>
      </c>
      <c r="BD70" s="12">
        <f>IF('Données projet'!$A$88&gt;35,BD69+BC70-BL69,IF(A70&lt;'Données projet'!$A$88,$BA$205^A70,IF(A70='Données projet'!$A$88,'Données projet'!$B$88,BD69+BC70-BL69)))</f>
        <v>304.5</v>
      </c>
      <c r="BE70" s="13">
        <f>BD70*VLOOKUP('Données projet'!$B$11,Paramètres!$A$1:$I$89,3,0)*VLOOKUP('Données projet'!$B$11,Paramètres!$A$1:$I$89,5,0)</f>
        <v>256.51080000000002</v>
      </c>
      <c r="BF70" s="13">
        <f t="shared" si="91"/>
        <v>61.978037689587161</v>
      </c>
      <c r="BG70" s="20">
        <f t="shared" si="61"/>
        <v>554.70139230936422</v>
      </c>
      <c r="BH70" s="59">
        <f t="shared" si="62"/>
        <v>848.03472564269759</v>
      </c>
      <c r="BI70" s="59">
        <f ca="1">AVERAGE(OFFSET($BH$3,0,0,'Données projet'!$E$11+1,1))-AVERAGE(OFFSET($H$3,0,0,'Données projet'!$E$11+1,1))</f>
        <v>476.64466005965136</v>
      </c>
      <c r="BJ70" s="59">
        <f t="shared" si="92"/>
        <v>312.67921212138998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30.205517596191115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30.205517596191115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171.39999999999984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318.97291652986593</v>
      </c>
      <c r="T71" s="59">
        <f t="shared" si="88"/>
        <v>338.19413170988122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4.5474735088646412E-13</v>
      </c>
      <c r="AJ71" s="13">
        <f>AI71*VLOOKUP('Données projet'!$B$10,Paramètres!$A$1:$I$89,3,0)*VLOOKUP('Données projet'!$B$10,Paramètres!$A$1:$I$89,5,0)</f>
        <v>2.7193891583010558E-13</v>
      </c>
      <c r="AK71" s="13">
        <f t="shared" si="89"/>
        <v>3.6362267729089988E-12</v>
      </c>
      <c r="AL71" s="20">
        <f t="shared" si="58"/>
        <v>6.8067219078872727E-12</v>
      </c>
      <c r="AM71" s="59">
        <f t="shared" si="59"/>
        <v>293.33333333334014</v>
      </c>
      <c r="AN71" s="59">
        <f ca="1">AVERAGE(OFFSET($AM$3,0,0,'Données projet'!$E$10+1,1))-AVERAGE(OFFSET($H$3,0,0,'Données projet'!$E$10+1,1))</f>
        <v>318.97291652986593</v>
      </c>
      <c r="AO71" s="59">
        <f t="shared" si="90"/>
        <v>338.19413170988122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13.832232534677665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7.6982430617517544E-5</v>
      </c>
      <c r="AX71" s="21">
        <f t="shared" si="60"/>
        <v>13.832309517108282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8.5</v>
      </c>
      <c r="BD71" s="12">
        <f>IF('Données projet'!$A$88&gt;35,BD70+BC71-BL70,IF(A71&lt;'Données projet'!$A$88,$BA$205^A71,IF(A71='Données projet'!$A$88,'Données projet'!$B$88,BD70+BC71-BL70)))</f>
        <v>313</v>
      </c>
      <c r="BE71" s="13">
        <f>BD71*VLOOKUP('Données projet'!$B$11,Paramètres!$A$1:$I$89,3,0)*VLOOKUP('Données projet'!$B$11,Paramètres!$A$1:$I$89,5,0)</f>
        <v>263.6712</v>
      </c>
      <c r="BF71" s="13">
        <f t="shared" si="91"/>
        <v>63.504289705419772</v>
      </c>
      <c r="BG71" s="20">
        <f t="shared" si="61"/>
        <v>569.83064457027274</v>
      </c>
      <c r="BH71" s="59">
        <f t="shared" si="62"/>
        <v>863.16397790360611</v>
      </c>
      <c r="BI71" s="59">
        <f ca="1">AVERAGE(OFFSET($BH$3,0,0,'Données projet'!$E$11+1,1))-AVERAGE(OFFSET($H$3,0,0,'Données projet'!$E$11+1,1))</f>
        <v>476.64466005965136</v>
      </c>
      <c r="BJ71" s="59">
        <f t="shared" si="92"/>
        <v>312.67921212138998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29.613205819676367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29.613205819676367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176.59999999999982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318.97291652986593</v>
      </c>
      <c r="T72" s="59">
        <f t="shared" si="88"/>
        <v>338.19413170988122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4.5474735088646412E-13</v>
      </c>
      <c r="AJ72" s="13">
        <f>AI72*VLOOKUP('Données projet'!$B$10,Paramètres!$A$1:$I$89,3,0)*VLOOKUP('Données projet'!$B$10,Paramètres!$A$1:$I$89,5,0)</f>
        <v>2.7193891583010558E-13</v>
      </c>
      <c r="AK72" s="13">
        <f t="shared" si="89"/>
        <v>3.6362267729089988E-12</v>
      </c>
      <c r="AL72" s="20">
        <f t="shared" si="58"/>
        <v>6.8067219078872727E-12</v>
      </c>
      <c r="AM72" s="59">
        <f t="shared" si="59"/>
        <v>293.33333333334014</v>
      </c>
      <c r="AN72" s="59">
        <f ca="1">AVERAGE(OFFSET($AM$3,0,0,'Données projet'!$E$10+1,1))-AVERAGE(OFFSET($H$3,0,0,'Données projet'!$E$10+1,1))</f>
        <v>318.97291652986593</v>
      </c>
      <c r="AO72" s="59">
        <f t="shared" si="90"/>
        <v>338.19413170988122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13.560990891501415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5.4434798721869556E-5</v>
      </c>
      <c r="AX72" s="21">
        <f t="shared" si="60"/>
        <v>13.561045326300137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8.5</v>
      </c>
      <c r="BD72" s="12">
        <f>IF('Données projet'!$A$88&gt;35,BD71+BC72-BL71,IF(A72&lt;'Données projet'!$A$88,$BA$205^A72,IF(A72='Données projet'!$A$88,'Données projet'!$B$88,BD71+BC72-BL71)))</f>
        <v>321.5</v>
      </c>
      <c r="BE72" s="13">
        <f>BD72*VLOOKUP('Données projet'!$B$11,Paramètres!$A$1:$I$89,3,0)*VLOOKUP('Données projet'!$B$11,Paramètres!$A$1:$I$89,5,0)</f>
        <v>270.83160000000004</v>
      </c>
      <c r="BF72" s="13">
        <f t="shared" si="91"/>
        <v>65.025724195950417</v>
      </c>
      <c r="BG72" s="20">
        <f t="shared" si="61"/>
        <v>584.95150630794706</v>
      </c>
      <c r="BH72" s="59">
        <f t="shared" si="62"/>
        <v>878.28483964128031</v>
      </c>
      <c r="BI72" s="59">
        <f ca="1">AVERAGE(OFFSET($BH$3,0,0,'Données projet'!$E$11+1,1))-AVERAGE(OFFSET($H$3,0,0,'Données projet'!$E$11+1,1))</f>
        <v>476.64466005965136</v>
      </c>
      <c r="BJ72" s="59">
        <f t="shared" si="92"/>
        <v>312.67921212138998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29.032508915824561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29.032508915824561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181.79999999999981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318.97291652986593</v>
      </c>
      <c r="T73" s="59">
        <f t="shared" si="88"/>
        <v>338.19413170988122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4.5474735088646412E-13</v>
      </c>
      <c r="AJ73" s="13">
        <f>AI73*VLOOKUP('Données projet'!$B$10,Paramètres!$A$1:$I$89,3,0)*VLOOKUP('Données projet'!$B$10,Paramètres!$A$1:$I$89,5,0)</f>
        <v>2.7193891583010558E-13</v>
      </c>
      <c r="AK73" s="13">
        <f t="shared" si="89"/>
        <v>3.6362267729089988E-12</v>
      </c>
      <c r="AL73" s="20">
        <f t="shared" si="58"/>
        <v>6.8067219078872727E-12</v>
      </c>
      <c r="AM73" s="59">
        <f t="shared" si="59"/>
        <v>293.33333333334014</v>
      </c>
      <c r="AN73" s="59">
        <f ca="1">AVERAGE(OFFSET($AM$3,0,0,'Données projet'!$E$10+1,1))-AVERAGE(OFFSET($H$3,0,0,'Données projet'!$E$10+1,1))</f>
        <v>318.97291652986593</v>
      </c>
      <c r="AO73" s="59">
        <f t="shared" si="90"/>
        <v>338.19413170988122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13.295068131506785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3.8491215308758772E-5</v>
      </c>
      <c r="AX73" s="21">
        <f t="shared" si="60"/>
        <v>13.295106622722093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330</v>
      </c>
      <c r="BB73" s="12">
        <f>VLOOKUP(A73,'Données projet'!$A$87:$I$107,9,0)</f>
        <v>8.5</v>
      </c>
      <c r="BC73" s="12">
        <f t="array" ref="BC73">INDEX(BB:BB,MIN(IF(ISNUMBER(BB73:BB269),ROW(BB73:BB269),"")))</f>
        <v>8.5</v>
      </c>
      <c r="BD73" s="12">
        <f>IF('Données projet'!$A$88&gt;35,BD72+BC73-BL72,IF(A73&lt;'Données projet'!$A$88,$BA$205^A73,IF(A73='Données projet'!$A$88,'Données projet'!$B$88,BD72+BC73-BL72)))</f>
        <v>330</v>
      </c>
      <c r="BE73" s="13">
        <f>BD73*VLOOKUP('Données projet'!$B$11,Paramètres!$A$1:$I$89,3,0)*VLOOKUP('Données projet'!$B$11,Paramètres!$A$1:$I$89,5,0)</f>
        <v>277.99200000000002</v>
      </c>
      <c r="BF73" s="13">
        <f t="shared" si="91"/>
        <v>66.542483170264177</v>
      </c>
      <c r="BG73" s="20">
        <f t="shared" si="61"/>
        <v>600.06422485487678</v>
      </c>
      <c r="BH73" s="59">
        <f t="shared" si="62"/>
        <v>893.39755818821004</v>
      </c>
      <c r="BI73" s="59">
        <f ca="1">AVERAGE(OFFSET($BH$3,0,0,'Données projet'!$E$11+1,1))-AVERAGE(OFFSET($H$3,0,0,'Données projet'!$E$11+1,1))</f>
        <v>476.64466005965136</v>
      </c>
      <c r="BJ73" s="59">
        <f t="shared" si="92"/>
        <v>312.67921212138998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56</v>
      </c>
      <c r="BM73" s="16">
        <f>IF(ISNA(VLOOKUP(A73,'Données projet'!$A$87:$I$107,5,0)),0%,VLOOKUP(A73,'Données projet'!$A$87:$I$107,5,0)*VLOOKUP('Données projet'!$B$11,Paramètres!$A$1:$I$89,7,0))</f>
        <v>0.36549999999999999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47.523988258370579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47.523988258370579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187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186.9999999999998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5</v>
      </c>
      <c r="CG73" s="15">
        <f>IF(ISNA(VLOOKUP(A73,'Données projet'!$A$113:$I$133,4,0)),0,VLOOKUP(A73,'Données projet'!$A$113:$I$133,4,0))</f>
        <v>28</v>
      </c>
      <c r="CH73" s="16" t="e">
        <f>IF(ISNA(VLOOKUP(A73,'Données projet'!$A$113:$I$133,5,0)),0%,VLOOKUP(A73,'Données projet'!$A$113:$I$133,5,0)*VLOOKUP('Données projet'!$B$12,Paramètres!$A$1:$I$89,7,0))</f>
        <v>#N/A</v>
      </c>
      <c r="CI73" s="16" t="e">
        <f>IF(ISNA(VLOOKUP(A73,'Données projet'!$A$113:$I$133,6,0)),0%,VLOOKUP(A73,'Données projet'!$A$113:$I$133,6,0)*VLOOKUP('Données projet'!$B$12,Paramètres!$A$1:$I$89,7,0))</f>
        <v>#N/A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318.97291652986593</v>
      </c>
      <c r="T74" s="59">
        <f t="shared" si="88"/>
        <v>338.19413170988122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4.5474735088646412E-13</v>
      </c>
      <c r="AJ74" s="13">
        <f>AI74*VLOOKUP('Données projet'!$B$10,Paramètres!$A$1:$I$89,3,0)*VLOOKUP('Données projet'!$B$10,Paramètres!$A$1:$I$89,5,0)</f>
        <v>2.7193891583010558E-13</v>
      </c>
      <c r="AK74" s="13">
        <f t="shared" si="89"/>
        <v>3.6362267729089988E-12</v>
      </c>
      <c r="AL74" s="20">
        <f t="shared" si="58"/>
        <v>6.8067219078872727E-12</v>
      </c>
      <c r="AM74" s="59">
        <f t="shared" si="59"/>
        <v>293.33333333334014</v>
      </c>
      <c r="AN74" s="59">
        <f ca="1">AVERAGE(OFFSET($AM$3,0,0,'Données projet'!$E$10+1,1))-AVERAGE(OFFSET($H$3,0,0,'Données projet'!$E$10+1,1))</f>
        <v>318.97291652986593</v>
      </c>
      <c r="AO74" s="59">
        <f t="shared" si="90"/>
        <v>338.19413170988122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13.034359954638781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2.7217399360934778E-5</v>
      </c>
      <c r="AX74" s="21">
        <f t="shared" si="60"/>
        <v>13.034387172038141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7.4</v>
      </c>
      <c r="BD74" s="12">
        <f>IF('Données projet'!$A$88&gt;35,BD73+BC74-BL73,IF(A74&lt;'Données projet'!$A$88,$BA$205^A74,IF(A74='Données projet'!$A$88,'Données projet'!$B$88,BD73+BC74-BL73)))</f>
        <v>281.39999999999998</v>
      </c>
      <c r="BE74" s="13">
        <f>BD74*VLOOKUP('Données projet'!$B$11,Paramètres!$A$1:$I$89,3,0)*VLOOKUP('Données projet'!$B$11,Paramètres!$A$1:$I$89,5,0)</f>
        <v>237.05135999999999</v>
      </c>
      <c r="BF74" s="13">
        <f t="shared" si="91"/>
        <v>57.804660499743029</v>
      </c>
      <c r="BG74" s="20">
        <f t="shared" si="61"/>
        <v>513.54090237038565</v>
      </c>
      <c r="BH74" s="59">
        <f t="shared" si="62"/>
        <v>806.87423570371902</v>
      </c>
      <c r="BI74" s="59">
        <f ca="1">AVERAGE(OFFSET($BH$3,0,0,'Données projet'!$E$11+1,1))-AVERAGE(OFFSET($H$3,0,0,'Données projet'!$E$11+1,1))</f>
        <v>476.64466005965136</v>
      </c>
      <c r="BJ74" s="59">
        <f t="shared" si="92"/>
        <v>312.67921212138998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46.592071835394563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46.592071835394563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4.7</v>
      </c>
      <c r="BY74" s="12">
        <f>IF('Données projet'!$A$114&gt;35,BY73+BX74-CG73,IF(A74&lt;'Données projet'!$A$114,$BV$205^A74,IF(A74='Données projet'!$A$114,'Données projet'!$B$114,BY73+BX74-CG73)))</f>
        <v>163.69999999999979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318.97291652986593</v>
      </c>
      <c r="T75" s="59">
        <f t="shared" si="88"/>
        <v>338.19413170988122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4.5474735088646412E-13</v>
      </c>
      <c r="AJ75" s="13">
        <f>AI75*VLOOKUP('Données projet'!$B$10,Paramètres!$A$1:$I$89,3,0)*VLOOKUP('Données projet'!$B$10,Paramètres!$A$1:$I$89,5,0)</f>
        <v>2.7193891583010558E-13</v>
      </c>
      <c r="AK75" s="13">
        <f t="shared" si="89"/>
        <v>3.6362267729089988E-12</v>
      </c>
      <c r="AL75" s="20">
        <f t="shared" si="58"/>
        <v>6.8067219078872727E-12</v>
      </c>
      <c r="AM75" s="59">
        <f t="shared" si="59"/>
        <v>293.33333333334014</v>
      </c>
      <c r="AN75" s="59">
        <f ca="1">AVERAGE(OFFSET($AM$3,0,0,'Données projet'!$E$10+1,1))-AVERAGE(OFFSET($H$3,0,0,'Données projet'!$E$10+1,1))</f>
        <v>318.97291652986593</v>
      </c>
      <c r="AO75" s="59">
        <f t="shared" si="90"/>
        <v>338.19413170988122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12.778764106102871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1.9245607654379386E-5</v>
      </c>
      <c r="AX75" s="21">
        <f t="shared" si="60"/>
        <v>12.778783351710526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7.4</v>
      </c>
      <c r="BD75" s="12">
        <f>IF('Données projet'!$A$88&gt;35,BD74+BC75-BL74,IF(A75&lt;'Données projet'!$A$88,$BA$205^A75,IF(A75='Données projet'!$A$88,'Données projet'!$B$88,BD74+BC75-BL74)))</f>
        <v>288.79999999999995</v>
      </c>
      <c r="BE75" s="13">
        <f>BD75*VLOOKUP('Données projet'!$B$11,Paramètres!$A$1:$I$89,3,0)*VLOOKUP('Données projet'!$B$11,Paramètres!$A$1:$I$89,5,0)</f>
        <v>243.28512000000001</v>
      </c>
      <c r="BF75" s="13">
        <f t="shared" si="91"/>
        <v>59.145779826981617</v>
      </c>
      <c r="BG75" s="20">
        <f t="shared" si="61"/>
        <v>526.73381719865961</v>
      </c>
      <c r="BH75" s="59">
        <f t="shared" si="62"/>
        <v>820.06715053199287</v>
      </c>
      <c r="BI75" s="59">
        <f ca="1">AVERAGE(OFFSET($BH$3,0,0,'Données projet'!$E$11+1,1))-AVERAGE(OFFSET($H$3,0,0,'Données projet'!$E$11+1,1))</f>
        <v>476.64466005965136</v>
      </c>
      <c r="BJ75" s="59">
        <f t="shared" si="92"/>
        <v>312.67921212138998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45.678429725060212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45.678429725060212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4.7</v>
      </c>
      <c r="BY75" s="12">
        <f>IF('Données projet'!$A$114&gt;35,BY74+BX75-CG74,IF(A75&lt;'Données projet'!$A$114,$BV$205^A75,IF(A75='Données projet'!$A$114,'Données projet'!$B$114,BY74+BX75-CG74)))</f>
        <v>168.39999999999978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318.97291652986593</v>
      </c>
      <c r="T76" s="59">
        <f t="shared" si="88"/>
        <v>338.19413170988122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4.5474735088646412E-13</v>
      </c>
      <c r="AJ76" s="13">
        <f>AI76*VLOOKUP('Données projet'!$B$10,Paramètres!$A$1:$I$89,3,0)*VLOOKUP('Données projet'!$B$10,Paramètres!$A$1:$I$89,5,0)</f>
        <v>2.7193891583010558E-13</v>
      </c>
      <c r="AK76" s="13">
        <f t="shared" si="89"/>
        <v>3.6362267729089988E-12</v>
      </c>
      <c r="AL76" s="20">
        <f t="shared" si="58"/>
        <v>6.8067219078872727E-12</v>
      </c>
      <c r="AM76" s="59">
        <f t="shared" si="59"/>
        <v>293.33333333334014</v>
      </c>
      <c r="AN76" s="59">
        <f ca="1">AVERAGE(OFFSET($AM$3,0,0,'Données projet'!$E$10+1,1))-AVERAGE(OFFSET($H$3,0,0,'Données projet'!$E$10+1,1))</f>
        <v>318.97291652986593</v>
      </c>
      <c r="AO76" s="59">
        <f t="shared" si="90"/>
        <v>338.19413170988122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12.528180336258679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1.3608699680467389E-5</v>
      </c>
      <c r="AX76" s="21">
        <f t="shared" si="60"/>
        <v>12.528193944958359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7.4</v>
      </c>
      <c r="BD76" s="12">
        <f>IF('Données projet'!$A$88&gt;35,BD75+BC76-BL75,IF(A76&lt;'Données projet'!$A$88,$BA$205^A76,IF(A76='Données projet'!$A$88,'Données projet'!$B$88,BD75+BC76-BL75)))</f>
        <v>296.19999999999993</v>
      </c>
      <c r="BE76" s="13">
        <f>BD76*VLOOKUP('Données projet'!$B$11,Paramètres!$A$1:$I$89,3,0)*VLOOKUP('Données projet'!$B$11,Paramètres!$A$1:$I$89,5,0)</f>
        <v>249.51887999999997</v>
      </c>
      <c r="BF76" s="13">
        <f t="shared" si="91"/>
        <v>60.482904697997853</v>
      </c>
      <c r="BG76" s="20">
        <f t="shared" si="61"/>
        <v>539.91977501567953</v>
      </c>
      <c r="BH76" s="59">
        <f t="shared" si="62"/>
        <v>833.25310834901279</v>
      </c>
      <c r="BI76" s="59">
        <f ca="1">AVERAGE(OFFSET($BH$3,0,0,'Données projet'!$E$11+1,1))-AVERAGE(OFFSET($H$3,0,0,'Données projet'!$E$11+1,1))</f>
        <v>476.64466005965136</v>
      </c>
      <c r="BJ76" s="59">
        <f t="shared" si="92"/>
        <v>312.67921212138998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44.782703579242856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44.782703579242856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4.7</v>
      </c>
      <c r="BY76" s="12">
        <f>IF('Données projet'!$A$114&gt;35,BY75+BX76-CG75,IF(A76&lt;'Données projet'!$A$114,$BV$205^A76,IF(A76='Données projet'!$A$114,'Données projet'!$B$114,BY75+BX76-CG75)))</f>
        <v>173.09999999999977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318.97291652986593</v>
      </c>
      <c r="T77" s="59">
        <f t="shared" si="88"/>
        <v>338.19413170988122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4.5474735088646412E-13</v>
      </c>
      <c r="AJ77" s="13">
        <f>AI77*VLOOKUP('Données projet'!$B$10,Paramètres!$A$1:$I$89,3,0)*VLOOKUP('Données projet'!$B$10,Paramètres!$A$1:$I$89,5,0)</f>
        <v>2.7193891583010558E-13</v>
      </c>
      <c r="AK77" s="13">
        <f t="shared" si="89"/>
        <v>3.6362267729089988E-12</v>
      </c>
      <c r="AL77" s="20">
        <f t="shared" si="58"/>
        <v>6.8067219078872727E-12</v>
      </c>
      <c r="AM77" s="59">
        <f t="shared" si="59"/>
        <v>293.33333333334014</v>
      </c>
      <c r="AN77" s="59">
        <f ca="1">AVERAGE(OFFSET($AM$3,0,0,'Données projet'!$E$10+1,1))-AVERAGE(OFFSET($H$3,0,0,'Données projet'!$E$10+1,1))</f>
        <v>318.97291652986593</v>
      </c>
      <c r="AO77" s="59">
        <f t="shared" si="90"/>
        <v>338.19413170988122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12.282510361300123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9.622803827189693E-6</v>
      </c>
      <c r="AX77" s="21">
        <f t="shared" si="60"/>
        <v>12.282519984103949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7.4</v>
      </c>
      <c r="BD77" s="12">
        <f>IF('Données projet'!$A$88&gt;35,BD76+BC77-BL76,IF(A77&lt;'Données projet'!$A$88,$BA$205^A77,IF(A77='Données projet'!$A$88,'Données projet'!$B$88,BD76+BC77-BL76)))</f>
        <v>303.59999999999991</v>
      </c>
      <c r="BE77" s="13">
        <f>BD77*VLOOKUP('Données projet'!$B$11,Paramètres!$A$1:$I$89,3,0)*VLOOKUP('Données projet'!$B$11,Paramètres!$A$1:$I$89,5,0)</f>
        <v>255.75263999999996</v>
      </c>
      <c r="BF77" s="13">
        <f t="shared" si="91"/>
        <v>61.816146384369418</v>
      </c>
      <c r="BG77" s="20">
        <f t="shared" si="61"/>
        <v>553.09896961944332</v>
      </c>
      <c r="BH77" s="59">
        <f t="shared" si="62"/>
        <v>846.43230295277658</v>
      </c>
      <c r="BI77" s="59">
        <f ca="1">AVERAGE(OFFSET($BH$3,0,0,'Données projet'!$E$11+1,1))-AVERAGE(OFFSET($H$3,0,0,'Données projet'!$E$11+1,1))</f>
        <v>476.64466005965136</v>
      </c>
      <c r="BJ77" s="59">
        <f t="shared" si="92"/>
        <v>312.67921212138998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43.904542076805981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43.904542076805981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4.7</v>
      </c>
      <c r="BY77" s="12">
        <f>IF('Données projet'!$A$114&gt;35,BY76+BX77-CG76,IF(A77&lt;'Données projet'!$A$114,$BV$205^A77,IF(A77='Données projet'!$A$114,'Données projet'!$B$114,BY76+BX77-CG76)))</f>
        <v>177.79999999999976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318.97291652986593</v>
      </c>
      <c r="T78" s="59">
        <f t="shared" si="88"/>
        <v>338.19413170988122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4.5474735088646412E-13</v>
      </c>
      <c r="AJ78" s="13">
        <f>AI78*VLOOKUP('Données projet'!$B$10,Paramètres!$A$1:$I$89,3,0)*VLOOKUP('Données projet'!$B$10,Paramètres!$A$1:$I$89,5,0)</f>
        <v>2.7193891583010558E-13</v>
      </c>
      <c r="AK78" s="13">
        <f t="shared" si="89"/>
        <v>3.6362267729089988E-12</v>
      </c>
      <c r="AL78" s="20">
        <f t="shared" si="58"/>
        <v>6.8067219078872727E-12</v>
      </c>
      <c r="AM78" s="59">
        <f t="shared" si="59"/>
        <v>293.33333333334014</v>
      </c>
      <c r="AN78" s="59">
        <f ca="1">AVERAGE(OFFSET($AM$3,0,0,'Données projet'!$E$10+1,1))-AVERAGE(OFFSET($H$3,0,0,'Données projet'!$E$10+1,1))</f>
        <v>318.97291652986593</v>
      </c>
      <c r="AO78" s="59">
        <f t="shared" si="90"/>
        <v>338.19413170988122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12.041657824706615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6.8043498402336945E-6</v>
      </c>
      <c r="AX78" s="21">
        <f t="shared" si="60"/>
        <v>12.041664629056456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7.4</v>
      </c>
      <c r="BD78" s="12">
        <f>IF('Données projet'!$A$88&gt;35,BD77+BC78-BL77,IF(A78&lt;'Données projet'!$A$88,$BA$205^A78,IF(A78='Données projet'!$A$88,'Données projet'!$B$88,BD77+BC78-BL77)))</f>
        <v>310.99999999999989</v>
      </c>
      <c r="BE78" s="13">
        <f>BD78*VLOOKUP('Données projet'!$B$11,Paramètres!$A$1:$I$89,3,0)*VLOOKUP('Données projet'!$B$11,Paramètres!$A$1:$I$89,5,0)</f>
        <v>261.98639999999989</v>
      </c>
      <c r="BF78" s="13">
        <f t="shared" si="91"/>
        <v>63.14561042409737</v>
      </c>
      <c r="BG78" s="20">
        <f t="shared" si="61"/>
        <v>566.27158482196944</v>
      </c>
      <c r="BH78" s="59">
        <f t="shared" si="62"/>
        <v>859.60491815530281</v>
      </c>
      <c r="BI78" s="59">
        <f ca="1">AVERAGE(OFFSET($BH$3,0,0,'Données projet'!$E$11+1,1))-AVERAGE(OFFSET($H$3,0,0,'Données projet'!$E$11+1,1))</f>
        <v>476.64466005965136</v>
      </c>
      <c r="BJ78" s="59">
        <f t="shared" si="92"/>
        <v>312.67921212138998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43.043600785806262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43.043600785806262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4.7</v>
      </c>
      <c r="BY78" s="12">
        <f>IF('Données projet'!$A$114&gt;35,BY77+BX78-CG77,IF(A78&lt;'Données projet'!$A$114,$BV$205^A78,IF(A78='Données projet'!$A$114,'Données projet'!$B$114,BY77+BX78-CG77)))</f>
        <v>182.49999999999974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318.97291652986593</v>
      </c>
      <c r="T79" s="59">
        <f t="shared" si="88"/>
        <v>338.19413170988122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4.5474735088646412E-13</v>
      </c>
      <c r="AJ79" s="13">
        <f>AI79*VLOOKUP('Données projet'!$B$10,Paramètres!$A$1:$I$89,3,0)*VLOOKUP('Données projet'!$B$10,Paramètres!$A$1:$I$89,5,0)</f>
        <v>2.7193891583010558E-13</v>
      </c>
      <c r="AK79" s="13">
        <f t="shared" si="89"/>
        <v>3.6362267729089988E-12</v>
      </c>
      <c r="AL79" s="20">
        <f t="shared" si="58"/>
        <v>6.8067219078872727E-12</v>
      </c>
      <c r="AM79" s="59">
        <f t="shared" si="59"/>
        <v>293.33333333334014</v>
      </c>
      <c r="AN79" s="59">
        <f ca="1">AVERAGE(OFFSET($AM$3,0,0,'Données projet'!$E$10+1,1))-AVERAGE(OFFSET($H$3,0,0,'Données projet'!$E$10+1,1))</f>
        <v>318.97291652986593</v>
      </c>
      <c r="AO79" s="59">
        <f t="shared" si="90"/>
        <v>338.19413170988122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11.805528259450163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4.8114019135948465E-6</v>
      </c>
      <c r="AX79" s="21">
        <f t="shared" si="60"/>
        <v>11.805533070852077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7.4</v>
      </c>
      <c r="BD79" s="12">
        <f>IF('Données projet'!$A$88&gt;35,BD78+BC79-BL78,IF(A79&lt;'Données projet'!$A$88,$BA$205^A79,IF(A79='Données projet'!$A$88,'Données projet'!$B$88,BD78+BC79-BL78)))</f>
        <v>318.39999999999986</v>
      </c>
      <c r="BE79" s="13">
        <f>BD79*VLOOKUP('Données projet'!$B$11,Paramètres!$A$1:$I$89,3,0)*VLOOKUP('Données projet'!$B$11,Paramètres!$A$1:$I$89,5,0)</f>
        <v>268.22015999999991</v>
      </c>
      <c r="BF79" s="13">
        <f t="shared" si="91"/>
        <v>64.471397046337671</v>
      </c>
      <c r="BG79" s="20">
        <f t="shared" si="61"/>
        <v>579.43779518903796</v>
      </c>
      <c r="BH79" s="59">
        <f t="shared" si="62"/>
        <v>872.77112852237133</v>
      </c>
      <c r="BI79" s="59">
        <f ca="1">AVERAGE(OFFSET($BH$3,0,0,'Données projet'!$E$11+1,1))-AVERAGE(OFFSET($H$3,0,0,'Données projet'!$E$11+1,1))</f>
        <v>476.64466005965136</v>
      </c>
      <c r="BJ79" s="59">
        <f t="shared" si="92"/>
        <v>312.67921212138998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42.199542028400714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42.199542028400714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4.7</v>
      </c>
      <c r="BY79" s="12">
        <f>IF('Données projet'!$A$114&gt;35,BY78+BX79-CG78,IF(A79&lt;'Données projet'!$A$114,$BV$205^A79,IF(A79='Données projet'!$A$114,'Données projet'!$B$114,BY78+BX79-CG78)))</f>
        <v>187.19999999999973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318.97291652986593</v>
      </c>
      <c r="T80" s="59">
        <f t="shared" si="88"/>
        <v>338.19413170988122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4.5474735088646412E-13</v>
      </c>
      <c r="AJ80" s="13">
        <f>AI80*VLOOKUP('Données projet'!$B$10,Paramètres!$A$1:$I$89,3,0)*VLOOKUP('Données projet'!$B$10,Paramètres!$A$1:$I$89,5,0)</f>
        <v>2.7193891583010558E-13</v>
      </c>
      <c r="AK80" s="13">
        <f t="shared" si="89"/>
        <v>3.6362267729089988E-12</v>
      </c>
      <c r="AL80" s="20">
        <f t="shared" si="58"/>
        <v>6.8067219078872727E-12</v>
      </c>
      <c r="AM80" s="59">
        <f t="shared" si="59"/>
        <v>293.33333333334014</v>
      </c>
      <c r="AN80" s="59">
        <f ca="1">AVERAGE(OFFSET($AM$3,0,0,'Données projet'!$E$10+1,1))-AVERAGE(OFFSET($H$3,0,0,'Données projet'!$E$10+1,1))</f>
        <v>318.97291652986593</v>
      </c>
      <c r="AO80" s="59">
        <f t="shared" si="90"/>
        <v>338.19413170988122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11.574029050943578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3.4021749201168472E-6</v>
      </c>
      <c r="AX80" s="21">
        <f t="shared" si="60"/>
        <v>11.574032453118498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7.4</v>
      </c>
      <c r="BD80" s="12">
        <f>IF('Données projet'!$A$88&gt;35,BD79+BC80-BL79,IF(A80&lt;'Données projet'!$A$88,$BA$205^A80,IF(A80='Données projet'!$A$88,'Données projet'!$B$88,BD79+BC80-BL79)))</f>
        <v>325.79999999999984</v>
      </c>
      <c r="BE80" s="13">
        <f>BD80*VLOOKUP('Données projet'!$B$11,Paramètres!$A$1:$I$89,3,0)*VLOOKUP('Données projet'!$B$11,Paramètres!$A$1:$I$89,5,0)</f>
        <v>274.45391999999993</v>
      </c>
      <c r="BF80" s="13">
        <f t="shared" si="91"/>
        <v>65.793601555534096</v>
      </c>
      <c r="BG80" s="20">
        <f t="shared" si="61"/>
        <v>592.59776670922179</v>
      </c>
      <c r="BH80" s="59">
        <f t="shared" si="62"/>
        <v>885.93110004255504</v>
      </c>
      <c r="BI80" s="59">
        <f ca="1">AVERAGE(OFFSET($BH$3,0,0,'Données projet'!$E$11+1,1))-AVERAGE(OFFSET($H$3,0,0,'Données projet'!$E$11+1,1))</f>
        <v>476.64466005965136</v>
      </c>
      <c r="BJ80" s="59">
        <f t="shared" si="92"/>
        <v>312.67921212138998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41.372034748402882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41.372034748402882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4.7</v>
      </c>
      <c r="BY80" s="12">
        <f>IF('Données projet'!$A$114&gt;35,BY79+BX80-CG79,IF(A80&lt;'Données projet'!$A$114,$BV$205^A80,IF(A80='Données projet'!$A$114,'Données projet'!$B$114,BY79+BX80-CG79)))</f>
        <v>191.89999999999972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318.97291652986593</v>
      </c>
      <c r="T81" s="59">
        <f t="shared" si="88"/>
        <v>338.19413170988122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4.5474735088646412E-13</v>
      </c>
      <c r="AJ81" s="13">
        <f>AI81*VLOOKUP('Données projet'!$B$10,Paramètres!$A$1:$I$89,3,0)*VLOOKUP('Données projet'!$B$10,Paramètres!$A$1:$I$89,5,0)</f>
        <v>2.7193891583010558E-13</v>
      </c>
      <c r="AK81" s="13">
        <f t="shared" si="89"/>
        <v>3.6362267729089988E-12</v>
      </c>
      <c r="AL81" s="20">
        <f t="shared" si="58"/>
        <v>6.8067219078872727E-12</v>
      </c>
      <c r="AM81" s="59">
        <f t="shared" si="59"/>
        <v>293.33333333334014</v>
      </c>
      <c r="AN81" s="59">
        <f ca="1">AVERAGE(OFFSET($AM$3,0,0,'Données projet'!$E$10+1,1))-AVERAGE(OFFSET($H$3,0,0,'Données projet'!$E$10+1,1))</f>
        <v>318.97291652986593</v>
      </c>
      <c r="AO81" s="59">
        <f t="shared" si="90"/>
        <v>338.19413170988122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11.347069400715231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2.4057009567974233E-6</v>
      </c>
      <c r="AX81" s="21">
        <f t="shared" si="60"/>
        <v>11.347071806416189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7.4</v>
      </c>
      <c r="BD81" s="12">
        <f>IF('Données projet'!$A$88&gt;35,BD80+BC81-BL80,IF(A81&lt;'Données projet'!$A$88,$BA$205^A81,IF(A81='Données projet'!$A$88,'Données projet'!$B$88,BD80+BC81-BL80)))</f>
        <v>333.19999999999982</v>
      </c>
      <c r="BE81" s="13">
        <f>BD81*VLOOKUP('Données projet'!$B$11,Paramètres!$A$1:$I$89,3,0)*VLOOKUP('Données projet'!$B$11,Paramètres!$A$1:$I$89,5,0)</f>
        <v>280.68767999999989</v>
      </c>
      <c r="BF81" s="13">
        <f t="shared" si="91"/>
        <v>67.11231467966806</v>
      </c>
      <c r="BG81" s="20">
        <f t="shared" si="61"/>
        <v>605.75165740042166</v>
      </c>
      <c r="BH81" s="59">
        <f t="shared" si="62"/>
        <v>899.08499073375492</v>
      </c>
      <c r="BI81" s="59">
        <f ca="1">AVERAGE(OFFSET($BH$3,0,0,'Données projet'!$E$11+1,1))-AVERAGE(OFFSET($H$3,0,0,'Données projet'!$E$11+1,1))</f>
        <v>476.64466005965136</v>
      </c>
      <c r="BJ81" s="59">
        <f t="shared" si="92"/>
        <v>312.67921212138998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40.560754381436205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40.560754381436205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4.7</v>
      </c>
      <c r="BY81" s="12">
        <f>IF('Données projet'!$A$114&gt;35,BY80+BX81-CG80,IF(A81&lt;'Données projet'!$A$114,$BV$205^A81,IF(A81='Données projet'!$A$114,'Données projet'!$B$114,BY80+BX81-CG80)))</f>
        <v>196.59999999999971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318.97291652986593</v>
      </c>
      <c r="T82" s="59">
        <f t="shared" si="88"/>
        <v>338.19413170988122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4.5474735088646412E-13</v>
      </c>
      <c r="AJ82" s="13">
        <f>AI82*VLOOKUP('Données projet'!$B$10,Paramètres!$A$1:$I$89,3,0)*VLOOKUP('Données projet'!$B$10,Paramètres!$A$1:$I$89,5,0)</f>
        <v>2.7193891583010558E-13</v>
      </c>
      <c r="AK82" s="13">
        <f t="shared" si="89"/>
        <v>3.6362267729089988E-12</v>
      </c>
      <c r="AL82" s="20">
        <f t="shared" si="58"/>
        <v>6.8067219078872727E-12</v>
      </c>
      <c r="AM82" s="59">
        <f t="shared" si="59"/>
        <v>293.33333333334014</v>
      </c>
      <c r="AN82" s="59">
        <f ca="1">AVERAGE(OFFSET($AM$3,0,0,'Données projet'!$E$10+1,1))-AVERAGE(OFFSET($H$3,0,0,'Données projet'!$E$10+1,1))</f>
        <v>318.97291652986593</v>
      </c>
      <c r="AO82" s="59">
        <f t="shared" si="90"/>
        <v>338.19413170988122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11.124560290796145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1.7010874600584236E-6</v>
      </c>
      <c r="AX82" s="21">
        <f t="shared" si="60"/>
        <v>11.124561991883605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7.4</v>
      </c>
      <c r="BD82" s="12">
        <f>IF('Données projet'!$A$88&gt;35,BD81+BC82-BL81,IF(A82&lt;'Données projet'!$A$88,$BA$205^A82,IF(A82='Données projet'!$A$88,'Données projet'!$B$88,BD81+BC82-BL81)))</f>
        <v>340.5999999999998</v>
      </c>
      <c r="BE82" s="13">
        <f>BD82*VLOOKUP('Données projet'!$B$11,Paramètres!$A$1:$I$89,3,0)*VLOOKUP('Données projet'!$B$11,Paramètres!$A$1:$I$89,5,0)</f>
        <v>286.92143999999985</v>
      </c>
      <c r="BF82" s="13">
        <f t="shared" si="91"/>
        <v>68.427622886698884</v>
      </c>
      <c r="BG82" s="20">
        <f t="shared" si="61"/>
        <v>618.89961786100014</v>
      </c>
      <c r="BH82" s="59">
        <f t="shared" si="62"/>
        <v>912.23295119433351</v>
      </c>
      <c r="BI82" s="59">
        <f ca="1">AVERAGE(OFFSET($BH$3,0,0,'Données projet'!$E$11+1,1))-AVERAGE(OFFSET($H$3,0,0,'Données projet'!$E$11+1,1))</f>
        <v>476.64466005965136</v>
      </c>
      <c r="BJ82" s="59">
        <f t="shared" si="92"/>
        <v>312.67921212138998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39.765382727633579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39.765382727633579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4.7</v>
      </c>
      <c r="BY82" s="12">
        <f>IF('Données projet'!$A$114&gt;35,BY81+BX82-CG81,IF(A82&lt;'Données projet'!$A$114,$BV$205^A82,IF(A82='Données projet'!$A$114,'Données projet'!$B$114,BY81+BX82-CG81)))</f>
        <v>201.2999999999997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318.97291652986593</v>
      </c>
      <c r="T83" s="59">
        <f t="shared" si="88"/>
        <v>338.19413170988122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4.5474735088646412E-13</v>
      </c>
      <c r="AJ83" s="13">
        <f>AI83*VLOOKUP('Données projet'!$B$10,Paramètres!$A$1:$I$89,3,0)*VLOOKUP('Données projet'!$B$10,Paramètres!$A$1:$I$89,5,0)</f>
        <v>2.7193891583010558E-13</v>
      </c>
      <c r="AK83" s="13">
        <f t="shared" si="89"/>
        <v>3.6362267729089988E-12</v>
      </c>
      <c r="AL83" s="20">
        <f t="shared" si="58"/>
        <v>6.8067219078872727E-12</v>
      </c>
      <c r="AM83" s="59">
        <f t="shared" si="59"/>
        <v>293.33333333334014</v>
      </c>
      <c r="AN83" s="59">
        <f ca="1">AVERAGE(OFFSET($AM$3,0,0,'Données projet'!$E$10+1,1))-AVERAGE(OFFSET($H$3,0,0,'Données projet'!$E$10+1,1))</f>
        <v>318.97291652986593</v>
      </c>
      <c r="AO83" s="59">
        <f t="shared" si="90"/>
        <v>338.19413170988122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10.906414448805416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1.2028504783987116E-6</v>
      </c>
      <c r="AX83" s="21">
        <f t="shared" si="60"/>
        <v>10.906415651655895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348</v>
      </c>
      <c r="BB83" s="12">
        <f>VLOOKUP(A83,'Données projet'!$A$87:$I$107,9,0)</f>
        <v>7.4</v>
      </c>
      <c r="BC83" s="12">
        <f t="array" ref="BC83">INDEX(BB:BB,MIN(IF(ISNUMBER(BB83:BB279),ROW(BB83:BB279),"")))</f>
        <v>7.4</v>
      </c>
      <c r="BD83" s="12">
        <f>IF('Données projet'!$A$88&gt;35,BD82+BC83-BL82,IF(A83&lt;'Données projet'!$A$88,$BA$205^A83,IF(A83='Données projet'!$A$88,'Données projet'!$B$88,BD82+BC83-BL82)))</f>
        <v>347.99999999999977</v>
      </c>
      <c r="BE83" s="13">
        <f>BD83*VLOOKUP('Données projet'!$B$11,Paramètres!$A$1:$I$89,3,0)*VLOOKUP('Données projet'!$B$11,Paramètres!$A$1:$I$89,5,0)</f>
        <v>293.15519999999987</v>
      </c>
      <c r="BF83" s="13">
        <f t="shared" si="91"/>
        <v>69.739608672728551</v>
      </c>
      <c r="BG83" s="20">
        <f t="shared" si="61"/>
        <v>632.0417917716685</v>
      </c>
      <c r="BH83" s="59">
        <f t="shared" si="62"/>
        <v>925.37512510500187</v>
      </c>
      <c r="BI83" s="59">
        <f ca="1">AVERAGE(OFFSET($BH$3,0,0,'Données projet'!$E$11+1,1))-AVERAGE(OFFSET($H$3,0,0,'Données projet'!$E$11+1,1))</f>
        <v>476.64466005965136</v>
      </c>
      <c r="BJ83" s="59">
        <f t="shared" si="92"/>
        <v>312.67921212138998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56</v>
      </c>
      <c r="BM83" s="16">
        <f>IF(ISNA(VLOOKUP(A83,'Données projet'!$A$87:$I$107,5,0)),0%,VLOOKUP(A83,'Données projet'!$A$87:$I$107,5,0)*VLOOKUP('Données projet'!$B$11,Paramètres!$A$1:$I$89,7,0))</f>
        <v>0.36549999999999999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58.046396961136651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58.046396961136651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206</v>
      </c>
      <c r="BW83" s="12">
        <f>VLOOKUP(A83,'Données projet'!$A$113:$I$133,9,0)</f>
        <v>4.7</v>
      </c>
      <c r="BX83" s="12">
        <f t="array" ref="BX83">INDEX(BW:BW,MIN(IF(ISNUMBER(BW83:BW279),ROW(BW83:BW279),"")))</f>
        <v>4.7</v>
      </c>
      <c r="BY83" s="12">
        <f>IF('Données projet'!$A$114&gt;35,BY82+BX83-CG82,IF(A83&lt;'Données projet'!$A$114,$BV$205^A83,IF(A83='Données projet'!$A$114,'Données projet'!$B$114,BY82+BX83-CG82)))</f>
        <v>205.99999999999969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6</v>
      </c>
      <c r="CG83" s="15">
        <f>IF(ISNA(VLOOKUP(A83,'Données projet'!$A$113:$I$133,4,0)),0,VLOOKUP(A83,'Données projet'!$A$113:$I$133,4,0))</f>
        <v>28</v>
      </c>
      <c r="CH83" s="16" t="e">
        <f>IF(ISNA(VLOOKUP(A83,'Données projet'!$A$113:$I$133,5,0)),0%,VLOOKUP(A83,'Données projet'!$A$113:$I$133,5,0)*VLOOKUP('Données projet'!$B$12,Paramètres!$A$1:$I$89,7,0))</f>
        <v>#N/A</v>
      </c>
      <c r="CI83" s="16" t="e">
        <f>IF(ISNA(VLOOKUP(A83,'Données projet'!$A$113:$I$133,6,0)),0%,VLOOKUP(A83,'Données projet'!$A$113:$I$133,6,0)*VLOOKUP('Données projet'!$B$12,Paramètres!$A$1:$I$89,7,0))</f>
        <v>#N/A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318.97291652986593</v>
      </c>
      <c r="T84" s="59">
        <f t="shared" si="88"/>
        <v>338.19413170988122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4.5474735088646412E-13</v>
      </c>
      <c r="AJ84" s="13">
        <f>AI84*VLOOKUP('Données projet'!$B$10,Paramètres!$A$1:$I$89,3,0)*VLOOKUP('Données projet'!$B$10,Paramètres!$A$1:$I$89,5,0)</f>
        <v>2.7193891583010558E-13</v>
      </c>
      <c r="AK84" s="13">
        <f t="shared" si="89"/>
        <v>3.6362267729089988E-12</v>
      </c>
      <c r="AL84" s="20">
        <f t="shared" si="58"/>
        <v>6.8067219078872727E-12</v>
      </c>
      <c r="AM84" s="59">
        <f t="shared" si="59"/>
        <v>293.33333333334014</v>
      </c>
      <c r="AN84" s="59">
        <f ca="1">AVERAGE(OFFSET($AM$3,0,0,'Données projet'!$E$10+1,1))-AVERAGE(OFFSET($H$3,0,0,'Données projet'!$E$10+1,1))</f>
        <v>318.97291652986593</v>
      </c>
      <c r="AO84" s="59">
        <f t="shared" si="90"/>
        <v>338.19413170988122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10.6925463137203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8.5054373002921181E-7</v>
      </c>
      <c r="AX84" s="21">
        <f t="shared" si="60"/>
        <v>10.692547164264029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6.6</v>
      </c>
      <c r="BD84" s="12">
        <f>IF('Données projet'!$A$88&gt;35,BD83+BC84-BL83,IF(A84&lt;'Données projet'!$A$88,$BA$205^A84,IF(A84='Données projet'!$A$88,'Données projet'!$B$88,BD83+BC84-BL83)))</f>
        <v>298.5999999999998</v>
      </c>
      <c r="BE84" s="13">
        <f>BD84*VLOOKUP('Données projet'!$B$11,Paramètres!$A$1:$I$89,3,0)*VLOOKUP('Données projet'!$B$11,Paramètres!$A$1:$I$89,5,0)</f>
        <v>251.54063999999983</v>
      </c>
      <c r="BF84" s="13">
        <f t="shared" si="91"/>
        <v>60.915727667172014</v>
      </c>
      <c r="BG84" s="20">
        <f t="shared" si="61"/>
        <v>544.19484035365758</v>
      </c>
      <c r="BH84" s="59">
        <f t="shared" si="62"/>
        <v>837.52817368699084</v>
      </c>
      <c r="BI84" s="59">
        <f ca="1">AVERAGE(OFFSET($BH$3,0,0,'Données projet'!$E$11+1,1))-AVERAGE(OFFSET($H$3,0,0,'Données projet'!$E$11+1,1))</f>
        <v>476.64466005965136</v>
      </c>
      <c r="BJ84" s="59">
        <f t="shared" si="92"/>
        <v>312.67921212138998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56.90814252153497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56.90814252153497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4.3</v>
      </c>
      <c r="BY84" s="12">
        <f>IF('Données projet'!$A$114&gt;35,BY83+BX84-CG83,IF(A84&lt;'Données projet'!$A$114,$BV$205^A84,IF(A84='Données projet'!$A$114,'Données projet'!$B$114,BY83+BX84-CG83)))</f>
        <v>182.2999999999997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318.97291652986593</v>
      </c>
      <c r="T85" s="59">
        <f t="shared" si="88"/>
        <v>338.19413170988122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4.5474735088646412E-13</v>
      </c>
      <c r="AJ85" s="13">
        <f>AI85*VLOOKUP('Données projet'!$B$10,Paramètres!$A$1:$I$89,3,0)*VLOOKUP('Données projet'!$B$10,Paramètres!$A$1:$I$89,5,0)</f>
        <v>2.7193891583010558E-13</v>
      </c>
      <c r="AK85" s="13">
        <f t="shared" si="89"/>
        <v>3.6362267729089988E-12</v>
      </c>
      <c r="AL85" s="20">
        <f t="shared" si="58"/>
        <v>6.8067219078872727E-12</v>
      </c>
      <c r="AM85" s="59">
        <f t="shared" si="59"/>
        <v>293.33333333334014</v>
      </c>
      <c r="AN85" s="59">
        <f ca="1">AVERAGE(OFFSET($AM$3,0,0,'Données projet'!$E$10+1,1))-AVERAGE(OFFSET($H$3,0,0,'Données projet'!$E$10+1,1))</f>
        <v>318.97291652986593</v>
      </c>
      <c r="AO85" s="59">
        <f t="shared" si="90"/>
        <v>338.19413170988122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10.482872002317521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6.0142523919935582E-7</v>
      </c>
      <c r="AX85" s="21">
        <f t="shared" si="60"/>
        <v>10.482872603742759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6.6</v>
      </c>
      <c r="BD85" s="12">
        <f>IF('Données projet'!$A$88&gt;35,BD84+BC85-BL84,IF(A85&lt;'Données projet'!$A$88,$BA$205^A85,IF(A85='Données projet'!$A$88,'Données projet'!$B$88,BD84+BC85-BL84)))</f>
        <v>305.19999999999982</v>
      </c>
      <c r="BE85" s="13">
        <f>BD85*VLOOKUP('Données projet'!$B$11,Paramètres!$A$1:$I$89,3,0)*VLOOKUP('Données projet'!$B$11,Paramètres!$A$1:$I$89,5,0)</f>
        <v>257.10047999999989</v>
      </c>
      <c r="BF85" s="13">
        <f t="shared" si="91"/>
        <v>62.103914639805609</v>
      </c>
      <c r="BG85" s="20">
        <f t="shared" si="61"/>
        <v>555.94765399766129</v>
      </c>
      <c r="BH85" s="59">
        <f t="shared" si="62"/>
        <v>849.28098733099455</v>
      </c>
      <c r="BI85" s="59">
        <f ca="1">AVERAGE(OFFSET($BH$3,0,0,'Données projet'!$E$11+1,1))-AVERAGE(OFFSET($H$3,0,0,'Données projet'!$E$11+1,1))</f>
        <v>476.64466005965136</v>
      </c>
      <c r="BJ85" s="59">
        <f t="shared" si="92"/>
        <v>312.67921212138998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55.792208557227227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55.792208557227227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4.3</v>
      </c>
      <c r="BY85" s="12">
        <f>IF('Données projet'!$A$114&gt;35,BY84+BX85-CG84,IF(A85&lt;'Données projet'!$A$114,$BV$205^A85,IF(A85='Données projet'!$A$114,'Données projet'!$B$114,BY84+BX85-CG84)))</f>
        <v>186.59999999999971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318.97291652986593</v>
      </c>
      <c r="T86" s="59">
        <f t="shared" si="88"/>
        <v>338.19413170988122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4.5474735088646412E-13</v>
      </c>
      <c r="AJ86" s="13">
        <f>AI86*VLOOKUP('Données projet'!$B$10,Paramètres!$A$1:$I$89,3,0)*VLOOKUP('Données projet'!$B$10,Paramètres!$A$1:$I$89,5,0)</f>
        <v>2.7193891583010558E-13</v>
      </c>
      <c r="AK86" s="13">
        <f t="shared" si="89"/>
        <v>3.6362267729089988E-12</v>
      </c>
      <c r="AL86" s="20">
        <f t="shared" si="58"/>
        <v>6.8067219078872727E-12</v>
      </c>
      <c r="AM86" s="59">
        <f t="shared" si="59"/>
        <v>293.33333333334014</v>
      </c>
      <c r="AN86" s="59">
        <f ca="1">AVERAGE(OFFSET($AM$3,0,0,'Données projet'!$E$10+1,1))-AVERAGE(OFFSET($H$3,0,0,'Données projet'!$E$10+1,1))</f>
        <v>318.97291652986593</v>
      </c>
      <c r="AO86" s="59">
        <f t="shared" si="90"/>
        <v>338.19413170988122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10.277309276272648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4.252718650146059E-7</v>
      </c>
      <c r="AX86" s="21">
        <f t="shared" si="60"/>
        <v>10.277309701544514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6.6</v>
      </c>
      <c r="BD86" s="12">
        <f>IF('Données projet'!$A$88&gt;35,BD85+BC86-BL85,IF(A86&lt;'Données projet'!$A$88,$BA$205^A86,IF(A86='Données projet'!$A$88,'Données projet'!$B$88,BD85+BC86-BL85)))</f>
        <v>311.79999999999984</v>
      </c>
      <c r="BE86" s="13">
        <f>BD86*VLOOKUP('Données projet'!$B$11,Paramètres!$A$1:$I$89,3,0)*VLOOKUP('Données projet'!$B$11,Paramètres!$A$1:$I$89,5,0)</f>
        <v>262.6603199999999</v>
      </c>
      <c r="BF86" s="13">
        <f t="shared" si="91"/>
        <v>63.289114259938842</v>
      </c>
      <c r="BG86" s="20">
        <f t="shared" si="61"/>
        <v>567.69526466939328</v>
      </c>
      <c r="BH86" s="59">
        <f t="shared" si="62"/>
        <v>861.02859800272654</v>
      </c>
      <c r="BI86" s="59">
        <f ca="1">AVERAGE(OFFSET($BH$3,0,0,'Données projet'!$E$11+1,1))-AVERAGE(OFFSET($H$3,0,0,'Données projet'!$E$11+1,1))</f>
        <v>476.64466005965136</v>
      </c>
      <c r="BJ86" s="59">
        <f t="shared" si="92"/>
        <v>312.67921212138998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54.698157377307048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54.698157377307048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4.3</v>
      </c>
      <c r="BY86" s="12">
        <f>IF('Données projet'!$A$114&gt;35,BY85+BX86-CG85,IF(A86&lt;'Données projet'!$A$114,$BV$205^A86,IF(A86='Données projet'!$A$114,'Données projet'!$B$114,BY85+BX86-CG85)))</f>
        <v>190.89999999999972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318.97291652986593</v>
      </c>
      <c r="T87" s="59">
        <f t="shared" si="88"/>
        <v>338.19413170988122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4.5474735088646412E-13</v>
      </c>
      <c r="AJ87" s="13">
        <f>AI87*VLOOKUP('Données projet'!$B$10,Paramètres!$A$1:$I$89,3,0)*VLOOKUP('Données projet'!$B$10,Paramètres!$A$1:$I$89,5,0)</f>
        <v>2.7193891583010558E-13</v>
      </c>
      <c r="AK87" s="13">
        <f t="shared" si="89"/>
        <v>3.6362267729089988E-12</v>
      </c>
      <c r="AL87" s="20">
        <f t="shared" si="58"/>
        <v>6.8067219078872727E-12</v>
      </c>
      <c r="AM87" s="59">
        <f t="shared" si="59"/>
        <v>293.33333333334014</v>
      </c>
      <c r="AN87" s="59">
        <f ca="1">AVERAGE(OFFSET($AM$3,0,0,'Données projet'!$E$10+1,1))-AVERAGE(OFFSET($H$3,0,0,'Données projet'!$E$10+1,1))</f>
        <v>318.97291652986593</v>
      </c>
      <c r="AO87" s="59">
        <f t="shared" si="90"/>
        <v>338.19413170988122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10.075777509904633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3.0071261959967791E-7</v>
      </c>
      <c r="AX87" s="21">
        <f t="shared" si="60"/>
        <v>10.075777810617252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6.6</v>
      </c>
      <c r="BD87" s="12">
        <f>IF('Données projet'!$A$88&gt;35,BD86+BC87-BL86,IF(A87&lt;'Données projet'!$A$88,$BA$205^A87,IF(A87='Données projet'!$A$88,'Données projet'!$B$88,BD86+BC87-BL86)))</f>
        <v>318.39999999999986</v>
      </c>
      <c r="BE87" s="13">
        <f>BD87*VLOOKUP('Données projet'!$B$11,Paramètres!$A$1:$I$89,3,0)*VLOOKUP('Données projet'!$B$11,Paramètres!$A$1:$I$89,5,0)</f>
        <v>268.22015999999991</v>
      </c>
      <c r="BF87" s="13">
        <f t="shared" si="91"/>
        <v>64.471397046337671</v>
      </c>
      <c r="BG87" s="20">
        <f t="shared" si="61"/>
        <v>579.43779518903796</v>
      </c>
      <c r="BH87" s="59">
        <f t="shared" si="62"/>
        <v>872.77112852237133</v>
      </c>
      <c r="BI87" s="59">
        <f ca="1">AVERAGE(OFFSET($BH$3,0,0,'Données projet'!$E$11+1,1))-AVERAGE(OFFSET($H$3,0,0,'Données projet'!$E$11+1,1))</f>
        <v>476.64466005965136</v>
      </c>
      <c r="BJ87" s="59">
        <f t="shared" si="92"/>
        <v>312.67921212138998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53.625559873719773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53.625559873719773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4.3</v>
      </c>
      <c r="BY87" s="12">
        <f>IF('Données projet'!$A$114&gt;35,BY86+BX87-CG86,IF(A87&lt;'Données projet'!$A$114,$BV$205^A87,IF(A87='Données projet'!$A$114,'Données projet'!$B$114,BY86+BX87-CG86)))</f>
        <v>195.19999999999973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318.97291652986593</v>
      </c>
      <c r="T88" s="59">
        <f t="shared" si="88"/>
        <v>338.19413170988122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4.5474735088646412E-13</v>
      </c>
      <c r="AJ88" s="13">
        <f>AI88*VLOOKUP('Données projet'!$B$10,Paramètres!$A$1:$I$89,3,0)*VLOOKUP('Données projet'!$B$10,Paramètres!$A$1:$I$89,5,0)</f>
        <v>2.7193891583010558E-13</v>
      </c>
      <c r="AK88" s="13">
        <f t="shared" si="89"/>
        <v>3.6362267729089988E-12</v>
      </c>
      <c r="AL88" s="20">
        <f t="shared" si="58"/>
        <v>6.8067219078872727E-12</v>
      </c>
      <c r="AM88" s="59">
        <f t="shared" si="59"/>
        <v>293.33333333334014</v>
      </c>
      <c r="AN88" s="59">
        <f ca="1">AVERAGE(OFFSET($AM$3,0,0,'Données projet'!$E$10+1,1))-AVERAGE(OFFSET($H$3,0,0,'Données projet'!$E$10+1,1))</f>
        <v>318.97291652986593</v>
      </c>
      <c r="AO88" s="59">
        <f t="shared" si="90"/>
        <v>338.19413170988122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9.878197658552855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2.1263593250730295E-7</v>
      </c>
      <c r="AX88" s="21">
        <f t="shared" si="60"/>
        <v>9.878197871188787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6.6</v>
      </c>
      <c r="BD88" s="12">
        <f>IF('Données projet'!$A$88&gt;35,BD87+BC88-BL87,IF(A88&lt;'Données projet'!$A$88,$BA$205^A88,IF(A88='Données projet'!$A$88,'Données projet'!$B$88,BD87+BC88-BL87)))</f>
        <v>324.99999999999989</v>
      </c>
      <c r="BE88" s="13">
        <f>BD88*VLOOKUP('Données projet'!$B$11,Paramètres!$A$1:$I$89,3,0)*VLOOKUP('Données projet'!$B$11,Paramètres!$A$1:$I$89,5,0)</f>
        <v>273.77999999999992</v>
      </c>
      <c r="BF88" s="13">
        <f t="shared" si="91"/>
        <v>65.650830427167435</v>
      </c>
      <c r="BG88" s="20">
        <f t="shared" si="61"/>
        <v>591.17536299398307</v>
      </c>
      <c r="BH88" s="59">
        <f t="shared" si="62"/>
        <v>884.50869632731633</v>
      </c>
      <c r="BI88" s="59">
        <f ca="1">AVERAGE(OFFSET($BH$3,0,0,'Données projet'!$E$11+1,1))-AVERAGE(OFFSET($H$3,0,0,'Données projet'!$E$11+1,1))</f>
        <v>476.64466005965136</v>
      </c>
      <c r="BJ88" s="59">
        <f t="shared" si="92"/>
        <v>312.67921212138998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52.573995352957972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52.573995352957972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4.3</v>
      </c>
      <c r="BY88" s="12">
        <f>IF('Données projet'!$A$114&gt;35,BY87+BX88-CG87,IF(A88&lt;'Données projet'!$A$114,$BV$205^A88,IF(A88='Données projet'!$A$114,'Données projet'!$B$114,BY87+BX88-CG87)))</f>
        <v>199.49999999999974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318.97291652986593</v>
      </c>
      <c r="T89" s="59">
        <f t="shared" si="88"/>
        <v>338.19413170988122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4.5474735088646412E-13</v>
      </c>
      <c r="AJ89" s="13">
        <f>AI89*VLOOKUP('Données projet'!$B$10,Paramètres!$A$1:$I$89,3,0)*VLOOKUP('Données projet'!$B$10,Paramètres!$A$1:$I$89,5,0)</f>
        <v>2.7193891583010558E-13</v>
      </c>
      <c r="AK89" s="13">
        <f t="shared" si="89"/>
        <v>3.6362267729089988E-12</v>
      </c>
      <c r="AL89" s="20">
        <f t="shared" si="58"/>
        <v>6.8067219078872727E-12</v>
      </c>
      <c r="AM89" s="59">
        <f t="shared" si="59"/>
        <v>293.33333333334014</v>
      </c>
      <c r="AN89" s="59">
        <f ca="1">AVERAGE(OFFSET($AM$3,0,0,'Données projet'!$E$10+1,1))-AVERAGE(OFFSET($H$3,0,0,'Données projet'!$E$10+1,1))</f>
        <v>318.97291652986593</v>
      </c>
      <c r="AO89" s="59">
        <f t="shared" si="90"/>
        <v>338.19413170988122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9.6844922275742746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1.5035630979983895E-7</v>
      </c>
      <c r="AX89" s="21">
        <f t="shared" si="60"/>
        <v>9.6844923779305851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6.6</v>
      </c>
      <c r="BD89" s="12">
        <f>IF('Données projet'!$A$88&gt;35,BD88+BC89-BL88,IF(A89&lt;'Données projet'!$A$88,$BA$205^A89,IF(A89='Données projet'!$A$88,'Données projet'!$B$88,BD88+BC89-BL88)))</f>
        <v>331.59999999999991</v>
      </c>
      <c r="BE89" s="13">
        <f>BD89*VLOOKUP('Données projet'!$B$11,Paramètres!$A$1:$I$89,3,0)*VLOOKUP('Données projet'!$B$11,Paramètres!$A$1:$I$89,5,0)</f>
        <v>279.33983999999998</v>
      </c>
      <c r="BF89" s="13">
        <f t="shared" si="91"/>
        <v>66.827478935410426</v>
      </c>
      <c r="BG89" s="20">
        <f t="shared" si="61"/>
        <v>602.90808047917312</v>
      </c>
      <c r="BH89" s="59">
        <f t="shared" si="62"/>
        <v>896.24141381250638</v>
      </c>
      <c r="BI89" s="59">
        <f ca="1">AVERAGE(OFFSET($BH$3,0,0,'Données projet'!$E$11+1,1))-AVERAGE(OFFSET($H$3,0,0,'Données projet'!$E$11+1,1))</f>
        <v>476.64466005965136</v>
      </c>
      <c r="BJ89" s="59">
        <f t="shared" si="92"/>
        <v>312.67921212138998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51.543051371057281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51.543051371057281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4.3</v>
      </c>
      <c r="BY89" s="12">
        <f>IF('Données projet'!$A$114&gt;35,BY88+BX89-CG88,IF(A89&lt;'Données projet'!$A$114,$BV$205^A89,IF(A89='Données projet'!$A$114,'Données projet'!$B$114,BY88+BX89-CG88)))</f>
        <v>203.79999999999976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318.97291652986593</v>
      </c>
      <c r="T90" s="59">
        <f t="shared" si="88"/>
        <v>338.19413170988122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4.5474735088646412E-13</v>
      </c>
      <c r="AJ90" s="13">
        <f>AI90*VLOOKUP('Données projet'!$B$10,Paramètres!$A$1:$I$89,3,0)*VLOOKUP('Données projet'!$B$10,Paramètres!$A$1:$I$89,5,0)</f>
        <v>2.7193891583010558E-13</v>
      </c>
      <c r="AK90" s="13">
        <f t="shared" si="89"/>
        <v>3.6362267729089988E-12</v>
      </c>
      <c r="AL90" s="20">
        <f t="shared" si="58"/>
        <v>6.8067219078872727E-12</v>
      </c>
      <c r="AM90" s="59">
        <f t="shared" si="59"/>
        <v>293.33333333334014</v>
      </c>
      <c r="AN90" s="59">
        <f ca="1">AVERAGE(OFFSET($AM$3,0,0,'Données projet'!$E$10+1,1))-AVERAGE(OFFSET($H$3,0,0,'Données projet'!$E$10+1,1))</f>
        <v>318.97291652986593</v>
      </c>
      <c r="AO90" s="59">
        <f t="shared" si="90"/>
        <v>338.19413170988122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9.4945852419485384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1.0631796625365148E-7</v>
      </c>
      <c r="AX90" s="21">
        <f t="shared" si="60"/>
        <v>9.4945853482665044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6.6</v>
      </c>
      <c r="BD90" s="12">
        <f>IF('Données projet'!$A$88&gt;35,BD89+BC90-BL89,IF(A90&lt;'Données projet'!$A$88,$BA$205^A90,IF(A90='Données projet'!$A$88,'Données projet'!$B$88,BD89+BC90-BL89)))</f>
        <v>338.19999999999993</v>
      </c>
      <c r="BE90" s="13">
        <f>BD90*VLOOKUP('Données projet'!$B$11,Paramètres!$A$1:$I$89,3,0)*VLOOKUP('Données projet'!$B$11,Paramètres!$A$1:$I$89,5,0)</f>
        <v>284.89967999999999</v>
      </c>
      <c r="BF90" s="13">
        <f t="shared" si="91"/>
        <v>68.001404388285337</v>
      </c>
      <c r="BG90" s="20">
        <f t="shared" si="61"/>
        <v>614.63605530959683</v>
      </c>
      <c r="BH90" s="59">
        <f t="shared" si="62"/>
        <v>907.9693886429302</v>
      </c>
      <c r="BI90" s="59">
        <f ca="1">AVERAGE(OFFSET($BH$3,0,0,'Données projet'!$E$11+1,1))-AVERAGE(OFFSET($H$3,0,0,'Données projet'!$E$11+1,1))</f>
        <v>476.64466005965136</v>
      </c>
      <c r="BJ90" s="59">
        <f t="shared" si="92"/>
        <v>312.67921212138998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50.532323571827924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50.532323571827924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4.3</v>
      </c>
      <c r="BY90" s="12">
        <f>IF('Données projet'!$A$114&gt;35,BY89+BX90-CG89,IF(A90&lt;'Données projet'!$A$114,$BV$205^A90,IF(A90='Données projet'!$A$114,'Données projet'!$B$114,BY89+BX90-CG89)))</f>
        <v>208.09999999999977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318.97291652986593</v>
      </c>
      <c r="T91" s="59">
        <f t="shared" si="88"/>
        <v>338.19413170988122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4.5474735088646412E-13</v>
      </c>
      <c r="AJ91" s="13">
        <f>AI91*VLOOKUP('Données projet'!$B$10,Paramètres!$A$1:$I$89,3,0)*VLOOKUP('Données projet'!$B$10,Paramètres!$A$1:$I$89,5,0)</f>
        <v>2.7193891583010558E-13</v>
      </c>
      <c r="AK91" s="13">
        <f t="shared" si="89"/>
        <v>3.6362267729089988E-12</v>
      </c>
      <c r="AL91" s="20">
        <f t="shared" si="58"/>
        <v>6.8067219078872727E-12</v>
      </c>
      <c r="AM91" s="59">
        <f t="shared" si="59"/>
        <v>293.33333333334014</v>
      </c>
      <c r="AN91" s="59">
        <f ca="1">AVERAGE(OFFSET($AM$3,0,0,'Données projet'!$E$10+1,1))-AVERAGE(OFFSET($H$3,0,0,'Données projet'!$E$10+1,1))</f>
        <v>318.97291652986593</v>
      </c>
      <c r="AO91" s="59">
        <f t="shared" si="90"/>
        <v>338.19413170988122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9.3084022164790987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7.5178154899919477E-8</v>
      </c>
      <c r="AX91" s="21">
        <f t="shared" si="60"/>
        <v>9.308402291657254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6.6</v>
      </c>
      <c r="BD91" s="12">
        <f>IF('Données projet'!$A$88&gt;35,BD90+BC91-BL90,IF(A91&lt;'Données projet'!$A$88,$BA$205^A91,IF(A91='Données projet'!$A$88,'Données projet'!$B$88,BD90+BC91-BL90)))</f>
        <v>344.79999999999995</v>
      </c>
      <c r="BE91" s="13">
        <f>BD91*VLOOKUP('Données projet'!$B$11,Paramètres!$A$1:$I$89,3,0)*VLOOKUP('Données projet'!$B$11,Paramètres!$A$1:$I$89,5,0)</f>
        <v>290.45952</v>
      </c>
      <c r="BF91" s="13">
        <f t="shared" si="91"/>
        <v>69.172666052266209</v>
      </c>
      <c r="BG91" s="20">
        <f t="shared" si="61"/>
        <v>626.35939070769689</v>
      </c>
      <c r="BH91" s="59">
        <f t="shared" si="62"/>
        <v>919.69272404103026</v>
      </c>
      <c r="BI91" s="59">
        <f ca="1">AVERAGE(OFFSET($BH$3,0,0,'Données projet'!$E$11+1,1))-AVERAGE(OFFSET($H$3,0,0,'Données projet'!$E$11+1,1))</f>
        <v>476.64466005965136</v>
      </c>
      <c r="BJ91" s="59">
        <f t="shared" si="92"/>
        <v>312.67921212138998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49.541415528258369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49.541415528258369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4.3</v>
      </c>
      <c r="BY91" s="12">
        <f>IF('Données projet'!$A$114&gt;35,BY90+BX91-CG90,IF(A91&lt;'Données projet'!$A$114,$BV$205^A91,IF(A91='Données projet'!$A$114,'Données projet'!$B$114,BY90+BX91-CG90)))</f>
        <v>212.39999999999978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318.97291652986593</v>
      </c>
      <c r="T92" s="59">
        <f t="shared" si="88"/>
        <v>338.19413170988122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4.5474735088646412E-13</v>
      </c>
      <c r="AJ92" s="13">
        <f>AI92*VLOOKUP('Données projet'!$B$10,Paramètres!$A$1:$I$89,3,0)*VLOOKUP('Données projet'!$B$10,Paramètres!$A$1:$I$89,5,0)</f>
        <v>2.7193891583010558E-13</v>
      </c>
      <c r="AK92" s="13">
        <f t="shared" si="89"/>
        <v>3.6362267729089988E-12</v>
      </c>
      <c r="AL92" s="20">
        <f t="shared" si="58"/>
        <v>6.8067219078872727E-12</v>
      </c>
      <c r="AM92" s="59">
        <f t="shared" si="59"/>
        <v>293.33333333334014</v>
      </c>
      <c r="AN92" s="59">
        <f ca="1">AVERAGE(OFFSET($AM$3,0,0,'Données projet'!$E$10+1,1))-AVERAGE(OFFSET($H$3,0,0,'Données projet'!$E$10+1,1))</f>
        <v>318.97291652986593</v>
      </c>
      <c r="AO92" s="59">
        <f t="shared" si="90"/>
        <v>338.19413170988122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9.1258701265786826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5.3158983126825738E-8</v>
      </c>
      <c r="AX92" s="21">
        <f t="shared" si="60"/>
        <v>9.1258701797376656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6.6</v>
      </c>
      <c r="BD92" s="12">
        <f>IF('Données projet'!$A$88&gt;35,BD91+BC92-BL91,IF(A92&lt;'Données projet'!$A$88,$BA$205^A92,IF(A92='Données projet'!$A$88,'Données projet'!$B$88,BD91+BC92-BL91)))</f>
        <v>351.4</v>
      </c>
      <c r="BE92" s="13">
        <f>BD92*VLOOKUP('Données projet'!$B$11,Paramètres!$A$1:$I$89,3,0)*VLOOKUP('Données projet'!$B$11,Paramètres!$A$1:$I$89,5,0)</f>
        <v>296.01936000000001</v>
      </c>
      <c r="BF92" s="13">
        <f t="shared" si="91"/>
        <v>70.341320795108345</v>
      </c>
      <c r="BG92" s="20">
        <f t="shared" si="61"/>
        <v>638.07818571814698</v>
      </c>
      <c r="BH92" s="59">
        <f t="shared" si="62"/>
        <v>931.41151905148035</v>
      </c>
      <c r="BI92" s="59">
        <f ca="1">AVERAGE(OFFSET($BH$3,0,0,'Données projet'!$E$11+1,1))-AVERAGE(OFFSET($H$3,0,0,'Données projet'!$E$11+1,1))</f>
        <v>476.64466005965136</v>
      </c>
      <c r="BJ92" s="59">
        <f t="shared" si="92"/>
        <v>312.67921212138998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48.569938587028986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48.569938587028986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4.3</v>
      </c>
      <c r="BY92" s="12">
        <f>IF('Données projet'!$A$114&gt;35,BY91+BX92-CG91,IF(A92&lt;'Données projet'!$A$114,$BV$205^A92,IF(A92='Données projet'!$A$114,'Données projet'!$B$114,BY91+BX92-CG91)))</f>
        <v>216.69999999999979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318.97291652986593</v>
      </c>
      <c r="T93" s="59">
        <f t="shared" si="88"/>
        <v>338.19413170988122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4.5474735088646412E-13</v>
      </c>
      <c r="AJ93" s="13">
        <f>AI93*VLOOKUP('Données projet'!$B$10,Paramètres!$A$1:$I$89,3,0)*VLOOKUP('Données projet'!$B$10,Paramètres!$A$1:$I$89,5,0)</f>
        <v>2.7193891583010558E-13</v>
      </c>
      <c r="AK93" s="13">
        <f t="shared" si="89"/>
        <v>3.6362267729089988E-12</v>
      </c>
      <c r="AL93" s="20">
        <f t="shared" si="58"/>
        <v>6.8067219078872727E-12</v>
      </c>
      <c r="AM93" s="59">
        <f t="shared" si="59"/>
        <v>293.33333333334014</v>
      </c>
      <c r="AN93" s="59">
        <f ca="1">AVERAGE(OFFSET($AM$3,0,0,'Données projet'!$E$10+1,1))-AVERAGE(OFFSET($H$3,0,0,'Données projet'!$E$10+1,1))</f>
        <v>318.97291652986593</v>
      </c>
      <c r="AO93" s="59">
        <f t="shared" si="90"/>
        <v>338.19413170988122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8.9469173796276316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3.7589077449959738E-8</v>
      </c>
      <c r="AX93" s="21">
        <f t="shared" si="60"/>
        <v>8.9469174172167083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358</v>
      </c>
      <c r="BB93" s="12">
        <f>VLOOKUP(A93,'Données projet'!$A$87:$I$107,9,0)</f>
        <v>6.6</v>
      </c>
      <c r="BC93" s="12">
        <f t="array" ref="BC93">INDEX(BB:BB,MIN(IF(ISNUMBER(BB93:BB289),ROW(BB93:BB289),"")))</f>
        <v>6.6</v>
      </c>
      <c r="BD93" s="12">
        <f>IF('Données projet'!$A$88&gt;35,BD92+BC93-BL92,IF(A93&lt;'Données projet'!$A$88,$BA$205^A93,IF(A93='Données projet'!$A$88,'Données projet'!$B$88,BD92+BC93-BL92)))</f>
        <v>358</v>
      </c>
      <c r="BE93" s="13">
        <f>BD93*VLOOKUP('Données projet'!$B$11,Paramètres!$A$1:$I$89,3,0)*VLOOKUP('Données projet'!$B$11,Paramètres!$A$1:$I$89,5,0)</f>
        <v>301.57920000000007</v>
      </c>
      <c r="BF93" s="13">
        <f t="shared" si="91"/>
        <v>71.507423226130925</v>
      </c>
      <c r="BG93" s="20">
        <f t="shared" si="61"/>
        <v>649.79253545217807</v>
      </c>
      <c r="BH93" s="59">
        <f t="shared" si="62"/>
        <v>943.12586878551133</v>
      </c>
      <c r="BI93" s="59">
        <f ca="1">AVERAGE(OFFSET($BH$3,0,0,'Données projet'!$E$11+1,1))-AVERAGE(OFFSET($H$3,0,0,'Données projet'!$E$11+1,1))</f>
        <v>476.64466005965136</v>
      </c>
      <c r="BJ93" s="59">
        <f t="shared" si="92"/>
        <v>312.67921212138998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56</v>
      </c>
      <c r="BM93" s="16">
        <f>IF(ISNA(VLOOKUP(A93,'Données projet'!$A$87:$I$107,5,0)),0%,VLOOKUP(A93,'Données projet'!$A$87:$I$107,5,0)*VLOOKUP('Données projet'!$B$11,Paramètres!$A$1:$I$89,7,0))</f>
        <v>0.36549999999999999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66.678300850378122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66.678300850378122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221</v>
      </c>
      <c r="BW93" s="12">
        <f>VLOOKUP(A93,'Données projet'!$A$113:$I$133,9,0)</f>
        <v>4.3</v>
      </c>
      <c r="BX93" s="12">
        <f t="array" ref="BX93">INDEX(BW:BW,MIN(IF(ISNUMBER(BW93:BW289),ROW(BW93:BW289),"")))</f>
        <v>4.3</v>
      </c>
      <c r="BY93" s="12">
        <f>IF('Données projet'!$A$114&gt;35,BY92+BX93-CG92,IF(A93&lt;'Données projet'!$A$114,$BV$205^A93,IF(A93='Données projet'!$A$114,'Données projet'!$B$114,BY92+BX93-CG92)))</f>
        <v>220.9999999999998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7</v>
      </c>
      <c r="CG93" s="15">
        <f>IF(ISNA(VLOOKUP(A93,'Données projet'!$A$113:$I$133,4,0)),0,VLOOKUP(A93,'Données projet'!$A$113:$I$133,4,0))</f>
        <v>28</v>
      </c>
      <c r="CH93" s="16" t="e">
        <f>IF(ISNA(VLOOKUP(A93,'Données projet'!$A$113:$I$133,5,0)),0%,VLOOKUP(A93,'Données projet'!$A$113:$I$133,5,0)*VLOOKUP('Données projet'!$B$12,Paramètres!$A$1:$I$89,7,0))</f>
        <v>#N/A</v>
      </c>
      <c r="CI93" s="16" t="e">
        <f>IF(ISNA(VLOOKUP(A93,'Données projet'!$A$113:$I$133,6,0)),0%,VLOOKUP(A93,'Données projet'!$A$113:$I$133,6,0)*VLOOKUP('Données projet'!$B$12,Paramètres!$A$1:$I$89,7,0))</f>
        <v>#N/A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318.97291652986593</v>
      </c>
      <c r="T94" s="59">
        <f t="shared" si="88"/>
        <v>338.19413170988122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4.5474735088646412E-13</v>
      </c>
      <c r="AJ94" s="13">
        <f>AI94*VLOOKUP('Données projet'!$B$10,Paramètres!$A$1:$I$89,3,0)*VLOOKUP('Données projet'!$B$10,Paramètres!$A$1:$I$89,5,0)</f>
        <v>2.7193891583010558E-13</v>
      </c>
      <c r="AK94" s="13">
        <f t="shared" si="89"/>
        <v>3.6362267729089988E-12</v>
      </c>
      <c r="AL94" s="20">
        <f t="shared" si="58"/>
        <v>6.8067219078872727E-12</v>
      </c>
      <c r="AM94" s="59">
        <f t="shared" si="59"/>
        <v>293.33333333334014</v>
      </c>
      <c r="AN94" s="59">
        <f ca="1">AVERAGE(OFFSET($AM$3,0,0,'Données projet'!$E$10+1,1))-AVERAGE(OFFSET($H$3,0,0,'Données projet'!$E$10+1,1))</f>
        <v>318.97291652986593</v>
      </c>
      <c r="AO94" s="59">
        <f t="shared" si="90"/>
        <v>338.19413170988122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8.7714737868938926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2.6579491563412869E-8</v>
      </c>
      <c r="AX94" s="21">
        <f t="shared" si="60"/>
        <v>8.771473813473385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5.9</v>
      </c>
      <c r="BD94" s="12">
        <f>IF('Données projet'!$A$88&gt;35,BD93+BC94-BL93,IF(A94&lt;'Données projet'!$A$88,$BA$205^A94,IF(A94='Données projet'!$A$88,'Données projet'!$B$88,BD93+BC94-BL93)))</f>
        <v>307.89999999999998</v>
      </c>
      <c r="BE94" s="13">
        <f>BD94*VLOOKUP('Données projet'!$B$11,Paramètres!$A$1:$I$89,3,0)*VLOOKUP('Données projet'!$B$11,Paramètres!$A$1:$I$89,5,0)</f>
        <v>259.37495999999999</v>
      </c>
      <c r="BF94" s="13">
        <f t="shared" si="91"/>
        <v>62.589126028863561</v>
      </c>
      <c r="BG94" s="20">
        <f t="shared" si="61"/>
        <v>560.7541165002707</v>
      </c>
      <c r="BH94" s="59">
        <f t="shared" si="62"/>
        <v>854.08744983360407</v>
      </c>
      <c r="BI94" s="59">
        <f ca="1">AVERAGE(OFFSET($BH$3,0,0,'Données projet'!$E$11+1,1))-AVERAGE(OFFSET($H$3,0,0,'Données projet'!$E$11+1,1))</f>
        <v>476.64466005965136</v>
      </c>
      <c r="BJ94" s="59">
        <f t="shared" si="92"/>
        <v>312.67921212138998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65.370780040449915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65.370780040449915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3.7</v>
      </c>
      <c r="BY94" s="12">
        <f>IF('Données projet'!$A$114&gt;35,BY93+BX94-CG93,IF(A94&lt;'Données projet'!$A$114,$BV$205^A94,IF(A94='Données projet'!$A$114,'Données projet'!$B$114,BY93+BX94-CG93)))</f>
        <v>196.69999999999979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318.97291652986593</v>
      </c>
      <c r="T95" s="59">
        <f t="shared" si="88"/>
        <v>338.19413170988122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4.5474735088646412E-13</v>
      </c>
      <c r="AJ95" s="13">
        <f>AI95*VLOOKUP('Données projet'!$B$10,Paramètres!$A$1:$I$89,3,0)*VLOOKUP('Données projet'!$B$10,Paramètres!$A$1:$I$89,5,0)</f>
        <v>2.7193891583010558E-13</v>
      </c>
      <c r="AK95" s="13">
        <f t="shared" si="89"/>
        <v>3.6362267729089988E-12</v>
      </c>
      <c r="AL95" s="20">
        <f t="shared" si="58"/>
        <v>6.8067219078872727E-12</v>
      </c>
      <c r="AM95" s="59">
        <f t="shared" si="59"/>
        <v>293.33333333334014</v>
      </c>
      <c r="AN95" s="59">
        <f ca="1">AVERAGE(OFFSET($AM$3,0,0,'Données projet'!$E$10+1,1))-AVERAGE(OFFSET($H$3,0,0,'Données projet'!$E$10+1,1))</f>
        <v>318.97291652986593</v>
      </c>
      <c r="AO95" s="59">
        <f t="shared" si="90"/>
        <v>338.19413170988122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8.5994705360036381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1.8794538724979869E-8</v>
      </c>
      <c r="AX95" s="21">
        <f t="shared" si="60"/>
        <v>8.5994705547981773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5.9</v>
      </c>
      <c r="BD95" s="12">
        <f>IF('Données projet'!$A$88&gt;35,BD94+BC95-BL94,IF(A95&lt;'Données projet'!$A$88,$BA$205^A95,IF(A95='Données projet'!$A$88,'Données projet'!$B$88,BD94+BC95-BL94)))</f>
        <v>313.79999999999995</v>
      </c>
      <c r="BE95" s="13">
        <f>BD95*VLOOKUP('Données projet'!$B$11,Paramètres!$A$1:$I$89,3,0)*VLOOKUP('Données projet'!$B$11,Paramètres!$A$1:$I$89,5,0)</f>
        <v>264.34512000000001</v>
      </c>
      <c r="BF95" s="13">
        <f t="shared" si="91"/>
        <v>63.647686641828493</v>
      </c>
      <c r="BG95" s="20">
        <f t="shared" si="61"/>
        <v>571.25413823451788</v>
      </c>
      <c r="BH95" s="59">
        <f t="shared" si="62"/>
        <v>864.58747156785125</v>
      </c>
      <c r="BI95" s="59">
        <f ca="1">AVERAGE(OFFSET($BH$3,0,0,'Données projet'!$E$11+1,1))-AVERAGE(OFFSET($H$3,0,0,'Données projet'!$E$11+1,1))</f>
        <v>476.64466005965136</v>
      </c>
      <c r="BJ95" s="59">
        <f t="shared" si="92"/>
        <v>312.67921212138998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64.088898916095459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64.088898916095459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3.7</v>
      </c>
      <c r="BY95" s="12">
        <f>IF('Données projet'!$A$114&gt;35,BY94+BX95-CG94,IF(A95&lt;'Données projet'!$A$114,$BV$205^A95,IF(A95='Données projet'!$A$114,'Données projet'!$B$114,BY94+BX95-CG94)))</f>
        <v>200.39999999999978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318.97291652986593</v>
      </c>
      <c r="T96" s="59">
        <f t="shared" si="88"/>
        <v>338.19413170988122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4.5474735088646412E-13</v>
      </c>
      <c r="AJ96" s="13">
        <f>AI96*VLOOKUP('Données projet'!$B$10,Paramètres!$A$1:$I$89,3,0)*VLOOKUP('Données projet'!$B$10,Paramètres!$A$1:$I$89,5,0)</f>
        <v>2.7193891583010558E-13</v>
      </c>
      <c r="AK96" s="13">
        <f t="shared" si="89"/>
        <v>3.6362267729089988E-12</v>
      </c>
      <c r="AL96" s="20">
        <f t="shared" si="58"/>
        <v>6.8067219078872727E-12</v>
      </c>
      <c r="AM96" s="59">
        <f t="shared" si="59"/>
        <v>293.33333333334014</v>
      </c>
      <c r="AN96" s="59">
        <f ca="1">AVERAGE(OFFSET($AM$3,0,0,'Données projet'!$E$10+1,1))-AVERAGE(OFFSET($H$3,0,0,'Données projet'!$E$10+1,1))</f>
        <v>318.97291652986593</v>
      </c>
      <c r="AO96" s="59">
        <f t="shared" si="90"/>
        <v>338.19413170988122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8.4308401639517179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1.3289745781706434E-8</v>
      </c>
      <c r="AX96" s="21">
        <f t="shared" si="60"/>
        <v>8.4308401772414641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5.9</v>
      </c>
      <c r="BD96" s="12">
        <f>IF('Données projet'!$A$88&gt;35,BD95+BC96-BL95,IF(A96&lt;'Données projet'!$A$88,$BA$205^A96,IF(A96='Données projet'!$A$88,'Données projet'!$B$88,BD95+BC96-BL95)))</f>
        <v>319.69999999999993</v>
      </c>
      <c r="BE96" s="13">
        <f>BD96*VLOOKUP('Données projet'!$B$11,Paramètres!$A$1:$I$89,3,0)*VLOOKUP('Données projet'!$B$11,Paramètres!$A$1:$I$89,5,0)</f>
        <v>269.31527999999997</v>
      </c>
      <c r="BF96" s="13">
        <f t="shared" si="91"/>
        <v>64.703932954620839</v>
      </c>
      <c r="BG96" s="20">
        <f t="shared" si="61"/>
        <v>581.75012922929784</v>
      </c>
      <c r="BH96" s="59">
        <f t="shared" si="62"/>
        <v>875.08346256263121</v>
      </c>
      <c r="BI96" s="59">
        <f ca="1">AVERAGE(OFFSET($BH$3,0,0,'Données projet'!$E$11+1,1))-AVERAGE(OFFSET($H$3,0,0,'Données projet'!$E$11+1,1))</f>
        <v>476.64466005965136</v>
      </c>
      <c r="BJ96" s="59">
        <f t="shared" si="92"/>
        <v>312.67921212138998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62.832154698719314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62.832154698719314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3.7</v>
      </c>
      <c r="BY96" s="12">
        <f>IF('Données projet'!$A$114&gt;35,BY95+BX96-CG95,IF(A96&lt;'Données projet'!$A$114,$BV$205^A96,IF(A96='Données projet'!$A$114,'Données projet'!$B$114,BY95+BX96-CG95)))</f>
        <v>204.09999999999977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318.97291652986593</v>
      </c>
      <c r="T97" s="59">
        <f t="shared" si="88"/>
        <v>338.19413170988122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4.5474735088646412E-13</v>
      </c>
      <c r="AJ97" s="13">
        <f>AI97*VLOOKUP('Données projet'!$B$10,Paramètres!$A$1:$I$89,3,0)*VLOOKUP('Données projet'!$B$10,Paramètres!$A$1:$I$89,5,0)</f>
        <v>2.7193891583010558E-13</v>
      </c>
      <c r="AK97" s="13">
        <f t="shared" si="89"/>
        <v>3.6362267729089988E-12</v>
      </c>
      <c r="AL97" s="20">
        <f t="shared" si="58"/>
        <v>6.8067219078872727E-12</v>
      </c>
      <c r="AM97" s="59">
        <f t="shared" si="59"/>
        <v>293.33333333334014</v>
      </c>
      <c r="AN97" s="59">
        <f ca="1">AVERAGE(OFFSET($AM$3,0,0,'Données projet'!$E$10+1,1))-AVERAGE(OFFSET($H$3,0,0,'Données projet'!$E$10+1,1))</f>
        <v>318.97291652986593</v>
      </c>
      <c r="AO97" s="59">
        <f t="shared" si="90"/>
        <v>338.19413170988122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8.2655165306413636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9.3972693624899346E-9</v>
      </c>
      <c r="AX97" s="21">
        <f t="shared" si="60"/>
        <v>8.2655165400386323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5.9</v>
      </c>
      <c r="BD97" s="12">
        <f>IF('Données projet'!$A$88&gt;35,BD96+BC97-BL96,IF(A97&lt;'Données projet'!$A$88,$BA$205^A97,IF(A97='Données projet'!$A$88,'Données projet'!$B$88,BD96+BC97-BL96)))</f>
        <v>325.59999999999991</v>
      </c>
      <c r="BE97" s="13">
        <f>BD97*VLOOKUP('Données projet'!$B$11,Paramètres!$A$1:$I$89,3,0)*VLOOKUP('Données projet'!$B$11,Paramètres!$A$1:$I$89,5,0)</f>
        <v>274.28543999999994</v>
      </c>
      <c r="BF97" s="13">
        <f t="shared" si="91"/>
        <v>65.75791260290552</v>
      </c>
      <c r="BG97" s="20">
        <f t="shared" si="61"/>
        <v>592.24217245006037</v>
      </c>
      <c r="BH97" s="59">
        <f t="shared" si="62"/>
        <v>885.57550578339374</v>
      </c>
      <c r="BI97" s="59">
        <f ca="1">AVERAGE(OFFSET($BH$3,0,0,'Données projet'!$E$11+1,1))-AVERAGE(OFFSET($H$3,0,0,'Données projet'!$E$11+1,1))</f>
        <v>476.64466005965136</v>
      </c>
      <c r="BJ97" s="59">
        <f t="shared" si="92"/>
        <v>312.67921212138998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61.600054468907629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61.600054468907629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3.7</v>
      </c>
      <c r="BY97" s="12">
        <f>IF('Données projet'!$A$114&gt;35,BY96+BX97-CG96,IF(A97&lt;'Données projet'!$A$114,$BV$205^A97,IF(A97='Données projet'!$A$114,'Données projet'!$B$114,BY96+BX97-CG96)))</f>
        <v>207.79999999999976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318.97291652986593</v>
      </c>
      <c r="T98" s="59">
        <f t="shared" si="88"/>
        <v>338.19413170988122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4.5474735088646412E-13</v>
      </c>
      <c r="AJ98" s="13">
        <f>AI98*VLOOKUP('Données projet'!$B$10,Paramètres!$A$1:$I$89,3,0)*VLOOKUP('Données projet'!$B$10,Paramètres!$A$1:$I$89,5,0)</f>
        <v>2.7193891583010558E-13</v>
      </c>
      <c r="AK98" s="13">
        <f t="shared" si="89"/>
        <v>3.6362267729089988E-12</v>
      </c>
      <c r="AL98" s="20">
        <f t="shared" si="58"/>
        <v>6.8067219078872727E-12</v>
      </c>
      <c r="AM98" s="59">
        <f t="shared" si="59"/>
        <v>293.33333333334014</v>
      </c>
      <c r="AN98" s="59">
        <f ca="1">AVERAGE(OFFSET($AM$3,0,0,'Données projet'!$E$10+1,1))-AVERAGE(OFFSET($H$3,0,0,'Données projet'!$E$10+1,1))</f>
        <v>318.97291652986593</v>
      </c>
      <c r="AO98" s="59">
        <f t="shared" si="90"/>
        <v>338.19413170988122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8.1034347929427675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6.6448728908532172E-9</v>
      </c>
      <c r="AX98" s="21">
        <f t="shared" si="60"/>
        <v>8.1034347995876406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5.9</v>
      </c>
      <c r="BD98" s="12">
        <f>IF('Données projet'!$A$88&gt;35,BD97+BC98-BL97,IF(A98&lt;'Données projet'!$A$88,$BA$205^A98,IF(A98='Données projet'!$A$88,'Données projet'!$B$88,BD97+BC98-BL97)))</f>
        <v>331.49999999999989</v>
      </c>
      <c r="BE98" s="13">
        <f>BD98*VLOOKUP('Données projet'!$B$11,Paramètres!$A$1:$I$89,3,0)*VLOOKUP('Données projet'!$B$11,Paramètres!$A$1:$I$89,5,0)</f>
        <v>279.25559999999996</v>
      </c>
      <c r="BF98" s="13">
        <f t="shared" si="91"/>
        <v>66.809671397146161</v>
      </c>
      <c r="BG98" s="20">
        <f t="shared" si="61"/>
        <v>602.73034768336277</v>
      </c>
      <c r="BH98" s="59">
        <f t="shared" si="62"/>
        <v>896.06368101669614</v>
      </c>
      <c r="BI98" s="59">
        <f ca="1">AVERAGE(OFFSET($BH$3,0,0,'Données projet'!$E$11+1,1))-AVERAGE(OFFSET($H$3,0,0,'Données projet'!$E$11+1,1))</f>
        <v>476.64466005965136</v>
      </c>
      <c r="BJ98" s="59">
        <f t="shared" si="92"/>
        <v>312.67921212138998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60.392114973095616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60.392114973095616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3.7</v>
      </c>
      <c r="BY98" s="12">
        <f>IF('Données projet'!$A$114&gt;35,BY97+BX98-CG97,IF(A98&lt;'Données projet'!$A$114,$BV$205^A98,IF(A98='Données projet'!$A$114,'Données projet'!$B$114,BY97+BX98-CG97)))</f>
        <v>211.49999999999974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318.97291652986593</v>
      </c>
      <c r="T99" s="59">
        <f t="shared" si="88"/>
        <v>338.19413170988122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4.5474735088646412E-13</v>
      </c>
      <c r="AJ99" s="13">
        <f>AI99*VLOOKUP('Données projet'!$B$10,Paramètres!$A$1:$I$89,3,0)*VLOOKUP('Données projet'!$B$10,Paramètres!$A$1:$I$89,5,0)</f>
        <v>2.7193891583010558E-13</v>
      </c>
      <c r="AK99" s="13">
        <f t="shared" si="89"/>
        <v>3.6362267729089988E-12</v>
      </c>
      <c r="AL99" s="20">
        <f t="shared" si="58"/>
        <v>6.8067219078872727E-12</v>
      </c>
      <c r="AM99" s="59">
        <f t="shared" si="59"/>
        <v>293.33333333334014</v>
      </c>
      <c r="AN99" s="59">
        <f ca="1">AVERAGE(OFFSET($AM$3,0,0,'Données projet'!$E$10+1,1))-AVERAGE(OFFSET($H$3,0,0,'Données projet'!$E$10+1,1))</f>
        <v>318.97291652986593</v>
      </c>
      <c r="AO99" s="59">
        <f t="shared" si="90"/>
        <v>338.19413170988122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7.9445313792603418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4.6986346812449673E-9</v>
      </c>
      <c r="AX99" s="21">
        <f t="shared" si="60"/>
        <v>7.9445313839589762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5.9</v>
      </c>
      <c r="BD99" s="12">
        <f>IF('Données projet'!$A$88&gt;35,BD98+BC99-BL98,IF(A99&lt;'Données projet'!$A$88,$BA$205^A99,IF(A99='Données projet'!$A$88,'Données projet'!$B$88,BD98+BC99-BL98)))</f>
        <v>337.39999999999986</v>
      </c>
      <c r="BE99" s="13">
        <f>BD99*VLOOKUP('Données projet'!$B$11,Paramètres!$A$1:$I$89,3,0)*VLOOKUP('Données projet'!$B$11,Paramètres!$A$1:$I$89,5,0)</f>
        <v>284.22575999999992</v>
      </c>
      <c r="BF99" s="13">
        <f t="shared" si="91"/>
        <v>67.859253423756542</v>
      </c>
      <c r="BG99" s="20">
        <f t="shared" si="61"/>
        <v>613.2147317130424</v>
      </c>
      <c r="BH99" s="59">
        <f t="shared" si="62"/>
        <v>906.54806504637577</v>
      </c>
      <c r="BI99" s="59">
        <f ca="1">AVERAGE(OFFSET($BH$3,0,0,'Données projet'!$E$11+1,1))-AVERAGE(OFFSET($H$3,0,0,'Données projet'!$E$11+1,1))</f>
        <v>476.64466005965136</v>
      </c>
      <c r="BJ99" s="59">
        <f t="shared" si="92"/>
        <v>312.67921212138998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59.207862434026133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59.207862434026133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3.7</v>
      </c>
      <c r="BY99" s="12">
        <f>IF('Données projet'!$A$114&gt;35,BY98+BX99-CG98,IF(A99&lt;'Données projet'!$A$114,$BV$205^A99,IF(A99='Données projet'!$A$114,'Données projet'!$B$114,BY98+BX99-CG98)))</f>
        <v>215.19999999999973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318.97291652986593</v>
      </c>
      <c r="T100" s="59">
        <f t="shared" si="88"/>
        <v>338.19413170988122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4.5474735088646412E-13</v>
      </c>
      <c r="AJ100" s="13">
        <f>AI100*VLOOKUP('Données projet'!$B$10,Paramètres!$A$1:$I$89,3,0)*VLOOKUP('Données projet'!$B$10,Paramètres!$A$1:$I$89,5,0)</f>
        <v>2.7193891583010558E-13</v>
      </c>
      <c r="AK100" s="13">
        <f t="shared" si="89"/>
        <v>3.6362267729089988E-12</v>
      </c>
      <c r="AL100" s="20">
        <f t="shared" si="58"/>
        <v>6.8067219078872727E-12</v>
      </c>
      <c r="AM100" s="59">
        <f t="shared" si="59"/>
        <v>293.33333333334014</v>
      </c>
      <c r="AN100" s="59">
        <f ca="1">AVERAGE(OFFSET($AM$3,0,0,'Données projet'!$E$10+1,1))-AVERAGE(OFFSET($H$3,0,0,'Données projet'!$E$10+1,1))</f>
        <v>318.97291652986593</v>
      </c>
      <c r="AO100" s="59">
        <f t="shared" si="90"/>
        <v>338.19413170988122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7.7887439645987158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3.3224364454266086E-9</v>
      </c>
      <c r="AX100" s="21">
        <f t="shared" si="60"/>
        <v>7.7887439679211523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5.9</v>
      </c>
      <c r="BD100" s="12">
        <f>IF('Données projet'!$A$88&gt;35,BD99+BC100-BL99,IF(A100&lt;'Données projet'!$A$88,$BA$205^A100,IF(A100='Données projet'!$A$88,'Données projet'!$B$88,BD99+BC100-BL99)))</f>
        <v>343.29999999999984</v>
      </c>
      <c r="BE100" s="13">
        <f>BD100*VLOOKUP('Données projet'!$B$11,Paramètres!$A$1:$I$89,3,0)*VLOOKUP('Données projet'!$B$11,Paramètres!$A$1:$I$89,5,0)</f>
        <v>289.19591999999989</v>
      </c>
      <c r="BF100" s="13">
        <f t="shared" si="91"/>
        <v>68.906701138977155</v>
      </c>
      <c r="BG100" s="20">
        <f t="shared" si="61"/>
        <v>623.69539848371835</v>
      </c>
      <c r="BH100" s="59">
        <f t="shared" si="62"/>
        <v>917.02873181705172</v>
      </c>
      <c r="BI100" s="59">
        <f ca="1">AVERAGE(OFFSET($BH$3,0,0,'Données projet'!$E$11+1,1))-AVERAGE(OFFSET($H$3,0,0,'Données projet'!$E$11+1,1))</f>
        <v>476.64466005965136</v>
      </c>
      <c r="BJ100" s="59">
        <f t="shared" si="92"/>
        <v>312.67921212138998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58.046832364925081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58.046832364925081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3.7</v>
      </c>
      <c r="BY100" s="12">
        <f>IF('Données projet'!$A$114&gt;35,BY99+BX100-CG99,IF(A100&lt;'Données projet'!$A$114,$BV$205^A100,IF(A100='Données projet'!$A$114,'Données projet'!$B$114,BY99+BX100-CG99)))</f>
        <v>218.89999999999972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318.97291652986593</v>
      </c>
      <c r="T101" s="59">
        <f t="shared" si="88"/>
        <v>338.19413170988122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4.5474735088646412E-13</v>
      </c>
      <c r="AJ101" s="13">
        <f>AI101*VLOOKUP('Données projet'!$B$10,Paramètres!$A$1:$I$89,3,0)*VLOOKUP('Données projet'!$B$10,Paramètres!$A$1:$I$89,5,0)</f>
        <v>2.7193891583010558E-13</v>
      </c>
      <c r="AK101" s="13">
        <f t="shared" si="89"/>
        <v>3.6362267729089988E-12</v>
      </c>
      <c r="AL101" s="20">
        <f t="shared" si="58"/>
        <v>6.8067219078872727E-12</v>
      </c>
      <c r="AM101" s="59">
        <f t="shared" si="59"/>
        <v>293.33333333334014</v>
      </c>
      <c r="AN101" s="59">
        <f ca="1">AVERAGE(OFFSET($AM$3,0,0,'Données projet'!$E$10+1,1))-AVERAGE(OFFSET($H$3,0,0,'Données projet'!$E$10+1,1))</f>
        <v>318.97291652986593</v>
      </c>
      <c r="AO101" s="59">
        <f t="shared" si="90"/>
        <v>338.19413170988122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7.6360114461176645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2.3493173406224837E-9</v>
      </c>
      <c r="AX101" s="21">
        <f t="shared" si="60"/>
        <v>7.6360114484669817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5.9</v>
      </c>
      <c r="BD101" s="12">
        <f>IF('Données projet'!$A$88&gt;35,BD100+BC101-BL100,IF(A101&lt;'Données projet'!$A$88,$BA$205^A101,IF(A101='Données projet'!$A$88,'Données projet'!$B$88,BD100+BC101-BL100)))</f>
        <v>349.19999999999982</v>
      </c>
      <c r="BE101" s="13">
        <f>BD101*VLOOKUP('Données projet'!$B$11,Paramètres!$A$1:$I$89,3,0)*VLOOKUP('Données projet'!$B$11,Paramètres!$A$1:$I$89,5,0)</f>
        <v>294.16607999999991</v>
      </c>
      <c r="BF101" s="13">
        <f t="shared" si="91"/>
        <v>69.952055456115559</v>
      </c>
      <c r="BG101" s="20">
        <f t="shared" si="61"/>
        <v>634.17241925273436</v>
      </c>
      <c r="BH101" s="59">
        <f t="shared" si="62"/>
        <v>927.50575258606773</v>
      </c>
      <c r="BI101" s="59">
        <f ca="1">AVERAGE(OFFSET($BH$3,0,0,'Données projet'!$E$11+1,1))-AVERAGE(OFFSET($H$3,0,0,'Données projet'!$E$11+1,1))</f>
        <v>476.64466005965136</v>
      </c>
      <c r="BJ101" s="59">
        <f t="shared" si="92"/>
        <v>312.67921212138998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56.908569387320682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56.908569387320682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3.7</v>
      </c>
      <c r="BY101" s="12">
        <f>IF('Données projet'!$A$114&gt;35,BY100+BX101-CG100,IF(A101&lt;'Données projet'!$A$114,$BV$205^A101,IF(A101='Données projet'!$A$114,'Données projet'!$B$114,BY100+BX101-CG100)))</f>
        <v>222.59999999999971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318.97291652986593</v>
      </c>
      <c r="T102" s="59">
        <f t="shared" si="88"/>
        <v>338.19413170988122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4.5474735088646412E-13</v>
      </c>
      <c r="AJ102" s="13">
        <f>AI102*VLOOKUP('Données projet'!$B$10,Paramètres!$A$1:$I$89,3,0)*VLOOKUP('Données projet'!$B$10,Paramètres!$A$1:$I$89,5,0)</f>
        <v>2.7193891583010558E-13</v>
      </c>
      <c r="AK102" s="13">
        <f t="shared" si="89"/>
        <v>3.6362267729089988E-12</v>
      </c>
      <c r="AL102" s="20">
        <f t="shared" si="58"/>
        <v>6.8067219078872727E-12</v>
      </c>
      <c r="AM102" s="59">
        <f t="shared" si="59"/>
        <v>293.33333333334014</v>
      </c>
      <c r="AN102" s="59">
        <f ca="1">AVERAGE(OFFSET($AM$3,0,0,'Données projet'!$E$10+1,1))-AVERAGE(OFFSET($H$3,0,0,'Données projet'!$E$10+1,1))</f>
        <v>318.97291652986593</v>
      </c>
      <c r="AO102" s="59">
        <f t="shared" si="90"/>
        <v>338.19413170988122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7.486273919166389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1.6612182227133043E-9</v>
      </c>
      <c r="AX102" s="21">
        <f t="shared" si="60"/>
        <v>7.4862739208276068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5.9</v>
      </c>
      <c r="BD102" s="12">
        <f>IF('Données projet'!$A$88&gt;35,BD101+BC102-BL101,IF(A102&lt;'Données projet'!$A$88,$BA$205^A102,IF(A102='Données projet'!$A$88,'Données projet'!$B$88,BD101+BC102-BL101)))</f>
        <v>355.0999999999998</v>
      </c>
      <c r="BE102" s="13">
        <f>BD102*VLOOKUP('Données projet'!$B$11,Paramètres!$A$1:$I$89,3,0)*VLOOKUP('Données projet'!$B$11,Paramètres!$A$1:$I$89,5,0)</f>
        <v>299.13623999999987</v>
      </c>
      <c r="BF102" s="13">
        <f t="shared" si="91"/>
        <v>70.995355826722829</v>
      </c>
      <c r="BG102" s="20">
        <f t="shared" si="61"/>
        <v>644.64586273154202</v>
      </c>
      <c r="BH102" s="59">
        <f t="shared" si="62"/>
        <v>937.9791960648754</v>
      </c>
      <c r="BI102" s="59">
        <f ca="1">AVERAGE(OFFSET($BH$3,0,0,'Données projet'!$E$11+1,1))-AVERAGE(OFFSET($H$3,0,0,'Données projet'!$E$11+1,1))</f>
        <v>476.64466005965136</v>
      </c>
      <c r="BJ102" s="59">
        <f t="shared" si="92"/>
        <v>312.67921212138998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55.792627052435243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55.792627052435243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3.7</v>
      </c>
      <c r="BY102" s="12">
        <f>IF('Données projet'!$A$114&gt;35,BY101+BX102-CG101,IF(A102&lt;'Données projet'!$A$114,$BV$205^A102,IF(A102='Données projet'!$A$114,'Données projet'!$B$114,BY101+BX102-CG101)))</f>
        <v>226.2999999999997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318.97291652986593</v>
      </c>
      <c r="T103" s="59">
        <f t="shared" si="88"/>
        <v>338.19413170988122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4.5474735088646412E-13</v>
      </c>
      <c r="AJ103" s="13">
        <f>AI103*VLOOKUP('Données projet'!$B$10,Paramètres!$A$1:$I$89,3,0)*VLOOKUP('Données projet'!$B$10,Paramètres!$A$1:$I$89,5,0)</f>
        <v>2.7193891583010558E-13</v>
      </c>
      <c r="AK103" s="13">
        <f t="shared" si="89"/>
        <v>3.6362267729089988E-12</v>
      </c>
      <c r="AL103" s="20">
        <f t="shared" si="58"/>
        <v>6.8067219078872727E-12</v>
      </c>
      <c r="AM103" s="59">
        <f t="shared" si="59"/>
        <v>293.33333333334014</v>
      </c>
      <c r="AN103" s="59">
        <f ca="1">AVERAGE(OFFSET($AM$3,0,0,'Données projet'!$E$10+1,1))-AVERAGE(OFFSET($H$3,0,0,'Données projet'!$E$10+1,1))</f>
        <v>318.97291652986593</v>
      </c>
      <c r="AO103" s="59">
        <f t="shared" si="90"/>
        <v>338.19413170988122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7.3394726537877544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1.1746586703112418E-9</v>
      </c>
      <c r="AX103" s="21">
        <f t="shared" si="60"/>
        <v>7.339472654962413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361</v>
      </c>
      <c r="BB103" s="12">
        <f>VLOOKUP(A103,'Données projet'!$A$87:$I$107,9,0)</f>
        <v>5.9</v>
      </c>
      <c r="BC103" s="12">
        <f t="array" ref="BC103">INDEX(BB:BB,MIN(IF(ISNUMBER(BB103:BB299),ROW(BB103:BB299),"")))</f>
        <v>5.9</v>
      </c>
      <c r="BD103" s="12">
        <f>IF('Données projet'!$A$88&gt;35,BD102+BC103-BL102,IF(A103&lt;'Données projet'!$A$88,$BA$205^A103,IF(A103='Données projet'!$A$88,'Données projet'!$B$88,BD102+BC103-BL102)))</f>
        <v>360.99999999999977</v>
      </c>
      <c r="BE103" s="13">
        <f>BD103*VLOOKUP('Données projet'!$B$11,Paramètres!$A$1:$I$89,3,0)*VLOOKUP('Données projet'!$B$11,Paramètres!$A$1:$I$89,5,0)</f>
        <v>304.10639999999984</v>
      </c>
      <c r="BF103" s="13">
        <f t="shared" si="91"/>
        <v>72.036640316223298</v>
      </c>
      <c r="BG103" s="20">
        <f t="shared" si="61"/>
        <v>655.11579521742192</v>
      </c>
      <c r="BH103" s="59">
        <f t="shared" si="62"/>
        <v>948.44912855075518</v>
      </c>
      <c r="BI103" s="59">
        <f ca="1">AVERAGE(OFFSET($BH$3,0,0,'Données projet'!$E$11+1,1))-AVERAGE(OFFSET($H$3,0,0,'Données projet'!$E$11+1,1))</f>
        <v>476.64466005965136</v>
      </c>
      <c r="BJ103" s="59">
        <f t="shared" si="92"/>
        <v>312.67921212138998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55</v>
      </c>
      <c r="BM103" s="16">
        <f>IF(ISNA(VLOOKUP(A103,'Données projet'!$A$87:$I$107,5,0)),0%,VLOOKUP(A103,'Données projet'!$A$87:$I$107,5,0)*VLOOKUP('Données projet'!$B$11,Paramètres!$A$1:$I$89,7,0))</f>
        <v>0.36549999999999999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73.418985565841581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73.418985565841581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230</v>
      </c>
      <c r="BW103" s="12">
        <f>VLOOKUP(A103,'Données projet'!$A$113:$I$133,9,0)</f>
        <v>3.7</v>
      </c>
      <c r="BX103" s="12">
        <f t="array" ref="BX103">INDEX(BW:BW,MIN(IF(ISNUMBER(BW103:BW299),ROW(BW103:BW299),"")))</f>
        <v>3.7</v>
      </c>
      <c r="BY103" s="12">
        <f>IF('Données projet'!$A$114&gt;35,BY102+BX103-CG102,IF(A103&lt;'Données projet'!$A$114,$BV$205^A103,IF(A103='Données projet'!$A$114,'Données projet'!$B$114,BY102+BX103-CG102)))</f>
        <v>229.99999999999969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8</v>
      </c>
      <c r="CG103" s="15">
        <f>IF(ISNA(VLOOKUP(A103,'Données projet'!$A$113:$I$133,4,0)),0,VLOOKUP(A103,'Données projet'!$A$113:$I$133,4,0))</f>
        <v>28</v>
      </c>
      <c r="CH103" s="16" t="e">
        <f>IF(ISNA(VLOOKUP(A103,'Données projet'!$A$113:$I$133,5,0)),0%,VLOOKUP(A103,'Données projet'!$A$113:$I$133,5,0)*VLOOKUP('Données projet'!$B$12,Paramètres!$A$1:$I$89,7,0))</f>
        <v>#N/A</v>
      </c>
      <c r="CI103" s="16" t="e">
        <f>IF(ISNA(VLOOKUP(A103,'Données projet'!$A$113:$I$133,6,0)),0%,VLOOKUP(A103,'Données projet'!$A$113:$I$133,6,0)*VLOOKUP('Données projet'!$B$12,Paramètres!$A$1:$I$89,7,0))</f>
        <v>#N/A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318.97291652986593</v>
      </c>
      <c r="T104" s="59">
        <f t="shared" si="88"/>
        <v>338.19413170988122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4.5474735088646412E-13</v>
      </c>
      <c r="AJ104" s="13">
        <f>AI104*VLOOKUP('Données projet'!$B$10,Paramètres!$A$1:$I$89,3,0)*VLOOKUP('Données projet'!$B$10,Paramètres!$A$1:$I$89,5,0)</f>
        <v>2.7193891583010558E-13</v>
      </c>
      <c r="AK104" s="13">
        <f t="shared" si="89"/>
        <v>3.6362267729089988E-12</v>
      </c>
      <c r="AL104" s="20">
        <f t="shared" si="58"/>
        <v>6.8067219078872727E-12</v>
      </c>
      <c r="AM104" s="59">
        <f t="shared" si="59"/>
        <v>293.33333333334014</v>
      </c>
      <c r="AN104" s="59">
        <f ca="1">AVERAGE(OFFSET($AM$3,0,0,'Données projet'!$E$10+1,1))-AVERAGE(OFFSET($H$3,0,0,'Données projet'!$E$10+1,1))</f>
        <v>318.97291652986593</v>
      </c>
      <c r="AO104" s="59">
        <f t="shared" si="90"/>
        <v>338.19413170988122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7.1955500716832645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8.3060911135665215E-10</v>
      </c>
      <c r="AX104" s="21">
        <f t="shared" si="60"/>
        <v>7.1955500725138739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</v>
      </c>
      <c r="BD104" s="12">
        <f>IF('Données projet'!$A$88&gt;35,BD103+BC104-BL103,IF(A104&lt;'Données projet'!$A$88,$BA$205^A104,IF(A104='Données projet'!$A$88,'Données projet'!$B$88,BD103+BC104-BL103)))</f>
        <v>311.19999999999976</v>
      </c>
      <c r="BE104" s="13">
        <f>BD104*VLOOKUP('Données projet'!$B$11,Paramètres!$A$1:$I$89,3,0)*VLOOKUP('Données projet'!$B$11,Paramètres!$A$1:$I$89,5,0)</f>
        <v>262.15487999999982</v>
      </c>
      <c r="BF104" s="13">
        <f t="shared" si="91"/>
        <v>63.181490407105123</v>
      </c>
      <c r="BG104" s="20">
        <f t="shared" si="61"/>
        <v>566.62751179237432</v>
      </c>
      <c r="BH104" s="59">
        <f t="shared" si="62"/>
        <v>859.96084512570769</v>
      </c>
      <c r="BI104" s="59">
        <f ca="1">AVERAGE(OFFSET($BH$3,0,0,'Données projet'!$E$11+1,1))-AVERAGE(OFFSET($H$3,0,0,'Données projet'!$E$11+1,1))</f>
        <v>476.64466005965136</v>
      </c>
      <c r="BJ104" s="59">
        <f t="shared" si="92"/>
        <v>312.67921212138998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71.97928404005485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71.97928404005485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3.2</v>
      </c>
      <c r="BY104" s="12">
        <f>IF('Données projet'!$A$114&gt;35,BY103+BX104-CG103,IF(A104&lt;'Données projet'!$A$114,$BV$205^A104,IF(A104='Données projet'!$A$114,'Données projet'!$B$114,BY103+BX104-CG103)))</f>
        <v>205.19999999999968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318.97291652986593</v>
      </c>
      <c r="T105" s="59">
        <f t="shared" si="88"/>
        <v>338.19413170988122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4.5474735088646412E-13</v>
      </c>
      <c r="AJ105" s="13">
        <f>AI105*VLOOKUP('Données projet'!$B$10,Paramètres!$A$1:$I$89,3,0)*VLOOKUP('Données projet'!$B$10,Paramètres!$A$1:$I$89,5,0)</f>
        <v>2.7193891583010558E-13</v>
      </c>
      <c r="AK105" s="13">
        <f t="shared" si="89"/>
        <v>3.6362267729089988E-12</v>
      </c>
      <c r="AL105" s="20">
        <f t="shared" si="58"/>
        <v>6.8067219078872727E-12</v>
      </c>
      <c r="AM105" s="59">
        <f t="shared" si="59"/>
        <v>293.33333333334014</v>
      </c>
      <c r="AN105" s="59">
        <f ca="1">AVERAGE(OFFSET($AM$3,0,0,'Données projet'!$E$10+1,1))-AVERAGE(OFFSET($H$3,0,0,'Données projet'!$E$10+1,1))</f>
        <v>318.97291652986593</v>
      </c>
      <c r="AO105" s="59">
        <f t="shared" si="90"/>
        <v>338.19413170988122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7.0544497236297365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5.8732933515562091E-10</v>
      </c>
      <c r="AX105" s="21">
        <f t="shared" si="60"/>
        <v>7.0544497242170658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</v>
      </c>
      <c r="BD105" s="12">
        <f>IF('Données projet'!$A$88&gt;35,BD104+BC105-BL104,IF(A105&lt;'Données projet'!$A$88,$BA$205^A105,IF(A105='Données projet'!$A$88,'Données projet'!$B$88,BD104+BC105-BL104)))</f>
        <v>316.39999999999975</v>
      </c>
      <c r="BE105" s="13">
        <f>BD105*VLOOKUP('Données projet'!$B$11,Paramètres!$A$1:$I$89,3,0)*VLOOKUP('Données projet'!$B$11,Paramètres!$A$1:$I$89,5,0)</f>
        <v>266.5353599999998</v>
      </c>
      <c r="BF105" s="13">
        <f t="shared" si="91"/>
        <v>64.113433471449738</v>
      </c>
      <c r="BG105" s="20">
        <f t="shared" si="61"/>
        <v>575.87998196277465</v>
      </c>
      <c r="BH105" s="59">
        <f t="shared" si="62"/>
        <v>869.21331529610802</v>
      </c>
      <c r="BI105" s="59">
        <f ca="1">AVERAGE(OFFSET($BH$3,0,0,'Données projet'!$E$11+1,1))-AVERAGE(OFFSET($H$3,0,0,'Données projet'!$E$11+1,1))</f>
        <v>476.64466005965136</v>
      </c>
      <c r="BJ105" s="59">
        <f t="shared" si="92"/>
        <v>312.67921212138998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70.567814183057578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70.567814183057578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3.2</v>
      </c>
      <c r="BY105" s="12">
        <f>IF('Données projet'!$A$114&gt;35,BY104+BX105-CG104,IF(A105&lt;'Données projet'!$A$114,$BV$205^A105,IF(A105='Données projet'!$A$114,'Données projet'!$B$114,BY104+BX105-CG104)))</f>
        <v>208.39999999999966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318.97291652986593</v>
      </c>
      <c r="T106" s="59">
        <f t="shared" si="88"/>
        <v>338.19413170988122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4.5474735088646412E-13</v>
      </c>
      <c r="AJ106" s="13">
        <f>AI106*VLOOKUP('Données projet'!$B$10,Paramètres!$A$1:$I$89,3,0)*VLOOKUP('Données projet'!$B$10,Paramètres!$A$1:$I$89,5,0)</f>
        <v>2.7193891583010558E-13</v>
      </c>
      <c r="AK106" s="13">
        <f t="shared" si="89"/>
        <v>3.6362267729089988E-12</v>
      </c>
      <c r="AL106" s="20">
        <f t="shared" si="58"/>
        <v>6.8067219078872727E-12</v>
      </c>
      <c r="AM106" s="59">
        <f t="shared" si="59"/>
        <v>293.33333333334014</v>
      </c>
      <c r="AN106" s="59">
        <f ca="1">AVERAGE(OFFSET($AM$3,0,0,'Données projet'!$E$10+1,1))-AVERAGE(OFFSET($H$3,0,0,'Données projet'!$E$10+1,1))</f>
        <v>318.97291652986593</v>
      </c>
      <c r="AO106" s="59">
        <f t="shared" si="90"/>
        <v>338.19413170988122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6.9161162673388237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4.1530455567832608E-10</v>
      </c>
      <c r="AX106" s="21">
        <f t="shared" si="60"/>
        <v>6.9161162677541279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5.2</v>
      </c>
      <c r="BD106" s="12">
        <f>IF('Données projet'!$A$88&gt;35,BD105+BC106-BL105,IF(A106&lt;'Données projet'!$A$88,$BA$205^A106,IF(A106='Données projet'!$A$88,'Données projet'!$B$88,BD105+BC106-BL105)))</f>
        <v>321.59999999999974</v>
      </c>
      <c r="BE106" s="13">
        <f>BD106*VLOOKUP('Données projet'!$B$11,Paramètres!$A$1:$I$89,3,0)*VLOOKUP('Données projet'!$B$11,Paramètres!$A$1:$I$89,5,0)</f>
        <v>270.91583999999983</v>
      </c>
      <c r="BF106" s="13">
        <f t="shared" si="91"/>
        <v>65.043595328112488</v>
      </c>
      <c r="BG106" s="20">
        <f t="shared" si="61"/>
        <v>585.12934986312894</v>
      </c>
      <c r="BH106" s="59">
        <f t="shared" si="62"/>
        <v>878.46268319646219</v>
      </c>
      <c r="BI106" s="59">
        <f ca="1">AVERAGE(OFFSET($BH$3,0,0,'Données projet'!$E$11+1,1))-AVERAGE(OFFSET($H$3,0,0,'Données projet'!$E$11+1,1))</f>
        <v>476.64466005965136</v>
      </c>
      <c r="BJ106" s="59">
        <f t="shared" si="92"/>
        <v>312.67921212138998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69.184022389044415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69.184022389044415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3.2</v>
      </c>
      <c r="BY106" s="12">
        <f>IF('Données projet'!$A$114&gt;35,BY105+BX106-CG105,IF(A106&lt;'Données projet'!$A$114,$BV$205^A106,IF(A106='Données projet'!$A$114,'Données projet'!$B$114,BY105+BX106-CG105)))</f>
        <v>211.59999999999965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318.97291652986593</v>
      </c>
      <c r="T107" s="59">
        <f t="shared" si="88"/>
        <v>338.19413170988122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4.5474735088646412E-13</v>
      </c>
      <c r="AJ107" s="13">
        <f>AI107*VLOOKUP('Données projet'!$B$10,Paramètres!$A$1:$I$89,3,0)*VLOOKUP('Données projet'!$B$10,Paramètres!$A$1:$I$89,5,0)</f>
        <v>2.7193891583010558E-13</v>
      </c>
      <c r="AK107" s="13">
        <f t="shared" si="89"/>
        <v>3.6362267729089988E-12</v>
      </c>
      <c r="AL107" s="20">
        <f t="shared" si="58"/>
        <v>6.8067219078872727E-12</v>
      </c>
      <c r="AM107" s="59">
        <f t="shared" si="59"/>
        <v>293.33333333334014</v>
      </c>
      <c r="AN107" s="59">
        <f ca="1">AVERAGE(OFFSET($AM$3,0,0,'Données projet'!$E$10+1,1))-AVERAGE(OFFSET($H$3,0,0,'Données projet'!$E$10+1,1))</f>
        <v>318.97291652986593</v>
      </c>
      <c r="AO107" s="59">
        <f t="shared" si="90"/>
        <v>338.19413170988122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6.7804954457506987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2.9366466757781046E-10</v>
      </c>
      <c r="AX107" s="21">
        <f t="shared" si="60"/>
        <v>6.7804954460443634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5.2</v>
      </c>
      <c r="BD107" s="12">
        <f>IF('Données projet'!$A$88&gt;35,BD106+BC107-BL106,IF(A107&lt;'Données projet'!$A$88,$BA$205^A107,IF(A107='Données projet'!$A$88,'Données projet'!$B$88,BD106+BC107-BL106)))</f>
        <v>326.79999999999973</v>
      </c>
      <c r="BE107" s="13">
        <f>BD107*VLOOKUP('Données projet'!$B$11,Paramètres!$A$1:$I$89,3,0)*VLOOKUP('Données projet'!$B$11,Paramètres!$A$1:$I$89,5,0)</f>
        <v>275.29631999999981</v>
      </c>
      <c r="BF107" s="13">
        <f t="shared" si="91"/>
        <v>65.972008102689301</v>
      </c>
      <c r="BG107" s="20">
        <f t="shared" si="61"/>
        <v>594.37567144551679</v>
      </c>
      <c r="BH107" s="59">
        <f t="shared" si="62"/>
        <v>887.70900477885016</v>
      </c>
      <c r="BI107" s="59">
        <f ca="1">AVERAGE(OFFSET($BH$3,0,0,'Données projet'!$E$11+1,1))-AVERAGE(OFFSET($H$3,0,0,'Données projet'!$E$11+1,1))</f>
        <v>476.64466005965136</v>
      </c>
      <c r="BJ107" s="59">
        <f t="shared" si="92"/>
        <v>312.67921212138998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67.8273659080822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67.8273659080822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3.2</v>
      </c>
      <c r="BY107" s="12">
        <f>IF('Données projet'!$A$114&gt;35,BY106+BX107-CG106,IF(A107&lt;'Données projet'!$A$114,$BV$205^A107,IF(A107='Données projet'!$A$114,'Données projet'!$B$114,BY106+BX107-CG106)))</f>
        <v>214.79999999999964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318.97291652986593</v>
      </c>
      <c r="T108" s="59">
        <f t="shared" si="88"/>
        <v>338.19413170988122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4.5474735088646412E-13</v>
      </c>
      <c r="AJ108" s="13">
        <f>AI108*VLOOKUP('Données projet'!$B$10,Paramètres!$A$1:$I$89,3,0)*VLOOKUP('Données projet'!$B$10,Paramètres!$A$1:$I$89,5,0)</f>
        <v>2.7193891583010558E-13</v>
      </c>
      <c r="AK108" s="13">
        <f t="shared" si="89"/>
        <v>3.6362267729089988E-12</v>
      </c>
      <c r="AL108" s="20">
        <f t="shared" si="58"/>
        <v>6.8067219078872727E-12</v>
      </c>
      <c r="AM108" s="59">
        <f t="shared" si="59"/>
        <v>293.33333333334014</v>
      </c>
      <c r="AN108" s="59">
        <f ca="1">AVERAGE(OFFSET($AM$3,0,0,'Données projet'!$E$10+1,1))-AVERAGE(OFFSET($H$3,0,0,'Données projet'!$E$10+1,1))</f>
        <v>318.97291652986593</v>
      </c>
      <c r="AO108" s="59">
        <f t="shared" si="90"/>
        <v>338.19413170988122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6.6475340657533835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2.0765227783916304E-10</v>
      </c>
      <c r="AX108" s="21">
        <f t="shared" si="60"/>
        <v>6.647534065961036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5.2</v>
      </c>
      <c r="BD108" s="12">
        <f>IF('Données projet'!$A$88&gt;35,BD107+BC108-BL107,IF(A108&lt;'Données projet'!$A$88,$BA$205^A108,IF(A108='Données projet'!$A$88,'Données projet'!$B$88,BD107+BC108-BL107)))</f>
        <v>331.99999999999972</v>
      </c>
      <c r="BE108" s="13">
        <f>BD108*VLOOKUP('Données projet'!$B$11,Paramètres!$A$1:$I$89,3,0)*VLOOKUP('Données projet'!$B$11,Paramètres!$A$1:$I$89,5,0)</f>
        <v>279.67679999999979</v>
      </c>
      <c r="BF108" s="13">
        <f t="shared" si="91"/>
        <v>66.898702839782985</v>
      </c>
      <c r="BG108" s="20">
        <f t="shared" si="61"/>
        <v>603.61900077928829</v>
      </c>
      <c r="BH108" s="59">
        <f t="shared" si="62"/>
        <v>896.95233411262166</v>
      </c>
      <c r="BI108" s="59">
        <f ca="1">AVERAGE(OFFSET($BH$3,0,0,'Données projet'!$E$11+1,1))-AVERAGE(OFFSET($H$3,0,0,'Données projet'!$E$11+1,1))</f>
        <v>476.64466005965136</v>
      </c>
      <c r="BJ108" s="59">
        <f t="shared" si="92"/>
        <v>312.67921212138998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66.497312633232909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66.497312633232909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3.2</v>
      </c>
      <c r="BY108" s="12">
        <f>IF('Données projet'!$A$114&gt;35,BY107+BX108-CG107,IF(A108&lt;'Données projet'!$A$114,$BV$205^A108,IF(A108='Données projet'!$A$114,'Données projet'!$B$114,BY107+BX108-CG107)))</f>
        <v>217.99999999999963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318.97291652986593</v>
      </c>
      <c r="T109" s="59">
        <f t="shared" si="88"/>
        <v>338.19413170988122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4.5474735088646412E-13</v>
      </c>
      <c r="AJ109" s="13">
        <f>AI109*VLOOKUP('Données projet'!$B$10,Paramètres!$A$1:$I$89,3,0)*VLOOKUP('Données projet'!$B$10,Paramètres!$A$1:$I$89,5,0)</f>
        <v>2.7193891583010558E-13</v>
      </c>
      <c r="AK109" s="13">
        <f t="shared" si="89"/>
        <v>3.6362267729089988E-12</v>
      </c>
      <c r="AL109" s="20">
        <f t="shared" si="58"/>
        <v>6.8067219078872727E-12</v>
      </c>
      <c r="AM109" s="59">
        <f t="shared" si="59"/>
        <v>293.33333333334014</v>
      </c>
      <c r="AN109" s="59">
        <f ca="1">AVERAGE(OFFSET($AM$3,0,0,'Données projet'!$E$10+1,1))-AVERAGE(OFFSET($H$3,0,0,'Données projet'!$E$10+1,1))</f>
        <v>318.97291652986593</v>
      </c>
      <c r="AO109" s="59">
        <f t="shared" si="90"/>
        <v>338.19413170988122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6.5171799773193815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1.4683233378890523E-10</v>
      </c>
      <c r="AX109" s="21">
        <f t="shared" si="60"/>
        <v>6.5171799774662142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5.2</v>
      </c>
      <c r="BD109" s="12">
        <f>IF('Données projet'!$A$88&gt;35,BD108+BC109-BL108,IF(A109&lt;'Données projet'!$A$88,$BA$205^A109,IF(A109='Données projet'!$A$88,'Données projet'!$B$88,BD108+BC109-BL108)))</f>
        <v>337.1999999999997</v>
      </c>
      <c r="BE109" s="13">
        <f>BD109*VLOOKUP('Données projet'!$B$11,Paramètres!$A$1:$I$89,3,0)*VLOOKUP('Données projet'!$B$11,Paramètres!$A$1:$I$89,5,0)</f>
        <v>284.05727999999976</v>
      </c>
      <c r="BF109" s="13">
        <f t="shared" si="91"/>
        <v>67.823709555728385</v>
      </c>
      <c r="BG109" s="20">
        <f t="shared" si="61"/>
        <v>612.85939014289318</v>
      </c>
      <c r="BH109" s="59">
        <f t="shared" si="62"/>
        <v>906.19272347622655</v>
      </c>
      <c r="BI109" s="59">
        <f ca="1">AVERAGE(OFFSET($BH$3,0,0,'Données projet'!$E$11+1,1))-AVERAGE(OFFSET($H$3,0,0,'Données projet'!$E$11+1,1))</f>
        <v>476.64466005965136</v>
      </c>
      <c r="BJ109" s="59">
        <f t="shared" si="92"/>
        <v>312.67921212138998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65.193340891851008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65.193340891851008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3.2</v>
      </c>
      <c r="BY109" s="12">
        <f>IF('Données projet'!$A$114&gt;35,BY108+BX109-CG108,IF(A109&lt;'Données projet'!$A$114,$BV$205^A109,IF(A109='Données projet'!$A$114,'Données projet'!$B$114,BY108+BX109-CG108)))</f>
        <v>221.19999999999962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318.97291652986593</v>
      </c>
      <c r="T110" s="59">
        <f t="shared" si="88"/>
        <v>338.19413170988122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4.5474735088646412E-13</v>
      </c>
      <c r="AJ110" s="13">
        <f>AI110*VLOOKUP('Données projet'!$B$10,Paramètres!$A$1:$I$89,3,0)*VLOOKUP('Données projet'!$B$10,Paramètres!$A$1:$I$89,5,0)</f>
        <v>2.7193891583010558E-13</v>
      </c>
      <c r="AK110" s="13">
        <f t="shared" si="89"/>
        <v>3.6362267729089988E-12</v>
      </c>
      <c r="AL110" s="20">
        <f t="shared" si="58"/>
        <v>6.8067219078872727E-12</v>
      </c>
      <c r="AM110" s="59">
        <f t="shared" si="59"/>
        <v>293.33333333334014</v>
      </c>
      <c r="AN110" s="59">
        <f ca="1">AVERAGE(OFFSET($AM$3,0,0,'Données projet'!$E$10+1,1))-AVERAGE(OFFSET($H$3,0,0,'Données projet'!$E$10+1,1))</f>
        <v>318.97291652986593</v>
      </c>
      <c r="AO110" s="59">
        <f t="shared" si="90"/>
        <v>338.19413170988122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6.3893820530514276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1.0382613891958152E-10</v>
      </c>
      <c r="AX110" s="21">
        <f t="shared" si="60"/>
        <v>6.3893820531552539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5.2</v>
      </c>
      <c r="BD110" s="12">
        <f>IF('Données projet'!$A$88&gt;35,BD109+BC110-BL109,IF(A110&lt;'Données projet'!$A$88,$BA$205^A110,IF(A110='Données projet'!$A$88,'Données projet'!$B$88,BD109+BC110-BL109)))</f>
        <v>342.39999999999969</v>
      </c>
      <c r="BE110" s="13">
        <f>BD110*VLOOKUP('Données projet'!$B$11,Paramètres!$A$1:$I$89,3,0)*VLOOKUP('Données projet'!$B$11,Paramètres!$A$1:$I$89,5,0)</f>
        <v>288.43775999999974</v>
      </c>
      <c r="BF110" s="13">
        <f t="shared" si="91"/>
        <v>68.747057287972595</v>
      </c>
      <c r="BG110" s="20">
        <f t="shared" si="61"/>
        <v>622.09689010988507</v>
      </c>
      <c r="BH110" s="59">
        <f t="shared" si="62"/>
        <v>915.43022344321844</v>
      </c>
      <c r="BI110" s="59">
        <f ca="1">AVERAGE(OFFSET($BH$3,0,0,'Données projet'!$E$11+1,1))-AVERAGE(OFFSET($H$3,0,0,'Données projet'!$E$11+1,1))</f>
        <v>476.64466005965136</v>
      </c>
      <c r="BJ110" s="59">
        <f t="shared" si="92"/>
        <v>312.67921212138998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63.914939240973382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63.914939240973382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3.2</v>
      </c>
      <c r="BY110" s="12">
        <f>IF('Données projet'!$A$114&gt;35,BY109+BX110-CG109,IF(A110&lt;'Données projet'!$A$114,$BV$205^A110,IF(A110='Données projet'!$A$114,'Données projet'!$B$114,BY109+BX110-CG109)))</f>
        <v>224.39999999999961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318.97291652986593</v>
      </c>
      <c r="T111" s="59">
        <f t="shared" si="88"/>
        <v>338.19413170988122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4.5474735088646412E-13</v>
      </c>
      <c r="AJ111" s="13">
        <f>AI111*VLOOKUP('Données projet'!$B$10,Paramètres!$A$1:$I$89,3,0)*VLOOKUP('Données projet'!$B$10,Paramètres!$A$1:$I$89,5,0)</f>
        <v>2.7193891583010558E-13</v>
      </c>
      <c r="AK111" s="13">
        <f t="shared" si="89"/>
        <v>3.6362267729089988E-12</v>
      </c>
      <c r="AL111" s="20">
        <f t="shared" si="58"/>
        <v>6.8067219078872727E-12</v>
      </c>
      <c r="AM111" s="59">
        <f t="shared" si="59"/>
        <v>293.33333333334014</v>
      </c>
      <c r="AN111" s="59">
        <f ca="1">AVERAGE(OFFSET($AM$3,0,0,'Données projet'!$E$10+1,1))-AVERAGE(OFFSET($H$3,0,0,'Données projet'!$E$10+1,1))</f>
        <v>318.97291652986593</v>
      </c>
      <c r="AO111" s="59">
        <f t="shared" si="90"/>
        <v>338.19413170988122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6.2640901681293313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7.3416166894452614E-11</v>
      </c>
      <c r="AX111" s="21">
        <f t="shared" si="60"/>
        <v>6.2640901682027472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5.2</v>
      </c>
      <c r="BD111" s="12">
        <f>IF('Données projet'!$A$88&gt;35,BD110+BC111-BL110,IF(A111&lt;'Données projet'!$A$88,$BA$205^A111,IF(A111='Données projet'!$A$88,'Données projet'!$B$88,BD110+BC111-BL110)))</f>
        <v>347.59999999999968</v>
      </c>
      <c r="BE111" s="13">
        <f>BD111*VLOOKUP('Données projet'!$B$11,Paramètres!$A$1:$I$89,3,0)*VLOOKUP('Données projet'!$B$11,Paramètres!$A$1:$I$89,5,0)</f>
        <v>292.81823999999978</v>
      </c>
      <c r="BF111" s="13">
        <f t="shared" si="91"/>
        <v>69.668774141370633</v>
      </c>
      <c r="BG111" s="20">
        <f t="shared" si="61"/>
        <v>631.33154962955348</v>
      </c>
      <c r="BH111" s="59">
        <f t="shared" si="62"/>
        <v>924.66488296288685</v>
      </c>
      <c r="BI111" s="59">
        <f ca="1">AVERAGE(OFFSET($BH$3,0,0,'Données projet'!$E$11+1,1))-AVERAGE(OFFSET($H$3,0,0,'Données projet'!$E$11+1,1))</f>
        <v>476.64466005965136</v>
      </c>
      <c r="BJ111" s="59">
        <f t="shared" si="92"/>
        <v>312.67921212138998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62.661606266721456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62.661606266721456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3.2</v>
      </c>
      <c r="BY111" s="12">
        <f>IF('Données projet'!$A$114&gt;35,BY110+BX111-CG110,IF(A111&lt;'Données projet'!$A$114,$BV$205^A111,IF(A111='Données projet'!$A$114,'Données projet'!$B$114,BY110+BX111-CG110)))</f>
        <v>227.5999999999996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318.97291652986593</v>
      </c>
      <c r="T112" s="59">
        <f t="shared" si="88"/>
        <v>338.19413170988122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4.5474735088646412E-13</v>
      </c>
      <c r="AJ112" s="13">
        <f>AI112*VLOOKUP('Données projet'!$B$10,Paramètres!$A$1:$I$89,3,0)*VLOOKUP('Données projet'!$B$10,Paramètres!$A$1:$I$89,5,0)</f>
        <v>2.7193891583010558E-13</v>
      </c>
      <c r="AK112" s="13">
        <f t="shared" si="89"/>
        <v>3.6362267729089988E-12</v>
      </c>
      <c r="AL112" s="20">
        <f t="shared" si="58"/>
        <v>6.8067219078872727E-12</v>
      </c>
      <c r="AM112" s="59">
        <f t="shared" si="59"/>
        <v>293.33333333334014</v>
      </c>
      <c r="AN112" s="59">
        <f ca="1">AVERAGE(OFFSET($AM$3,0,0,'Données projet'!$E$10+1,1))-AVERAGE(OFFSET($H$3,0,0,'Données projet'!$E$10+1,1))</f>
        <v>318.97291652986593</v>
      </c>
      <c r="AO112" s="59">
        <f t="shared" si="90"/>
        <v>338.19413170988122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6.1412551806500533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5.191306945979076E-11</v>
      </c>
      <c r="AX112" s="21">
        <f t="shared" si="60"/>
        <v>6.1412551807019664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5.2</v>
      </c>
      <c r="BD112" s="12">
        <f>IF('Données projet'!$A$88&gt;35,BD111+BC112-BL111,IF(A112&lt;'Données projet'!$A$88,$BA$205^A112,IF(A112='Données projet'!$A$88,'Données projet'!$B$88,BD111+BC112-BL111)))</f>
        <v>352.79999999999967</v>
      </c>
      <c r="BE112" s="13">
        <f>BD112*VLOOKUP('Données projet'!$B$11,Paramètres!$A$1:$I$89,3,0)*VLOOKUP('Données projet'!$B$11,Paramètres!$A$1:$I$89,5,0)</f>
        <v>297.19871999999975</v>
      </c>
      <c r="BF112" s="13">
        <f t="shared" si="91"/>
        <v>70.588887331631497</v>
      </c>
      <c r="BG112" s="20">
        <f t="shared" si="61"/>
        <v>640.56341610259108</v>
      </c>
      <c r="BH112" s="59">
        <f t="shared" si="62"/>
        <v>933.89674943592445</v>
      </c>
      <c r="BI112" s="59">
        <f ca="1">AVERAGE(OFFSET($BH$3,0,0,'Données projet'!$E$11+1,1))-AVERAGE(OFFSET($H$3,0,0,'Données projet'!$E$11+1,1))</f>
        <v>476.64466005965136</v>
      </c>
      <c r="BJ112" s="59">
        <f t="shared" si="92"/>
        <v>312.67921212138998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61.432850387636982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61.432850387636982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3.2</v>
      </c>
      <c r="BY112" s="12">
        <f>IF('Données projet'!$A$114&gt;35,BY111+BX112-CG111,IF(A112&lt;'Données projet'!$A$114,$BV$205^A112,IF(A112='Données projet'!$A$114,'Données projet'!$B$114,BY111+BX112-CG111)))</f>
        <v>230.79999999999959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318.97291652986593</v>
      </c>
      <c r="T113" s="59">
        <f t="shared" si="88"/>
        <v>338.19413170988122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4.5474735088646412E-13</v>
      </c>
      <c r="AJ113" s="13">
        <f>AI113*VLOOKUP('Données projet'!$B$10,Paramètres!$A$1:$I$89,3,0)*VLOOKUP('Données projet'!$B$10,Paramètres!$A$1:$I$89,5,0)</f>
        <v>2.7193891583010558E-13</v>
      </c>
      <c r="AK113" s="13">
        <f t="shared" si="89"/>
        <v>3.6362267729089988E-12</v>
      </c>
      <c r="AL113" s="20">
        <f t="shared" si="58"/>
        <v>6.8067219078872727E-12</v>
      </c>
      <c r="AM113" s="59">
        <f t="shared" si="59"/>
        <v>293.33333333334014</v>
      </c>
      <c r="AN113" s="59">
        <f ca="1">AVERAGE(OFFSET($AM$3,0,0,'Données projet'!$E$10+1,1))-AVERAGE(OFFSET($H$3,0,0,'Données projet'!$E$10+1,1))</f>
        <v>318.97291652986593</v>
      </c>
      <c r="AO113" s="59">
        <f t="shared" si="90"/>
        <v>338.19413170988122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6.0208289123532994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3.6708083447226307E-11</v>
      </c>
      <c r="AX113" s="21">
        <f t="shared" si="60"/>
        <v>6.0208289123900078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358</v>
      </c>
      <c r="BB113" s="12">
        <f>VLOOKUP(A113,'Données projet'!$A$87:$I$107,9,0)</f>
        <v>5.2</v>
      </c>
      <c r="BC113" s="12">
        <f t="array" ref="BC113">INDEX(BB:BB,MIN(IF(ISNUMBER(BB113:BB309),ROW(BB113:BB309),"")))</f>
        <v>5.2</v>
      </c>
      <c r="BD113" s="12">
        <f>IF('Données projet'!$A$88&gt;35,BD112+BC113-BL112,IF(A113&lt;'Données projet'!$A$88,$BA$205^A113,IF(A113='Données projet'!$A$88,'Données projet'!$B$88,BD112+BC113-BL112)))</f>
        <v>357.99999999999966</v>
      </c>
      <c r="BE113" s="13">
        <f>BD113*VLOOKUP('Données projet'!$B$11,Paramètres!$A$1:$I$89,3,0)*VLOOKUP('Données projet'!$B$11,Paramètres!$A$1:$I$89,5,0)</f>
        <v>301.57919999999973</v>
      </c>
      <c r="BF113" s="13">
        <f t="shared" si="91"/>
        <v>71.507423226130868</v>
      </c>
      <c r="BG113" s="20">
        <f t="shared" si="61"/>
        <v>649.79253545217739</v>
      </c>
      <c r="BH113" s="59">
        <f t="shared" si="62"/>
        <v>943.12586878551065</v>
      </c>
      <c r="BI113" s="59">
        <f ca="1">AVERAGE(OFFSET($BH$3,0,0,'Données projet'!$E$11+1,1))-AVERAGE(OFFSET($H$3,0,0,'Données projet'!$E$11+1,1))</f>
        <v>476.64466005965136</v>
      </c>
      <c r="BJ113" s="59">
        <f t="shared" si="92"/>
        <v>312.67921212138998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51</v>
      </c>
      <c r="BM113" s="16">
        <f>IF(ISNA(VLOOKUP(A113,'Données projet'!$A$87:$I$107,5,0)),0%,VLOOKUP(A113,'Données projet'!$A$87:$I$107,5,0)*VLOOKUP('Données projet'!$B$11,Paramètres!$A$1:$I$89,7,0))</f>
        <v>0.36549999999999999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77.587122623472027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77.587122623472027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234</v>
      </c>
      <c r="BW113" s="12">
        <f>VLOOKUP(A113,'Données projet'!$A$113:$I$133,9,0)</f>
        <v>3.2</v>
      </c>
      <c r="BX113" s="12">
        <f t="array" ref="BX113">INDEX(BW:BW,MIN(IF(ISNUMBER(BW113:BW309),ROW(BW113:BW309),"")))</f>
        <v>3.2</v>
      </c>
      <c r="BY113" s="12">
        <f>IF('Données projet'!$A$114&gt;35,BY112+BX113-CG112,IF(A113&lt;'Données projet'!$A$114,$BV$205^A113,IF(A113='Données projet'!$A$114,'Données projet'!$B$114,BY112+BX113-CG112)))</f>
        <v>233.99999999999957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9</v>
      </c>
      <c r="CG113" s="15">
        <f>IF(ISNA(VLOOKUP(A113,'Données projet'!$A$113:$I$133,4,0)),0,VLOOKUP(A113,'Données projet'!$A$113:$I$133,4,0))</f>
        <v>27</v>
      </c>
      <c r="CH113" s="16" t="e">
        <f>IF(ISNA(VLOOKUP(A113,'Données projet'!$A$113:$I$133,5,0)),0%,VLOOKUP(A113,'Données projet'!$A$113:$I$133,5,0)*VLOOKUP('Données projet'!$B$12,Paramètres!$A$1:$I$89,7,0))</f>
        <v>#N/A</v>
      </c>
      <c r="CI113" s="16" t="e">
        <f>IF(ISNA(VLOOKUP(A113,'Données projet'!$A$113:$I$133,6,0)),0%,VLOOKUP(A113,'Données projet'!$A$113:$I$133,6,0)*VLOOKUP('Données projet'!$B$12,Paramètres!$A$1:$I$89,7,0))</f>
        <v>#N/A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318.97291652986593</v>
      </c>
      <c r="T114" s="59">
        <f t="shared" si="88"/>
        <v>338.19413170988122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4.5474735088646412E-13</v>
      </c>
      <c r="AJ114" s="13">
        <f>AI114*VLOOKUP('Données projet'!$B$10,Paramètres!$A$1:$I$89,3,0)*VLOOKUP('Données projet'!$B$10,Paramètres!$A$1:$I$89,5,0)</f>
        <v>2.7193891583010558E-13</v>
      </c>
      <c r="AK114" s="13">
        <f t="shared" si="89"/>
        <v>3.6362267729089988E-12</v>
      </c>
      <c r="AL114" s="20">
        <f t="shared" si="58"/>
        <v>6.8067219078872727E-12</v>
      </c>
      <c r="AM114" s="59">
        <f t="shared" si="59"/>
        <v>293.33333333334014</v>
      </c>
      <c r="AN114" s="59">
        <f ca="1">AVERAGE(OFFSET($AM$3,0,0,'Données projet'!$E$10+1,1))-AVERAGE(OFFSET($H$3,0,0,'Données projet'!$E$10+1,1))</f>
        <v>318.97291652986593</v>
      </c>
      <c r="AO114" s="59">
        <f t="shared" si="90"/>
        <v>338.19413170988122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5.9027641297250737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2.595653472989538E-11</v>
      </c>
      <c r="AX114" s="21">
        <f t="shared" si="60"/>
        <v>5.9027641297510298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4.5</v>
      </c>
      <c r="BD114" s="12">
        <f>IF('Données projet'!$A$88&gt;35,BD113+BC114-BL113,IF(A114&lt;'Données projet'!$A$88,$BA$205^A114,IF(A114='Données projet'!$A$88,'Données projet'!$B$88,BD113+BC114-BL113)))</f>
        <v>311.49999999999966</v>
      </c>
      <c r="BE114" s="13">
        <f>BD114*VLOOKUP('Données projet'!$B$11,Paramètres!$A$1:$I$89,3,0)*VLOOKUP('Données projet'!$B$11,Paramètres!$A$1:$I$89,5,0)</f>
        <v>262.40759999999977</v>
      </c>
      <c r="BF114" s="13">
        <f t="shared" si="91"/>
        <v>63.235305349754363</v>
      </c>
      <c r="BG114" s="20">
        <f t="shared" si="61"/>
        <v>567.16139348415504</v>
      </c>
      <c r="BH114" s="59">
        <f t="shared" si="62"/>
        <v>860.4947268174883</v>
      </c>
      <c r="BI114" s="59">
        <f ca="1">AVERAGE(OFFSET($BH$3,0,0,'Données projet'!$E$11+1,1))-AVERAGE(OFFSET($H$3,0,0,'Données projet'!$E$11+1,1))</f>
        <v>476.64466005965136</v>
      </c>
      <c r="BJ114" s="59">
        <f t="shared" si="92"/>
        <v>312.67921212138998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76.065686472297742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76.065686472297742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2.6</v>
      </c>
      <c r="BY114" s="12">
        <f>IF('Données projet'!$A$114&gt;35,BY113+BX114-CG113,IF(A114&lt;'Données projet'!$A$114,$BV$205^A114,IF(A114='Données projet'!$A$114,'Données projet'!$B$114,BY113+BX114-CG113)))</f>
        <v>209.59999999999957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318.97291652986593</v>
      </c>
      <c r="T115" s="59">
        <f t="shared" si="88"/>
        <v>338.19413170988122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4.5474735088646412E-13</v>
      </c>
      <c r="AJ115" s="13">
        <f>AI115*VLOOKUP('Données projet'!$B$10,Paramètres!$A$1:$I$89,3,0)*VLOOKUP('Données projet'!$B$10,Paramètres!$A$1:$I$89,5,0)</f>
        <v>2.7193891583010558E-13</v>
      </c>
      <c r="AK115" s="13">
        <f t="shared" si="89"/>
        <v>3.6362267729089988E-12</v>
      </c>
      <c r="AL115" s="20">
        <f t="shared" si="58"/>
        <v>6.8067219078872727E-12</v>
      </c>
      <c r="AM115" s="59">
        <f t="shared" si="59"/>
        <v>293.33333333334014</v>
      </c>
      <c r="AN115" s="59">
        <f ca="1">AVERAGE(OFFSET($AM$3,0,0,'Données projet'!$E$10+1,1))-AVERAGE(OFFSET($H$3,0,0,'Données projet'!$E$10+1,1))</f>
        <v>318.97291652986593</v>
      </c>
      <c r="AO115" s="59">
        <f t="shared" si="90"/>
        <v>338.19413170988122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5.7870145254717809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1.8354041723613154E-11</v>
      </c>
      <c r="AX115" s="21">
        <f t="shared" si="60"/>
        <v>5.7870145254901351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4.5</v>
      </c>
      <c r="BD115" s="12">
        <f>IF('Données projet'!$A$88&gt;35,BD114+BC115-BL114,IF(A115&lt;'Données projet'!$A$88,$BA$205^A115,IF(A115='Données projet'!$A$88,'Données projet'!$B$88,BD114+BC115-BL114)))</f>
        <v>315.99999999999966</v>
      </c>
      <c r="BE115" s="13">
        <f>BD115*VLOOKUP('Données projet'!$B$11,Paramètres!$A$1:$I$89,3,0)*VLOOKUP('Données projet'!$B$11,Paramètres!$A$1:$I$89,5,0)</f>
        <v>266.19839999999971</v>
      </c>
      <c r="BF115" s="13">
        <f t="shared" si="91"/>
        <v>64.041809198373159</v>
      </c>
      <c r="BG115" s="20">
        <f t="shared" si="61"/>
        <v>575.16836435383277</v>
      </c>
      <c r="BH115" s="59">
        <f t="shared" si="62"/>
        <v>868.50169768716614</v>
      </c>
      <c r="BI115" s="59">
        <f ca="1">AVERAGE(OFFSET($BH$3,0,0,'Données projet'!$E$11+1,1))-AVERAGE(OFFSET($H$3,0,0,'Données projet'!$E$11+1,1))</f>
        <v>476.64466005965136</v>
      </c>
      <c r="BJ115" s="59">
        <f t="shared" si="92"/>
        <v>312.67921212138998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74.574084756063556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74.574084756063556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2.6</v>
      </c>
      <c r="BY115" s="12">
        <f>IF('Données projet'!$A$114&gt;35,BY114+BX115-CG114,IF(A115&lt;'Données projet'!$A$114,$BV$205^A115,IF(A115='Données projet'!$A$114,'Données projet'!$B$114,BY114+BX115-CG114)))</f>
        <v>212.19999999999956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318.97291652986593</v>
      </c>
      <c r="T116" s="59">
        <f t="shared" si="88"/>
        <v>338.19413170988122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4.5474735088646412E-13</v>
      </c>
      <c r="AJ116" s="13">
        <f>AI116*VLOOKUP('Données projet'!$B$10,Paramètres!$A$1:$I$89,3,0)*VLOOKUP('Données projet'!$B$10,Paramètres!$A$1:$I$89,5,0)</f>
        <v>2.7193891583010558E-13</v>
      </c>
      <c r="AK116" s="13">
        <f t="shared" si="89"/>
        <v>3.6362267729089988E-12</v>
      </c>
      <c r="AL116" s="20">
        <f t="shared" si="58"/>
        <v>6.8067219078872727E-12</v>
      </c>
      <c r="AM116" s="59">
        <f t="shared" si="59"/>
        <v>293.33333333334014</v>
      </c>
      <c r="AN116" s="59">
        <f ca="1">AVERAGE(OFFSET($AM$3,0,0,'Données projet'!$E$10+1,1))-AVERAGE(OFFSET($H$3,0,0,'Données projet'!$E$10+1,1))</f>
        <v>318.97291652986593</v>
      </c>
      <c r="AO116" s="59">
        <f t="shared" si="90"/>
        <v>338.19413170988122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5.6735347003576075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1.297826736494769E-11</v>
      </c>
      <c r="AX116" s="21">
        <f t="shared" si="60"/>
        <v>5.6735347003705856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4.5</v>
      </c>
      <c r="BD116" s="12">
        <f>IF('Données projet'!$A$88&gt;35,BD115+BC116-BL115,IF(A116&lt;'Données projet'!$A$88,$BA$205^A116,IF(A116='Données projet'!$A$88,'Données projet'!$B$88,BD115+BC116-BL115)))</f>
        <v>320.49999999999966</v>
      </c>
      <c r="BE116" s="13">
        <f>BD116*VLOOKUP('Données projet'!$B$11,Paramètres!$A$1:$I$89,3,0)*VLOOKUP('Données projet'!$B$11,Paramètres!$A$1:$I$89,5,0)</f>
        <v>269.98919999999976</v>
      </c>
      <c r="BF116" s="13">
        <f t="shared" si="91"/>
        <v>64.846977249929026</v>
      </c>
      <c r="BG116" s="20">
        <f t="shared" si="61"/>
        <v>583.17300871029261</v>
      </c>
      <c r="BH116" s="59">
        <f t="shared" si="62"/>
        <v>876.50634204362586</v>
      </c>
      <c r="BI116" s="59">
        <f ca="1">AVERAGE(OFFSET($BH$3,0,0,'Données projet'!$E$11+1,1))-AVERAGE(OFFSET($H$3,0,0,'Données projet'!$E$11+1,1))</f>
        <v>476.64466005965136</v>
      </c>
      <c r="BJ116" s="59">
        <f t="shared" si="92"/>
        <v>312.67921212138998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73.111732439697505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73.111732439697505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2.6</v>
      </c>
      <c r="BY116" s="12">
        <f>IF('Données projet'!$A$114&gt;35,BY115+BX116-CG115,IF(A116&lt;'Données projet'!$A$114,$BV$205^A116,IF(A116='Données projet'!$A$114,'Données projet'!$B$114,BY115+BX116-CG115)))</f>
        <v>214.79999999999956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318.97291652986593</v>
      </c>
      <c r="T117" s="59">
        <f t="shared" si="88"/>
        <v>338.19413170988122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4.5474735088646412E-13</v>
      </c>
      <c r="AJ117" s="13">
        <f>AI117*VLOOKUP('Données projet'!$B$10,Paramètres!$A$1:$I$89,3,0)*VLOOKUP('Données projet'!$B$10,Paramètres!$A$1:$I$89,5,0)</f>
        <v>2.7193891583010558E-13</v>
      </c>
      <c r="AK117" s="13">
        <f t="shared" si="89"/>
        <v>3.6362267729089988E-12</v>
      </c>
      <c r="AL117" s="20">
        <f t="shared" si="58"/>
        <v>6.8067219078872727E-12</v>
      </c>
      <c r="AM117" s="59">
        <f t="shared" si="59"/>
        <v>293.33333333334014</v>
      </c>
      <c r="AN117" s="59">
        <f ca="1">AVERAGE(OFFSET($AM$3,0,0,'Données projet'!$E$10+1,1))-AVERAGE(OFFSET($H$3,0,0,'Données projet'!$E$10+1,1))</f>
        <v>318.97291652986593</v>
      </c>
      <c r="AO117" s="59">
        <f t="shared" si="90"/>
        <v>338.19413170988122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5.5622801453980646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9.1770208618065768E-12</v>
      </c>
      <c r="AX117" s="21">
        <f t="shared" si="60"/>
        <v>5.5622801454072412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4.5</v>
      </c>
      <c r="BD117" s="12">
        <f>IF('Données projet'!$A$88&gt;35,BD116+BC117-BL116,IF(A117&lt;'Données projet'!$A$88,$BA$205^A117,IF(A117='Données projet'!$A$88,'Données projet'!$B$88,BD116+BC117-BL116)))</f>
        <v>324.99999999999966</v>
      </c>
      <c r="BE117" s="13">
        <f>BD117*VLOOKUP('Données projet'!$B$11,Paramètres!$A$1:$I$89,3,0)*VLOOKUP('Données projet'!$B$11,Paramètres!$A$1:$I$89,5,0)</f>
        <v>273.77999999999975</v>
      </c>
      <c r="BF117" s="13">
        <f t="shared" si="91"/>
        <v>65.650830427167435</v>
      </c>
      <c r="BG117" s="20">
        <f t="shared" si="61"/>
        <v>591.17536299398284</v>
      </c>
      <c r="BH117" s="59">
        <f t="shared" si="62"/>
        <v>884.5086963273161</v>
      </c>
      <c r="BI117" s="59">
        <f ca="1">AVERAGE(OFFSET($BH$3,0,0,'Données projet'!$E$11+1,1))-AVERAGE(OFFSET($H$3,0,0,'Données projet'!$E$11+1,1))</f>
        <v>476.64466005965136</v>
      </c>
      <c r="BJ117" s="59">
        <f t="shared" si="92"/>
        <v>312.67921212138998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71.678055960308555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71.678055960308555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2.6</v>
      </c>
      <c r="BY117" s="12">
        <f>IF('Données projet'!$A$114&gt;35,BY116+BX117-CG116,IF(A117&lt;'Données projet'!$A$114,$BV$205^A117,IF(A117='Données projet'!$A$114,'Données projet'!$B$114,BY116+BX117-CG116)))</f>
        <v>217.39999999999955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318.97291652986593</v>
      </c>
      <c r="T118" s="59">
        <f t="shared" si="88"/>
        <v>338.19413170988122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4.5474735088646412E-13</v>
      </c>
      <c r="AJ118" s="13">
        <f>AI118*VLOOKUP('Données projet'!$B$10,Paramètres!$A$1:$I$89,3,0)*VLOOKUP('Données projet'!$B$10,Paramètres!$A$1:$I$89,5,0)</f>
        <v>2.7193891583010558E-13</v>
      </c>
      <c r="AK118" s="13">
        <f t="shared" si="89"/>
        <v>3.6362267729089988E-12</v>
      </c>
      <c r="AL118" s="20">
        <f t="shared" si="58"/>
        <v>6.8067219078872727E-12</v>
      </c>
      <c r="AM118" s="59">
        <f t="shared" si="59"/>
        <v>293.33333333334014</v>
      </c>
      <c r="AN118" s="59">
        <f ca="1">AVERAGE(OFFSET($AM$3,0,0,'Données projet'!$E$10+1,1))-AVERAGE(OFFSET($H$3,0,0,'Données projet'!$E$10+1,1))</f>
        <v>318.97291652986593</v>
      </c>
      <c r="AO118" s="59">
        <f t="shared" si="90"/>
        <v>338.19413170988122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5.4532072244026999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6.489133682473845E-12</v>
      </c>
      <c r="AX118" s="21">
        <f t="shared" si="60"/>
        <v>5.4532072244091889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4.5</v>
      </c>
      <c r="BD118" s="12">
        <f>IF('Données projet'!$A$88&gt;35,BD117+BC118-BL117,IF(A118&lt;'Données projet'!$A$88,$BA$205^A118,IF(A118='Données projet'!$A$88,'Données projet'!$B$88,BD117+BC118-BL117)))</f>
        <v>329.49999999999966</v>
      </c>
      <c r="BE118" s="13">
        <f>BD118*VLOOKUP('Données projet'!$B$11,Paramètres!$A$1:$I$89,3,0)*VLOOKUP('Données projet'!$B$11,Paramètres!$A$1:$I$89,5,0)</f>
        <v>277.57079999999974</v>
      </c>
      <c r="BF118" s="13">
        <f t="shared" si="91"/>
        <v>66.453389040149148</v>
      </c>
      <c r="BG118" s="20">
        <f t="shared" si="61"/>
        <v>599.17546257825927</v>
      </c>
      <c r="BH118" s="59">
        <f t="shared" si="62"/>
        <v>892.50879591159264</v>
      </c>
      <c r="BI118" s="59">
        <f ca="1">AVERAGE(OFFSET($BH$3,0,0,'Données projet'!$E$11+1,1))-AVERAGE(OFFSET($H$3,0,0,'Données projet'!$E$11+1,1))</f>
        <v>476.64466005965136</v>
      </c>
      <c r="BJ118" s="59">
        <f t="shared" si="92"/>
        <v>312.67921212138998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70.272493002224124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70.272493002224124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2.6</v>
      </c>
      <c r="BY118" s="12">
        <f>IF('Données projet'!$A$114&gt;35,BY117+BX118-CG117,IF(A118&lt;'Données projet'!$A$114,$BV$205^A118,IF(A118='Données projet'!$A$114,'Données projet'!$B$114,BY117+BX118-CG117)))</f>
        <v>219.99999999999955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318.97291652986593</v>
      </c>
      <c r="T119" s="59">
        <f t="shared" si="88"/>
        <v>338.19413170988122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4.5474735088646412E-13</v>
      </c>
      <c r="AJ119" s="13">
        <f>AI119*VLOOKUP('Données projet'!$B$10,Paramètres!$A$1:$I$89,3,0)*VLOOKUP('Données projet'!$B$10,Paramètres!$A$1:$I$89,5,0)</f>
        <v>2.7193891583010558E-13</v>
      </c>
      <c r="AK119" s="13">
        <f t="shared" si="89"/>
        <v>3.6362267729089988E-12</v>
      </c>
      <c r="AL119" s="20">
        <f t="shared" si="58"/>
        <v>6.8067219078872727E-12</v>
      </c>
      <c r="AM119" s="59">
        <f t="shared" si="59"/>
        <v>293.33333333334014</v>
      </c>
      <c r="AN119" s="59">
        <f ca="1">AVERAGE(OFFSET($AM$3,0,0,'Données projet'!$E$10+1,1))-AVERAGE(OFFSET($H$3,0,0,'Données projet'!$E$10+1,1))</f>
        <v>318.97291652986593</v>
      </c>
      <c r="AO119" s="59">
        <f t="shared" si="90"/>
        <v>338.19413170988122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5.3462731568601418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4.5885104309032884E-12</v>
      </c>
      <c r="AX119" s="21">
        <f t="shared" si="60"/>
        <v>5.3462731568647301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4.5</v>
      </c>
      <c r="BD119" s="12">
        <f>IF('Données projet'!$A$88&gt;35,BD118+BC119-BL118,IF(A119&lt;'Données projet'!$A$88,$BA$205^A119,IF(A119='Données projet'!$A$88,'Données projet'!$B$88,BD118+BC119-BL118)))</f>
        <v>333.99999999999966</v>
      </c>
      <c r="BE119" s="13">
        <f>BD119*VLOOKUP('Données projet'!$B$11,Paramètres!$A$1:$I$89,3,0)*VLOOKUP('Données projet'!$B$11,Paramètres!$A$1:$I$89,5,0)</f>
        <v>281.36159999999973</v>
      </c>
      <c r="BF119" s="13">
        <f t="shared" si="91"/>
        <v>67.254672812309238</v>
      </c>
      <c r="BG119" s="20">
        <f t="shared" si="61"/>
        <v>607.17334181477145</v>
      </c>
      <c r="BH119" s="59">
        <f t="shared" si="62"/>
        <v>900.5066751481047</v>
      </c>
      <c r="BI119" s="59">
        <f ca="1">AVERAGE(OFFSET($BH$3,0,0,'Données projet'!$E$11+1,1))-AVERAGE(OFFSET($H$3,0,0,'Données projet'!$E$11+1,1))</f>
        <v>476.64466005965136</v>
      </c>
      <c r="BJ119" s="59">
        <f t="shared" si="92"/>
        <v>312.67921212138998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68.894492276438967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68.894492276438967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2.6</v>
      </c>
      <c r="BY119" s="12">
        <f>IF('Données projet'!$A$114&gt;35,BY118+BX119-CG118,IF(A119&lt;'Données projet'!$A$114,$BV$205^A119,IF(A119='Données projet'!$A$114,'Données projet'!$B$114,BY118+BX119-CG118)))</f>
        <v>222.59999999999954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318.97291652986593</v>
      </c>
      <c r="T120" s="59">
        <f t="shared" si="88"/>
        <v>338.19413170988122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4.5474735088646412E-13</v>
      </c>
      <c r="AJ120" s="13">
        <f>AI120*VLOOKUP('Données projet'!$B$10,Paramètres!$A$1:$I$89,3,0)*VLOOKUP('Données projet'!$B$10,Paramètres!$A$1:$I$89,5,0)</f>
        <v>2.7193891583010558E-13</v>
      </c>
      <c r="AK120" s="13">
        <f t="shared" si="89"/>
        <v>3.6362267729089988E-12</v>
      </c>
      <c r="AL120" s="20">
        <f t="shared" si="58"/>
        <v>6.8067219078872727E-12</v>
      </c>
      <c r="AM120" s="59">
        <f t="shared" si="59"/>
        <v>293.33333333334014</v>
      </c>
      <c r="AN120" s="59">
        <f ca="1">AVERAGE(OFFSET($AM$3,0,0,'Données projet'!$E$10+1,1))-AVERAGE(OFFSET($H$3,0,0,'Données projet'!$E$10+1,1))</f>
        <v>318.97291652986593</v>
      </c>
      <c r="AO120" s="59">
        <f t="shared" si="90"/>
        <v>338.19413170988122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5.2414360011587524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3.2445668412369225E-12</v>
      </c>
      <c r="AX120" s="21">
        <f t="shared" si="60"/>
        <v>5.2414360011619969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4.5</v>
      </c>
      <c r="BD120" s="12">
        <f>IF('Données projet'!$A$88&gt;35,BD119+BC120-BL119,IF(A120&lt;'Données projet'!$A$88,$BA$205^A120,IF(A120='Données projet'!$A$88,'Données projet'!$B$88,BD119+BC120-BL119)))</f>
        <v>338.49999999999966</v>
      </c>
      <c r="BE120" s="13">
        <f>BD120*VLOOKUP('Données projet'!$B$11,Paramètres!$A$1:$I$89,3,0)*VLOOKUP('Données projet'!$B$11,Paramètres!$A$1:$I$89,5,0)</f>
        <v>285.15239999999972</v>
      </c>
      <c r="BF120" s="13">
        <f t="shared" si="91"/>
        <v>68.054700905071442</v>
      </c>
      <c r="BG120" s="20">
        <f t="shared" si="61"/>
        <v>615.1690340763322</v>
      </c>
      <c r="BH120" s="59">
        <f t="shared" si="62"/>
        <v>908.50236740966557</v>
      </c>
      <c r="BI120" s="59">
        <f ca="1">AVERAGE(OFFSET($BH$3,0,0,'Données projet'!$E$11+1,1))-AVERAGE(OFFSET($H$3,0,0,'Données projet'!$E$11+1,1))</f>
        <v>476.64466005965136</v>
      </c>
      <c r="BJ120" s="59">
        <f t="shared" si="92"/>
        <v>312.67921212138998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67.543513304389009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67.543513304389009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2.6</v>
      </c>
      <c r="BY120" s="12">
        <f>IF('Données projet'!$A$114&gt;35,BY119+BX120-CG119,IF(A120&lt;'Données projet'!$A$114,$BV$205^A120,IF(A120='Données projet'!$A$114,'Données projet'!$B$114,BY119+BX120-CG119)))</f>
        <v>225.19999999999953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318.97291652986593</v>
      </c>
      <c r="T121" s="59">
        <f t="shared" si="88"/>
        <v>338.19413170988122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4.5474735088646412E-13</v>
      </c>
      <c r="AJ121" s="13">
        <f>AI121*VLOOKUP('Données projet'!$B$10,Paramètres!$A$1:$I$89,3,0)*VLOOKUP('Données projet'!$B$10,Paramètres!$A$1:$I$89,5,0)</f>
        <v>2.7193891583010558E-13</v>
      </c>
      <c r="AK121" s="13">
        <f t="shared" si="89"/>
        <v>3.6362267729089988E-12</v>
      </c>
      <c r="AL121" s="20">
        <f t="shared" si="58"/>
        <v>6.8067219078872727E-12</v>
      </c>
      <c r="AM121" s="59">
        <f t="shared" si="59"/>
        <v>293.33333333334014</v>
      </c>
      <c r="AN121" s="59">
        <f ca="1">AVERAGE(OFFSET($AM$3,0,0,'Données projet'!$E$10+1,1))-AVERAGE(OFFSET($H$3,0,0,'Données projet'!$E$10+1,1))</f>
        <v>318.97291652986593</v>
      </c>
      <c r="AO121" s="59">
        <f t="shared" si="90"/>
        <v>338.19413170988122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5.1386546381363161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2.2942552154516442E-12</v>
      </c>
      <c r="AX121" s="21">
        <f t="shared" si="60"/>
        <v>5.1386546381386102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4.5</v>
      </c>
      <c r="BD121" s="12">
        <f>IF('Données projet'!$A$88&gt;35,BD120+BC121-BL120,IF(A121&lt;'Données projet'!$A$88,$BA$205^A121,IF(A121='Données projet'!$A$88,'Données projet'!$B$88,BD120+BC121-BL120)))</f>
        <v>342.99999999999966</v>
      </c>
      <c r="BE121" s="13">
        <f>BD121*VLOOKUP('Données projet'!$B$11,Paramètres!$A$1:$I$89,3,0)*VLOOKUP('Données projet'!$B$11,Paramètres!$A$1:$I$89,5,0)</f>
        <v>288.94319999999976</v>
      </c>
      <c r="BF121" s="13">
        <f t="shared" si="91"/>
        <v>68.853491941116658</v>
      </c>
      <c r="BG121" s="20">
        <f t="shared" si="61"/>
        <v>623.16257179744446</v>
      </c>
      <c r="BH121" s="59">
        <f t="shared" si="62"/>
        <v>916.49590513077783</v>
      </c>
      <c r="BI121" s="59">
        <f ca="1">AVERAGE(OFFSET($BH$3,0,0,'Données projet'!$E$11+1,1))-AVERAGE(OFFSET($H$3,0,0,'Données projet'!$E$11+1,1))</f>
        <v>476.64466005965136</v>
      </c>
      <c r="BJ121" s="59">
        <f t="shared" si="92"/>
        <v>312.67921212138998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66.21902620596515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66.21902620596515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2.6</v>
      </c>
      <c r="BY121" s="12">
        <f>IF('Données projet'!$A$114&gt;35,BY120+BX121-CG120,IF(A121&lt;'Données projet'!$A$114,$BV$205^A121,IF(A121='Données projet'!$A$114,'Données projet'!$B$114,BY120+BX121-CG120)))</f>
        <v>227.79999999999953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318.97291652986593</v>
      </c>
      <c r="T122" s="59">
        <f t="shared" si="88"/>
        <v>338.19413170988122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4.5474735088646412E-13</v>
      </c>
      <c r="AJ122" s="13">
        <f>AI122*VLOOKUP('Données projet'!$B$10,Paramètres!$A$1:$I$89,3,0)*VLOOKUP('Données projet'!$B$10,Paramètres!$A$1:$I$89,5,0)</f>
        <v>2.7193891583010558E-13</v>
      </c>
      <c r="AK122" s="13">
        <f t="shared" si="89"/>
        <v>3.6362267729089988E-12</v>
      </c>
      <c r="AL122" s="20">
        <f t="shared" si="58"/>
        <v>6.8067219078872727E-12</v>
      </c>
      <c r="AM122" s="59">
        <f t="shared" si="59"/>
        <v>293.33333333334014</v>
      </c>
      <c r="AN122" s="59">
        <f ca="1">AVERAGE(OFFSET($AM$3,0,0,'Données projet'!$E$10+1,1))-AVERAGE(OFFSET($H$3,0,0,'Données projet'!$E$10+1,1))</f>
        <v>318.97291652986593</v>
      </c>
      <c r="AO122" s="59">
        <f t="shared" si="90"/>
        <v>338.19413170988122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5.0378887549523084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1.6222834206184612E-12</v>
      </c>
      <c r="AX122" s="21">
        <f t="shared" si="60"/>
        <v>5.0378887549539311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4.5</v>
      </c>
      <c r="BD122" s="12">
        <f>IF('Données projet'!$A$88&gt;35,BD121+BC122-BL121,IF(A122&lt;'Données projet'!$A$88,$BA$205^A122,IF(A122='Données projet'!$A$88,'Données projet'!$B$88,BD121+BC122-BL121)))</f>
        <v>347.49999999999966</v>
      </c>
      <c r="BE122" s="13">
        <f>BD122*VLOOKUP('Données projet'!$B$11,Paramètres!$A$1:$I$89,3,0)*VLOOKUP('Données projet'!$B$11,Paramètres!$A$1:$I$89,5,0)</f>
        <v>292.73399999999975</v>
      </c>
      <c r="BF122" s="13">
        <f t="shared" si="91"/>
        <v>69.651064026395574</v>
      </c>
      <c r="BG122" s="20">
        <f t="shared" si="61"/>
        <v>631.15398651263843</v>
      </c>
      <c r="BH122" s="59">
        <f t="shared" si="62"/>
        <v>924.4873198459718</v>
      </c>
      <c r="BI122" s="59">
        <f ca="1">AVERAGE(OFFSET($BH$3,0,0,'Données projet'!$E$11+1,1))-AVERAGE(OFFSET($H$3,0,0,'Données projet'!$E$11+1,1))</f>
        <v>476.64466005965136</v>
      </c>
      <c r="BJ122" s="59">
        <f t="shared" si="92"/>
        <v>312.67921212138998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64.92051149168401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64.92051149168401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2.6</v>
      </c>
      <c r="BY122" s="12">
        <f>IF('Données projet'!$A$114&gt;35,BY121+BX122-CG121,IF(A122&lt;'Données projet'!$A$114,$BV$205^A122,IF(A122='Données projet'!$A$114,'Données projet'!$B$114,BY121+BX122-CG121)))</f>
        <v>230.39999999999952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318.97291652986593</v>
      </c>
      <c r="T123" s="59">
        <f t="shared" si="88"/>
        <v>338.19413170988122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4.5474735088646412E-13</v>
      </c>
      <c r="AJ123" s="13">
        <f>AI123*VLOOKUP('Données projet'!$B$10,Paramètres!$A$1:$I$89,3,0)*VLOOKUP('Données projet'!$B$10,Paramètres!$A$1:$I$89,5,0)</f>
        <v>2.7193891583010558E-13</v>
      </c>
      <c r="AK123" s="13">
        <f t="shared" si="89"/>
        <v>3.6362267729089988E-12</v>
      </c>
      <c r="AL123" s="20">
        <f t="shared" si="58"/>
        <v>6.8067219078872727E-12</v>
      </c>
      <c r="AM123" s="59">
        <f t="shared" si="59"/>
        <v>293.33333333334014</v>
      </c>
      <c r="AN123" s="59">
        <f ca="1">AVERAGE(OFFSET($AM$3,0,0,'Données projet'!$E$10+1,1))-AVERAGE(OFFSET($H$3,0,0,'Données projet'!$E$10+1,1))</f>
        <v>318.97291652986593</v>
      </c>
      <c r="AO123" s="59">
        <f t="shared" si="90"/>
        <v>338.19413170988122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4.9390988292764195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1.1471276077258221E-12</v>
      </c>
      <c r="AX123" s="21">
        <f t="shared" si="60"/>
        <v>4.939098829277567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352</v>
      </c>
      <c r="BB123" s="12">
        <f>VLOOKUP(A123,'Données projet'!$A$87:$I$107,9,0)</f>
        <v>4.5</v>
      </c>
      <c r="BC123" s="12">
        <f t="array" ref="BC123">INDEX(BB:BB,MIN(IF(ISNUMBER(BB123:BB319),ROW(BB123:BB319),"")))</f>
        <v>4.5</v>
      </c>
      <c r="BD123" s="12">
        <f>IF('Données projet'!$A$88&gt;35,BD122+BC123-BL122,IF(A123&lt;'Données projet'!$A$88,$BA$205^A123,IF(A123='Données projet'!$A$88,'Données projet'!$B$88,BD122+BC123-BL122)))</f>
        <v>351.99999999999966</v>
      </c>
      <c r="BE123" s="13">
        <f>BD123*VLOOKUP('Données projet'!$B$11,Paramètres!$A$1:$I$89,3,0)*VLOOKUP('Données projet'!$B$11,Paramètres!$A$1:$I$89,5,0)</f>
        <v>296.52479999999974</v>
      </c>
      <c r="BF123" s="13">
        <f t="shared" si="91"/>
        <v>70.447434770968471</v>
      </c>
      <c r="BG123" s="20">
        <f t="shared" si="61"/>
        <v>639.1433088927696</v>
      </c>
      <c r="BH123" s="59">
        <f t="shared" si="62"/>
        <v>932.47664222610297</v>
      </c>
      <c r="BI123" s="59">
        <f ca="1">AVERAGE(OFFSET($BH$3,0,0,'Données projet'!$E$11+1,1))-AVERAGE(OFFSET($H$3,0,0,'Données projet'!$E$11+1,1))</f>
        <v>476.64466005965136</v>
      </c>
      <c r="BJ123" s="59">
        <f t="shared" si="92"/>
        <v>312.67921212138998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47</v>
      </c>
      <c r="BM123" s="16">
        <f>IF(ISNA(VLOOKUP(A123,'Données projet'!$A$87:$I$107,5,0)),0%,VLOOKUP(A123,'Données projet'!$A$87:$I$107,5,0)*VLOOKUP('Données projet'!$B$11,Paramètres!$A$1:$I$89,7,0))</f>
        <v>0.36549999999999999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79.644907882367391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79.644907882367391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233</v>
      </c>
      <c r="BW123" s="12">
        <f>VLOOKUP(A123,'Données projet'!$A$113:$I$133,9,0)</f>
        <v>2.6</v>
      </c>
      <c r="BX123" s="12">
        <f t="array" ref="BX123">INDEX(BW:BW,MIN(IF(ISNUMBER(BW123:BW319),ROW(BW123:BW319),"")))</f>
        <v>2.6</v>
      </c>
      <c r="BY123" s="12">
        <f>IF('Données projet'!$A$114&gt;35,BY122+BX123-CG122,IF(A123&lt;'Données projet'!$A$114,$BV$205^A123,IF(A123='Données projet'!$A$114,'Données projet'!$B$114,BY122+BX123-CG122)))</f>
        <v>232.99999999999952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10</v>
      </c>
      <c r="CG123" s="15">
        <f>IF(ISNA(VLOOKUP(A123,'Données projet'!$A$113:$I$133,4,0)),0,VLOOKUP(A123,'Données projet'!$A$113:$I$133,4,0))</f>
        <v>25</v>
      </c>
      <c r="CH123" s="16" t="e">
        <f>IF(ISNA(VLOOKUP(A123,'Données projet'!$A$113:$I$133,5,0)),0%,VLOOKUP(A123,'Données projet'!$A$113:$I$133,5,0)*VLOOKUP('Données projet'!$B$12,Paramètres!$A$1:$I$89,7,0))</f>
        <v>#N/A</v>
      </c>
      <c r="CI123" s="16" t="e">
        <f>IF(ISNA(VLOOKUP(A123,'Données projet'!$A$113:$I$133,6,0)),0%,VLOOKUP(A123,'Données projet'!$A$113:$I$133,6,0)*VLOOKUP('Données projet'!$B$12,Paramètres!$A$1:$I$89,7,0))</f>
        <v>#N/A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318.97291652986593</v>
      </c>
      <c r="T124" s="59">
        <f t="shared" si="88"/>
        <v>338.19413170988122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4.5474735088646412E-13</v>
      </c>
      <c r="AJ124" s="13">
        <f>AI124*VLOOKUP('Données projet'!$B$10,Paramètres!$A$1:$I$89,3,0)*VLOOKUP('Données projet'!$B$10,Paramètres!$A$1:$I$89,5,0)</f>
        <v>2.7193891583010558E-13</v>
      </c>
      <c r="AK124" s="13">
        <f t="shared" si="89"/>
        <v>3.6362267729089988E-12</v>
      </c>
      <c r="AL124" s="20">
        <f t="shared" si="58"/>
        <v>6.8067219078872727E-12</v>
      </c>
      <c r="AM124" s="59">
        <f t="shared" si="59"/>
        <v>293.33333333334014</v>
      </c>
      <c r="AN124" s="59">
        <f ca="1">AVERAGE(OFFSET($AM$3,0,0,'Données projet'!$E$10+1,1))-AVERAGE(OFFSET($H$3,0,0,'Données projet'!$E$10+1,1))</f>
        <v>318.97291652986593</v>
      </c>
      <c r="AO124" s="59">
        <f t="shared" si="90"/>
        <v>338.19413170988122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4.8422461137871302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8.1114171030923062E-13</v>
      </c>
      <c r="AX124" s="21">
        <f t="shared" si="60"/>
        <v>4.8422461137879411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4.0999999999999996</v>
      </c>
      <c r="BD124" s="12">
        <f>IF('Données projet'!$A$88&gt;35,BD123+BC124-BL123,IF(A124&lt;'Données projet'!$A$88,$BA$205^A124,IF(A124='Données projet'!$A$88,'Données projet'!$B$88,BD123+BC124-BL123)))</f>
        <v>309.09999999999968</v>
      </c>
      <c r="BE124" s="13">
        <f>BD124*VLOOKUP('Données projet'!$B$11,Paramètres!$A$1:$I$89,3,0)*VLOOKUP('Données projet'!$B$11,Paramètres!$A$1:$I$89,5,0)</f>
        <v>260.38583999999975</v>
      </c>
      <c r="BF124" s="13">
        <f t="shared" si="91"/>
        <v>62.804616352490115</v>
      </c>
      <c r="BG124" s="20">
        <f t="shared" si="61"/>
        <v>562.89004481391976</v>
      </c>
      <c r="BH124" s="59">
        <f t="shared" si="62"/>
        <v>856.22337814725302</v>
      </c>
      <c r="BI124" s="59">
        <f ca="1">AVERAGE(OFFSET($BH$3,0,0,'Données projet'!$E$11+1,1))-AVERAGE(OFFSET($H$3,0,0,'Données projet'!$E$11+1,1))</f>
        <v>476.64466005965136</v>
      </c>
      <c r="BJ124" s="59">
        <f t="shared" si="92"/>
        <v>312.67921212138998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78.083119817391236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78.083119817391236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2.2000000000000002</v>
      </c>
      <c r="BY124" s="12">
        <f>IF('Données projet'!$A$114&gt;35,BY123+BX124-CG123,IF(A124&lt;'Données projet'!$A$114,$BV$205^A124,IF(A124='Données projet'!$A$114,'Données projet'!$B$114,BY123+BX124-CG123)))</f>
        <v>210.19999999999951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318.97291652986593</v>
      </c>
      <c r="T125" s="59">
        <f t="shared" si="88"/>
        <v>338.19413170988122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4.5474735088646412E-13</v>
      </c>
      <c r="AJ125" s="13">
        <f>AI125*VLOOKUP('Données projet'!$B$10,Paramètres!$A$1:$I$89,3,0)*VLOOKUP('Données projet'!$B$10,Paramètres!$A$1:$I$89,5,0)</f>
        <v>2.7193891583010558E-13</v>
      </c>
      <c r="AK125" s="13">
        <f t="shared" si="89"/>
        <v>3.6362267729089988E-12</v>
      </c>
      <c r="AL125" s="20">
        <f t="shared" si="58"/>
        <v>6.8067219078872727E-12</v>
      </c>
      <c r="AM125" s="59">
        <f t="shared" si="59"/>
        <v>293.33333333334014</v>
      </c>
      <c r="AN125" s="59">
        <f ca="1">AVERAGE(OFFSET($AM$3,0,0,'Données projet'!$E$10+1,1))-AVERAGE(OFFSET($H$3,0,0,'Données projet'!$E$10+1,1))</f>
        <v>318.97291652986593</v>
      </c>
      <c r="AO125" s="59">
        <f t="shared" si="90"/>
        <v>338.19413170988122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4.7472926209742621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5.7356380386291105E-13</v>
      </c>
      <c r="AX125" s="21">
        <f t="shared" si="60"/>
        <v>4.7472926209748358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4.0999999999999996</v>
      </c>
      <c r="BD125" s="12">
        <f>IF('Données projet'!$A$88&gt;35,BD124+BC125-BL124,IF(A125&lt;'Données projet'!$A$88,$BA$205^A125,IF(A125='Données projet'!$A$88,'Données projet'!$B$88,BD124+BC125-BL124)))</f>
        <v>313.1999999999997</v>
      </c>
      <c r="BE125" s="13">
        <f>BD125*VLOOKUP('Données projet'!$B$11,Paramètres!$A$1:$I$89,3,0)*VLOOKUP('Données projet'!$B$11,Paramètres!$A$1:$I$89,5,0)</f>
        <v>263.83967999999976</v>
      </c>
      <c r="BF125" s="13">
        <f t="shared" si="91"/>
        <v>63.540142934904779</v>
      </c>
      <c r="BG125" s="20">
        <f t="shared" si="61"/>
        <v>570.18652494495871</v>
      </c>
      <c r="BH125" s="59">
        <f t="shared" si="62"/>
        <v>863.51985827829208</v>
      </c>
      <c r="BI125" s="59">
        <f ca="1">AVERAGE(OFFSET($BH$3,0,0,'Données projet'!$E$11+1,1))-AVERAGE(OFFSET($H$3,0,0,'Données projet'!$E$11+1,1))</f>
        <v>476.64466005965136</v>
      </c>
      <c r="BJ125" s="59">
        <f t="shared" si="92"/>
        <v>312.67921212138998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76.551957463772609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76.551957463772609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2.2000000000000002</v>
      </c>
      <c r="BY125" s="12">
        <f>IF('Données projet'!$A$114&gt;35,BY124+BX125-CG124,IF(A125&lt;'Données projet'!$A$114,$BV$205^A125,IF(A125='Données projet'!$A$114,'Données projet'!$B$114,BY124+BX125-CG124)))</f>
        <v>212.39999999999949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318.97291652986593</v>
      </c>
      <c r="T126" s="59">
        <f t="shared" si="88"/>
        <v>338.19413170988122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4.5474735088646412E-13</v>
      </c>
      <c r="AJ126" s="13">
        <f>AI126*VLOOKUP('Données projet'!$B$10,Paramètres!$A$1:$I$89,3,0)*VLOOKUP('Données projet'!$B$10,Paramètres!$A$1:$I$89,5,0)</f>
        <v>2.7193891583010558E-13</v>
      </c>
      <c r="AK126" s="13">
        <f t="shared" si="89"/>
        <v>3.6362267729089988E-12</v>
      </c>
      <c r="AL126" s="20">
        <f t="shared" si="58"/>
        <v>6.8067219078872727E-12</v>
      </c>
      <c r="AM126" s="59">
        <f t="shared" si="59"/>
        <v>293.33333333334014</v>
      </c>
      <c r="AN126" s="59">
        <f ca="1">AVERAGE(OFFSET($AM$3,0,0,'Données projet'!$E$10+1,1))-AVERAGE(OFFSET($H$3,0,0,'Données projet'!$E$10+1,1))</f>
        <v>318.97291652986593</v>
      </c>
      <c r="AO126" s="59">
        <f t="shared" si="90"/>
        <v>338.19413170988122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4.6542011082395423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4.0557085515461531E-13</v>
      </c>
      <c r="AX126" s="21">
        <f t="shared" si="60"/>
        <v>4.6542011082399481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4.0999999999999996</v>
      </c>
      <c r="BD126" s="12">
        <f>IF('Données projet'!$A$88&gt;35,BD125+BC126-BL125,IF(A126&lt;'Données projet'!$A$88,$BA$205^A126,IF(A126='Données projet'!$A$88,'Données projet'!$B$88,BD125+BC126-BL125)))</f>
        <v>317.29999999999973</v>
      </c>
      <c r="BE126" s="13">
        <f>BD126*VLOOKUP('Données projet'!$B$11,Paramètres!$A$1:$I$89,3,0)*VLOOKUP('Données projet'!$B$11,Paramètres!$A$1:$I$89,5,0)</f>
        <v>267.29351999999983</v>
      </c>
      <c r="BF126" s="13">
        <f t="shared" si="91"/>
        <v>64.274549574792829</v>
      </c>
      <c r="BG126" s="20">
        <f t="shared" si="61"/>
        <v>577.48105450943058</v>
      </c>
      <c r="BH126" s="59">
        <f t="shared" si="62"/>
        <v>870.81438784276384</v>
      </c>
      <c r="BI126" s="59">
        <f ca="1">AVERAGE(OFFSET($BH$3,0,0,'Données projet'!$E$11+1,1))-AVERAGE(OFFSET($H$3,0,0,'Données projet'!$E$11+1,1))</f>
        <v>476.64466005965136</v>
      </c>
      <c r="BJ126" s="59">
        <f t="shared" si="92"/>
        <v>312.67921212138998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75.050820269991618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75.050820269991618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2.2000000000000002</v>
      </c>
      <c r="BY126" s="12">
        <f>IF('Données projet'!$A$114&gt;35,BY125+BX126-CG125,IF(A126&lt;'Données projet'!$A$114,$BV$205^A126,IF(A126='Données projet'!$A$114,'Données projet'!$B$114,BY125+BX126-CG125)))</f>
        <v>214.59999999999948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318.97291652986593</v>
      </c>
      <c r="T127" s="59">
        <f t="shared" si="88"/>
        <v>338.19413170988122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4.5474735088646412E-13</v>
      </c>
      <c r="AJ127" s="13">
        <f>AI127*VLOOKUP('Données projet'!$B$10,Paramètres!$A$1:$I$89,3,0)*VLOOKUP('Données projet'!$B$10,Paramètres!$A$1:$I$89,5,0)</f>
        <v>2.7193891583010558E-13</v>
      </c>
      <c r="AK127" s="13">
        <f t="shared" si="89"/>
        <v>3.6362267729089988E-12</v>
      </c>
      <c r="AL127" s="20">
        <f t="shared" si="58"/>
        <v>6.8067219078872727E-12</v>
      </c>
      <c r="AM127" s="59">
        <f t="shared" si="59"/>
        <v>293.33333333334014</v>
      </c>
      <c r="AN127" s="59">
        <f ca="1">AVERAGE(OFFSET($AM$3,0,0,'Données projet'!$E$10+1,1))-AVERAGE(OFFSET($H$3,0,0,'Données projet'!$E$10+1,1))</f>
        <v>318.97291652986593</v>
      </c>
      <c r="AO127" s="59">
        <f t="shared" si="90"/>
        <v>338.19413170988122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4.5629350632893342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2.8678190193145552E-13</v>
      </c>
      <c r="AX127" s="21">
        <f t="shared" si="60"/>
        <v>4.5629350632896211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4.0999999999999996</v>
      </c>
      <c r="BD127" s="12">
        <f>IF('Données projet'!$A$88&gt;35,BD126+BC127-BL126,IF(A127&lt;'Données projet'!$A$88,$BA$205^A127,IF(A127='Données projet'!$A$88,'Données projet'!$B$88,BD126+BC127-BL126)))</f>
        <v>321.39999999999975</v>
      </c>
      <c r="BE127" s="13">
        <f>BD127*VLOOKUP('Données projet'!$B$11,Paramètres!$A$1:$I$89,3,0)*VLOOKUP('Données projet'!$B$11,Paramètres!$A$1:$I$89,5,0)</f>
        <v>270.74735999999979</v>
      </c>
      <c r="BF127" s="13">
        <f t="shared" si="91"/>
        <v>65.007852416747056</v>
      </c>
      <c r="BG127" s="20">
        <f t="shared" si="61"/>
        <v>584.77366162583417</v>
      </c>
      <c r="BH127" s="59">
        <f t="shared" si="62"/>
        <v>878.10699495916742</v>
      </c>
      <c r="BI127" s="59">
        <f ca="1">AVERAGE(OFFSET($BH$3,0,0,'Données projet'!$E$11+1,1))-AVERAGE(OFFSET($H$3,0,0,'Données projet'!$E$11+1,1))</f>
        <v>476.64466005965136</v>
      </c>
      <c r="BJ127" s="59">
        <f t="shared" si="92"/>
        <v>312.67921212138998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73.579119460977395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73.579119460977395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2.2000000000000002</v>
      </c>
      <c r="BY127" s="12">
        <f>IF('Données projet'!$A$114&gt;35,BY126+BX127-CG126,IF(A127&lt;'Données projet'!$A$114,$BV$205^A127,IF(A127='Données projet'!$A$114,'Données projet'!$B$114,BY126+BX127-CG126)))</f>
        <v>216.79999999999947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318.97291652986593</v>
      </c>
      <c r="T128" s="59">
        <f t="shared" si="88"/>
        <v>338.19413170988122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4.5474735088646412E-13</v>
      </c>
      <c r="AJ128" s="13">
        <f>AI128*VLOOKUP('Données projet'!$B$10,Paramètres!$A$1:$I$89,3,0)*VLOOKUP('Données projet'!$B$10,Paramètres!$A$1:$I$89,5,0)</f>
        <v>2.7193891583010558E-13</v>
      </c>
      <c r="AK128" s="13">
        <f t="shared" si="89"/>
        <v>3.6362267729089988E-12</v>
      </c>
      <c r="AL128" s="20">
        <f t="shared" si="58"/>
        <v>6.8067219078872727E-12</v>
      </c>
      <c r="AM128" s="59">
        <f t="shared" si="59"/>
        <v>293.33333333334014</v>
      </c>
      <c r="AN128" s="59">
        <f ca="1">AVERAGE(OFFSET($AM$3,0,0,'Données projet'!$E$10+1,1))-AVERAGE(OFFSET($H$3,0,0,'Données projet'!$E$10+1,1))</f>
        <v>318.97291652986593</v>
      </c>
      <c r="AO128" s="59">
        <f t="shared" si="90"/>
        <v>338.19413170988122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4.4734586898138087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2.0278542757730765E-13</v>
      </c>
      <c r="AX128" s="21">
        <f t="shared" si="60"/>
        <v>4.4734586898140112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4.0999999999999996</v>
      </c>
      <c r="BD128" s="12">
        <f>IF('Données projet'!$A$88&gt;35,BD127+BC128-BL127,IF(A128&lt;'Données projet'!$A$88,$BA$205^A128,IF(A128='Données projet'!$A$88,'Données projet'!$B$88,BD127+BC128-BL127)))</f>
        <v>325.49999999999977</v>
      </c>
      <c r="BE128" s="13">
        <f>BD128*VLOOKUP('Données projet'!$B$11,Paramètres!$A$1:$I$89,3,0)*VLOOKUP('Données projet'!$B$11,Paramètres!$A$1:$I$89,5,0)</f>
        <v>274.20119999999986</v>
      </c>
      <c r="BF128" s="13">
        <f t="shared" si="91"/>
        <v>65.740067169772757</v>
      </c>
      <c r="BG128" s="20">
        <f t="shared" si="61"/>
        <v>592.06437365402064</v>
      </c>
      <c r="BH128" s="59">
        <f t="shared" si="62"/>
        <v>885.39770698735401</v>
      </c>
      <c r="BI128" s="59">
        <f ca="1">AVERAGE(OFFSET($BH$3,0,0,'Données projet'!$E$11+1,1))-AVERAGE(OFFSET($H$3,0,0,'Données projet'!$E$11+1,1))</f>
        <v>476.64466005965136</v>
      </c>
      <c r="BJ128" s="59">
        <f t="shared" si="92"/>
        <v>312.67921212138998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72.136277807179084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72.136277807179084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2.2000000000000002</v>
      </c>
      <c r="BY128" s="12">
        <f>IF('Données projet'!$A$114&gt;35,BY127+BX128-CG127,IF(A128&lt;'Données projet'!$A$114,$BV$205^A128,IF(A128='Données projet'!$A$114,'Données projet'!$B$114,BY127+BX128-CG127)))</f>
        <v>218.99999999999946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318.97291652986593</v>
      </c>
      <c r="T129" s="59">
        <f t="shared" si="88"/>
        <v>338.19413170988122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4.5474735088646412E-13</v>
      </c>
      <c r="AJ129" s="13">
        <f>AI129*VLOOKUP('Données projet'!$B$10,Paramètres!$A$1:$I$89,3,0)*VLOOKUP('Données projet'!$B$10,Paramètres!$A$1:$I$89,5,0)</f>
        <v>2.7193891583010558E-13</v>
      </c>
      <c r="AK129" s="13">
        <f t="shared" si="89"/>
        <v>3.6362267729089988E-12</v>
      </c>
      <c r="AL129" s="20">
        <f t="shared" si="58"/>
        <v>6.8067219078872727E-12</v>
      </c>
      <c r="AM129" s="59">
        <f t="shared" si="59"/>
        <v>293.33333333334014</v>
      </c>
      <c r="AN129" s="59">
        <f ca="1">AVERAGE(OFFSET($AM$3,0,0,'Données projet'!$E$10+1,1))-AVERAGE(OFFSET($H$3,0,0,'Données projet'!$E$10+1,1))</f>
        <v>318.97291652986593</v>
      </c>
      <c r="AO129" s="59">
        <f t="shared" si="90"/>
        <v>338.19413170988122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4.3857368934469401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1.4339095096572776E-13</v>
      </c>
      <c r="AX129" s="21">
        <f t="shared" si="60"/>
        <v>4.3857368934470831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4.0999999999999996</v>
      </c>
      <c r="BD129" s="12">
        <f>IF('Données projet'!$A$88&gt;35,BD128+BC129-BL128,IF(A129&lt;'Données projet'!$A$88,$BA$205^A129,IF(A129='Données projet'!$A$88,'Données projet'!$B$88,BD128+BC129-BL128)))</f>
        <v>329.5999999999998</v>
      </c>
      <c r="BE129" s="13">
        <f>BD129*VLOOKUP('Données projet'!$B$11,Paramètres!$A$1:$I$89,3,0)*VLOOKUP('Données projet'!$B$11,Paramètres!$A$1:$I$89,5,0)</f>
        <v>277.65503999999987</v>
      </c>
      <c r="BF129" s="13">
        <f t="shared" si="91"/>
        <v>66.47120912437552</v>
      </c>
      <c r="BG129" s="20">
        <f t="shared" si="61"/>
        <v>599.35321722495371</v>
      </c>
      <c r="BH129" s="59">
        <f t="shared" si="62"/>
        <v>892.68655055828708</v>
      </c>
      <c r="BI129" s="59">
        <f ca="1">AVERAGE(OFFSET($BH$3,0,0,'Données projet'!$E$11+1,1))-AVERAGE(OFFSET($H$3,0,0,'Données projet'!$E$11+1,1))</f>
        <v>476.64466005965136</v>
      </c>
      <c r="BJ129" s="59">
        <f t="shared" si="92"/>
        <v>312.67921212138998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70.721729398165252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70.721729398165252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2.2000000000000002</v>
      </c>
      <c r="BY129" s="12">
        <f>IF('Données projet'!$A$114&gt;35,BY128+BX129-CG128,IF(A129&lt;'Données projet'!$A$114,$BV$205^A129,IF(A129='Données projet'!$A$114,'Données projet'!$B$114,BY128+BX129-CG128)))</f>
        <v>221.19999999999945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318.97291652986593</v>
      </c>
      <c r="T130" s="59">
        <f t="shared" si="88"/>
        <v>338.19413170988122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4.5474735088646412E-13</v>
      </c>
      <c r="AJ130" s="13">
        <f>AI130*VLOOKUP('Données projet'!$B$10,Paramètres!$A$1:$I$89,3,0)*VLOOKUP('Données projet'!$B$10,Paramètres!$A$1:$I$89,5,0)</f>
        <v>2.7193891583010558E-13</v>
      </c>
      <c r="AK130" s="13">
        <f t="shared" si="89"/>
        <v>3.6362267729089988E-12</v>
      </c>
      <c r="AL130" s="20">
        <f t="shared" si="58"/>
        <v>6.8067219078872727E-12</v>
      </c>
      <c r="AM130" s="59">
        <f t="shared" si="59"/>
        <v>293.33333333334014</v>
      </c>
      <c r="AN130" s="59">
        <f ca="1">AVERAGE(OFFSET($AM$3,0,0,'Données projet'!$E$10+1,1))-AVERAGE(OFFSET($H$3,0,0,'Données projet'!$E$10+1,1))</f>
        <v>318.97291652986593</v>
      </c>
      <c r="AO130" s="59">
        <f t="shared" si="90"/>
        <v>338.19413170988122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4.2997352680018128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1.0139271378865383E-13</v>
      </c>
      <c r="AX130" s="21">
        <f t="shared" si="60"/>
        <v>4.2997352680019141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4.0999999999999996</v>
      </c>
      <c r="BD130" s="12">
        <f>IF('Données projet'!$A$88&gt;35,BD129+BC130-BL129,IF(A130&lt;'Données projet'!$A$88,$BA$205^A130,IF(A130='Données projet'!$A$88,'Données projet'!$B$88,BD129+BC130-BL129)))</f>
        <v>333.69999999999982</v>
      </c>
      <c r="BE130" s="13">
        <f>BD130*VLOOKUP('Données projet'!$B$11,Paramètres!$A$1:$I$89,3,0)*VLOOKUP('Données projet'!$B$11,Paramètres!$A$1:$I$89,5,0)</f>
        <v>281.10887999999989</v>
      </c>
      <c r="BF130" s="13">
        <f t="shared" si="91"/>
        <v>67.201293168774626</v>
      </c>
      <c r="BG130" s="20">
        <f t="shared" si="61"/>
        <v>606.64021826894884</v>
      </c>
      <c r="BH130" s="59">
        <f t="shared" si="62"/>
        <v>899.97355160228221</v>
      </c>
      <c r="BI130" s="59">
        <f ca="1">AVERAGE(OFFSET($BH$3,0,0,'Données projet'!$E$11+1,1))-AVERAGE(OFFSET($H$3,0,0,'Données projet'!$E$11+1,1))</f>
        <v>476.64466005965136</v>
      </c>
      <c r="BJ130" s="59">
        <f t="shared" si="92"/>
        <v>312.67921212138998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69.334919420662843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69.334919420662843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2.2000000000000002</v>
      </c>
      <c r="BY130" s="12">
        <f>IF('Données projet'!$A$114&gt;35,BY129+BX130-CG129,IF(A130&lt;'Données projet'!$A$114,$BV$205^A130,IF(A130='Données projet'!$A$114,'Données projet'!$B$114,BY129+BX130-CG129)))</f>
        <v>223.39999999999944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318.97291652986593</v>
      </c>
      <c r="T131" s="59">
        <f t="shared" si="88"/>
        <v>338.19413170988122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4.5474735088646412E-13</v>
      </c>
      <c r="AJ131" s="13">
        <f>AI131*VLOOKUP('Données projet'!$B$10,Paramètres!$A$1:$I$89,3,0)*VLOOKUP('Données projet'!$B$10,Paramètres!$A$1:$I$89,5,0)</f>
        <v>2.7193891583010558E-13</v>
      </c>
      <c r="AK131" s="13">
        <f t="shared" si="89"/>
        <v>3.6362267729089988E-12</v>
      </c>
      <c r="AL131" s="20">
        <f t="shared" si="58"/>
        <v>6.8067219078872727E-12</v>
      </c>
      <c r="AM131" s="59">
        <f t="shared" si="59"/>
        <v>293.33333333334014</v>
      </c>
      <c r="AN131" s="59">
        <f ca="1">AVERAGE(OFFSET($AM$3,0,0,'Données projet'!$E$10+1,1))-AVERAGE(OFFSET($H$3,0,0,'Données projet'!$E$10+1,1))</f>
        <v>318.97291652986593</v>
      </c>
      <c r="AO131" s="59">
        <f t="shared" si="90"/>
        <v>338.19413170988122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4.2154200819758527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7.1695475482863881E-14</v>
      </c>
      <c r="AX131" s="21">
        <f t="shared" si="60"/>
        <v>4.2154200819759247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4.0999999999999996</v>
      </c>
      <c r="BD131" s="12">
        <f>IF('Données projet'!$A$88&gt;35,BD130+BC131-BL130,IF(A131&lt;'Données projet'!$A$88,$BA$205^A131,IF(A131='Données projet'!$A$88,'Données projet'!$B$88,BD130+BC131-BL130)))</f>
        <v>337.79999999999984</v>
      </c>
      <c r="BE131" s="13">
        <f>BD131*VLOOKUP('Données projet'!$B$11,Paramètres!$A$1:$I$89,3,0)*VLOOKUP('Données projet'!$B$11,Paramètres!$A$1:$I$89,5,0)</f>
        <v>284.5627199999999</v>
      </c>
      <c r="BF131" s="13">
        <f t="shared" si="91"/>
        <v>67.93033380429695</v>
      </c>
      <c r="BG131" s="20">
        <f t="shared" si="61"/>
        <v>613.9254020424836</v>
      </c>
      <c r="BH131" s="59">
        <f t="shared" si="62"/>
        <v>907.25873537581697</v>
      </c>
      <c r="BI131" s="59">
        <f ca="1">AVERAGE(OFFSET($BH$3,0,0,'Données projet'!$E$11+1,1))-AVERAGE(OFFSET($H$3,0,0,'Données projet'!$E$11+1,1))</f>
        <v>476.64466005965136</v>
      </c>
      <c r="BJ131" s="59">
        <f t="shared" si="92"/>
        <v>312.67921212138998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67.975303940948692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67.975303940948692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2.2000000000000002</v>
      </c>
      <c r="BY131" s="12">
        <f>IF('Données projet'!$A$114&gt;35,BY130+BX131-CG130,IF(A131&lt;'Données projet'!$A$114,$BV$205^A131,IF(A131='Données projet'!$A$114,'Données projet'!$B$114,BY130+BX131-CG130)))</f>
        <v>225.59999999999943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318.97291652986593</v>
      </c>
      <c r="T132" s="59">
        <f t="shared" si="88"/>
        <v>338.19413170988122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4.5474735088646412E-13</v>
      </c>
      <c r="AJ132" s="13">
        <f>AI132*VLOOKUP('Données projet'!$B$10,Paramètres!$A$1:$I$89,3,0)*VLOOKUP('Données projet'!$B$10,Paramètres!$A$1:$I$89,5,0)</f>
        <v>2.7193891583010558E-13</v>
      </c>
      <c r="AK132" s="13">
        <f t="shared" si="89"/>
        <v>3.6362267729089988E-12</v>
      </c>
      <c r="AL132" s="20">
        <f t="shared" ref="AL132:AL153" si="112">(AJ132+AK132)*0.475*44/12</f>
        <v>6.8067219078872727E-12</v>
      </c>
      <c r="AM132" s="59">
        <f t="shared" ref="AM132:AM195" si="113">AL132+(AD132+AE132)*44/12</f>
        <v>293.33333333334014</v>
      </c>
      <c r="AN132" s="59">
        <f ca="1">AVERAGE(OFFSET($AM$3,0,0,'Données projet'!$E$10+1,1))-AVERAGE(OFFSET($H$3,0,0,'Données projet'!$E$10+1,1))</f>
        <v>318.97291652986593</v>
      </c>
      <c r="AO132" s="59">
        <f t="shared" si="90"/>
        <v>338.19413170988122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4.1327582653206765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5.0696356894326914E-14</v>
      </c>
      <c r="AX132" s="21">
        <f t="shared" ref="AX132:AX153" si="114">SUM(AU132:AW132)</f>
        <v>4.1327582653207271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4.0999999999999996</v>
      </c>
      <c r="BD132" s="12">
        <f>IF('Données projet'!$A$88&gt;35,BD131+BC132-BL131,IF(A132&lt;'Données projet'!$A$88,$BA$205^A132,IF(A132='Données projet'!$A$88,'Données projet'!$B$88,BD131+BC132-BL131)))</f>
        <v>341.89999999999986</v>
      </c>
      <c r="BE132" s="13">
        <f>BD132*VLOOKUP('Données projet'!$B$11,Paramètres!$A$1:$I$89,3,0)*VLOOKUP('Données projet'!$B$11,Paramètres!$A$1:$I$89,5,0)</f>
        <v>288.01655999999991</v>
      </c>
      <c r="BF132" s="13">
        <f t="shared" si="91"/>
        <v>68.658345160002241</v>
      </c>
      <c r="BG132" s="20">
        <f t="shared" ref="BG132:BG153" si="115">(BE132+BF132)*0.475*44/12</f>
        <v>621.2087931536704</v>
      </c>
      <c r="BH132" s="59">
        <f t="shared" ref="BH132:BH195" si="116">BG132+(AY132+AZ132)*44/12</f>
        <v>914.54212648700377</v>
      </c>
      <c r="BI132" s="59">
        <f ca="1">AVERAGE(OFFSET($BH$3,0,0,'Données projet'!$E$11+1,1))-AVERAGE(OFFSET($H$3,0,0,'Données projet'!$E$11+1,1))</f>
        <v>476.64466005965136</v>
      </c>
      <c r="BJ132" s="59">
        <f t="shared" si="92"/>
        <v>312.67921212138998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66.642349691508173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66.642349691508173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2.2000000000000002</v>
      </c>
      <c r="BY132" s="12">
        <f>IF('Données projet'!$A$114&gt;35,BY131+BX132-CG131,IF(A132&lt;'Données projet'!$A$114,$BV$205^A132,IF(A132='Données projet'!$A$114,'Données projet'!$B$114,BY131+BX132-CG131)))</f>
        <v>227.79999999999941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318.97291652986593</v>
      </c>
      <c r="T133" s="59">
        <f t="shared" ref="T133:T196" si="142">$T$3</f>
        <v>338.19413170988122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4.5474735088646412E-13</v>
      </c>
      <c r="AJ133" s="13">
        <f>AI133*VLOOKUP('Données projet'!$B$10,Paramètres!$A$1:$I$89,3,0)*VLOOKUP('Données projet'!$B$10,Paramètres!$A$1:$I$89,5,0)</f>
        <v>2.7193891583010558E-13</v>
      </c>
      <c r="AK133" s="13">
        <f t="shared" ref="AK133:AK153" si="143">EXP(-1.0587+0.8836*LN(AJ133)+0.284)</f>
        <v>3.6362267729089988E-12</v>
      </c>
      <c r="AL133" s="20">
        <f t="shared" si="112"/>
        <v>6.8067219078872727E-12</v>
      </c>
      <c r="AM133" s="59">
        <f t="shared" si="113"/>
        <v>293.33333333334014</v>
      </c>
      <c r="AN133" s="59">
        <f ca="1">AVERAGE(OFFSET($AM$3,0,0,'Données projet'!$E$10+1,1))-AVERAGE(OFFSET($H$3,0,0,'Données projet'!$E$10+1,1))</f>
        <v>318.97291652986593</v>
      </c>
      <c r="AO133" s="59">
        <f t="shared" ref="AO133:AO196" si="144">$AO$3</f>
        <v>338.19413170988122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4.0517173964713784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3.5847737741431941E-14</v>
      </c>
      <c r="AX133" s="21">
        <f t="shared" si="114"/>
        <v>4.0517173964714139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346</v>
      </c>
      <c r="BB133" s="12">
        <f>VLOOKUP(A133,'Données projet'!$A$87:$I$107,9,0)</f>
        <v>4.0999999999999996</v>
      </c>
      <c r="BC133" s="12">
        <f t="array" ref="BC133">INDEX(BB:BB,MIN(IF(ISNUMBER(BB133:BB329),ROW(BB133:BB329),"")))</f>
        <v>4.0999999999999996</v>
      </c>
      <c r="BD133" s="12">
        <f>IF('Données projet'!$A$88&gt;35,BD132+BC133-BL132,IF(A133&lt;'Données projet'!$A$88,$BA$205^A133,IF(A133='Données projet'!$A$88,'Données projet'!$B$88,BD132+BC133-BL132)))</f>
        <v>345.99999999999989</v>
      </c>
      <c r="BE133" s="13">
        <f>BD133*VLOOKUP('Données projet'!$B$11,Paramètres!$A$1:$I$89,3,0)*VLOOKUP('Données projet'!$B$11,Paramètres!$A$1:$I$89,5,0)</f>
        <v>291.47039999999993</v>
      </c>
      <c r="BF133" s="13">
        <f t="shared" ref="BF133:BF153" si="145">EXP(-1.0587+0.8836*LN(BE133)+0.284)</f>
        <v>69.38534100658697</v>
      </c>
      <c r="BG133" s="20">
        <f t="shared" si="115"/>
        <v>628.49041558647207</v>
      </c>
      <c r="BH133" s="59">
        <f t="shared" si="116"/>
        <v>921.82374891980544</v>
      </c>
      <c r="BI133" s="59">
        <f ca="1">AVERAGE(OFFSET($BH$3,0,0,'Données projet'!$E$11+1,1))-AVERAGE(OFFSET($H$3,0,0,'Données projet'!$E$11+1,1))</f>
        <v>476.64466005965136</v>
      </c>
      <c r="BJ133" s="59">
        <f t="shared" ref="BJ133:BJ196" si="146">$BJ$3</f>
        <v>312.67921212138998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44</v>
      </c>
      <c r="BM133" s="16">
        <f>IF(ISNA(VLOOKUP(A133,'Données projet'!$A$87:$I$107,5,0)),0%,VLOOKUP(A133,'Données projet'!$A$87:$I$107,5,0)*VLOOKUP('Données projet'!$B$11,Paramètres!$A$1:$I$89,7,0))</f>
        <v>0.36549999999999999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80.311868181687203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80.311868181687203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230</v>
      </c>
      <c r="BW133" s="12">
        <f>VLOOKUP(A133,'Données projet'!$A$113:$I$133,9,0)</f>
        <v>2.2000000000000002</v>
      </c>
      <c r="BX133" s="12">
        <f t="array" ref="BX133">INDEX(BW:BW,MIN(IF(ISNUMBER(BW133:BW329),ROW(BW133:BW329),"")))</f>
        <v>2.2000000000000002</v>
      </c>
      <c r="BY133" s="12">
        <f>IF('Données projet'!$A$114&gt;35,BY132+BX133-CG132,IF(A133&lt;'Données projet'!$A$114,$BV$205^A133,IF(A133='Données projet'!$A$114,'Données projet'!$B$114,BY132+BX133-CG132)))</f>
        <v>229.9999999999994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11</v>
      </c>
      <c r="CG133" s="15">
        <f>IF(ISNA(VLOOKUP(A133,'Données projet'!$A$113:$I$133,4,0)),0,VLOOKUP(A133,'Données projet'!$A$113:$I$133,4,0))</f>
        <v>21</v>
      </c>
      <c r="CH133" s="16" t="e">
        <f>IF(ISNA(VLOOKUP(A133,'Données projet'!$A$113:$I$133,5,0)),0%,VLOOKUP(A133,'Données projet'!$A$113:$I$133,5,0)*VLOOKUP('Données projet'!$B$12,Paramètres!$A$1:$I$89,7,0))</f>
        <v>#N/A</v>
      </c>
      <c r="CI133" s="16" t="e">
        <f>IF(ISNA(VLOOKUP(A133,'Données projet'!$A$113:$I$133,6,0)),0%,VLOOKUP(A133,'Données projet'!$A$113:$I$133,6,0)*VLOOKUP('Données projet'!$B$12,Paramètres!$A$1:$I$89,7,0))</f>
        <v>#N/A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318.97291652986593</v>
      </c>
      <c r="T134" s="59">
        <f t="shared" si="142"/>
        <v>338.19413170988122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4.5474735088646412E-13</v>
      </c>
      <c r="AJ134" s="13">
        <f>AI134*VLOOKUP('Données projet'!$B$10,Paramètres!$A$1:$I$89,3,0)*VLOOKUP('Données projet'!$B$10,Paramètres!$A$1:$I$89,5,0)</f>
        <v>2.7193891583010558E-13</v>
      </c>
      <c r="AK134" s="13">
        <f t="shared" si="143"/>
        <v>3.6362267729089988E-12</v>
      </c>
      <c r="AL134" s="20">
        <f t="shared" si="112"/>
        <v>6.8067219078872727E-12</v>
      </c>
      <c r="AM134" s="59">
        <f t="shared" si="113"/>
        <v>293.33333333334014</v>
      </c>
      <c r="AN134" s="59">
        <f ca="1">AVERAGE(OFFSET($AM$3,0,0,'Données projet'!$E$10+1,1))-AVERAGE(OFFSET($H$3,0,0,'Données projet'!$E$10+1,1))</f>
        <v>318.97291652986593</v>
      </c>
      <c r="AO134" s="59">
        <f t="shared" si="144"/>
        <v>338.19413170988122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3.9722656896301656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2.5348178447163457E-14</v>
      </c>
      <c r="AX134" s="21">
        <f t="shared" si="114"/>
        <v>3.9722656896301909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3.8</v>
      </c>
      <c r="BD134" s="12">
        <f>IF('Données projet'!$A$88&gt;35,BD133+BC134-BL133,IF(A134&lt;'Données projet'!$A$88,$BA$205^A134,IF(A134='Données projet'!$A$88,'Données projet'!$B$88,BD133+BC134-BL133)))</f>
        <v>305.7999999999999</v>
      </c>
      <c r="BE134" s="13">
        <f>BD134*VLOOKUP('Données projet'!$B$11,Paramètres!$A$1:$I$89,3,0)*VLOOKUP('Données projet'!$B$11,Paramètres!$A$1:$I$89,5,0)</f>
        <v>257.60591999999991</v>
      </c>
      <c r="BF134" s="13">
        <f t="shared" si="145"/>
        <v>62.21178242147321</v>
      </c>
      <c r="BG134" s="20">
        <f t="shared" si="115"/>
        <v>557.01583171739901</v>
      </c>
      <c r="BH134" s="59">
        <f t="shared" si="116"/>
        <v>850.34916505073238</v>
      </c>
      <c r="BI134" s="59">
        <f ca="1">AVERAGE(OFFSET($BH$3,0,0,'Données projet'!$E$11+1,1))-AVERAGE(OFFSET($H$3,0,0,'Données projet'!$E$11+1,1))</f>
        <v>476.64466005965136</v>
      </c>
      <c r="BJ134" s="59">
        <f t="shared" si="146"/>
        <v>312.67921212138998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78.737001432046995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78.737001432046995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1.8</v>
      </c>
      <c r="BY134" s="12">
        <f>IF('Données projet'!$A$114&gt;35,BY133+BX134-CG133,IF(A134&lt;'Données projet'!$A$114,$BV$205^A134,IF(A134='Données projet'!$A$114,'Données projet'!$B$114,BY133+BX134-CG133)))</f>
        <v>210.79999999999941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318.97291652986593</v>
      </c>
      <c r="T135" s="59">
        <f t="shared" si="142"/>
        <v>338.19413170988122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4.5474735088646412E-13</v>
      </c>
      <c r="AJ135" s="13">
        <f>AI135*VLOOKUP('Données projet'!$B$10,Paramètres!$A$1:$I$89,3,0)*VLOOKUP('Données projet'!$B$10,Paramètres!$A$1:$I$89,5,0)</f>
        <v>2.7193891583010558E-13</v>
      </c>
      <c r="AK135" s="13">
        <f t="shared" si="143"/>
        <v>3.6362267729089988E-12</v>
      </c>
      <c r="AL135" s="20">
        <f t="shared" si="112"/>
        <v>6.8067219078872727E-12</v>
      </c>
      <c r="AM135" s="59">
        <f t="shared" si="113"/>
        <v>293.33333333334014</v>
      </c>
      <c r="AN135" s="59">
        <f ca="1">AVERAGE(OFFSET($AM$3,0,0,'Données projet'!$E$10+1,1))-AVERAGE(OFFSET($H$3,0,0,'Données projet'!$E$10+1,1))</f>
        <v>318.97291652986593</v>
      </c>
      <c r="AO135" s="59">
        <f t="shared" si="144"/>
        <v>338.19413170988122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3.894371982299353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1.792386887071597E-14</v>
      </c>
      <c r="AX135" s="21">
        <f t="shared" si="114"/>
        <v>3.8943719822993708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3.8</v>
      </c>
      <c r="BD135" s="12">
        <f>IF('Données projet'!$A$88&gt;35,BD134+BC135-BL134,IF(A135&lt;'Données projet'!$A$88,$BA$205^A135,IF(A135='Données projet'!$A$88,'Données projet'!$B$88,BD134+BC135-BL134)))</f>
        <v>309.59999999999991</v>
      </c>
      <c r="BE135" s="13">
        <f>BD135*VLOOKUP('Données projet'!$B$11,Paramètres!$A$1:$I$89,3,0)*VLOOKUP('Données projet'!$B$11,Paramètres!$A$1:$I$89,5,0)</f>
        <v>260.80703999999997</v>
      </c>
      <c r="BF135" s="13">
        <f t="shared" si="145"/>
        <v>62.894375229379683</v>
      </c>
      <c r="BG135" s="20">
        <f t="shared" si="115"/>
        <v>563.77996485783626</v>
      </c>
      <c r="BH135" s="59">
        <f t="shared" si="116"/>
        <v>857.11329819116963</v>
      </c>
      <c r="BI135" s="59">
        <f ca="1">AVERAGE(OFFSET($BH$3,0,0,'Données projet'!$E$11+1,1))-AVERAGE(OFFSET($H$3,0,0,'Données projet'!$E$11+1,1))</f>
        <v>476.64466005965136</v>
      </c>
      <c r="BJ135" s="59">
        <f t="shared" si="146"/>
        <v>312.67921212138998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77.193016858793371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77.193016858793371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1.8</v>
      </c>
      <c r="BY135" s="12">
        <f>IF('Données projet'!$A$114&gt;35,BY134+BX135-CG134,IF(A135&lt;'Données projet'!$A$114,$BV$205^A135,IF(A135='Données projet'!$A$114,'Données projet'!$B$114,BY134+BX135-CG134)))</f>
        <v>212.59999999999943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318.97291652986593</v>
      </c>
      <c r="T136" s="59">
        <f t="shared" si="142"/>
        <v>338.19413170988122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4.5474735088646412E-13</v>
      </c>
      <c r="AJ136" s="13">
        <f>AI136*VLOOKUP('Données projet'!$B$10,Paramètres!$A$1:$I$89,3,0)*VLOOKUP('Données projet'!$B$10,Paramètres!$A$1:$I$89,5,0)</f>
        <v>2.7193891583010558E-13</v>
      </c>
      <c r="AK136" s="13">
        <f t="shared" si="143"/>
        <v>3.6362267729089988E-12</v>
      </c>
      <c r="AL136" s="20">
        <f t="shared" si="112"/>
        <v>6.8067219078872727E-12</v>
      </c>
      <c r="AM136" s="59">
        <f t="shared" si="113"/>
        <v>293.33333333334014</v>
      </c>
      <c r="AN136" s="59">
        <f ca="1">AVERAGE(OFFSET($AM$3,0,0,'Données projet'!$E$10+1,1))-AVERAGE(OFFSET($H$3,0,0,'Données projet'!$E$10+1,1))</f>
        <v>318.97291652986593</v>
      </c>
      <c r="AO136" s="59">
        <f t="shared" si="144"/>
        <v>338.19413170988122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3.8180057230588273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1.2674089223581728E-14</v>
      </c>
      <c r="AX136" s="21">
        <f t="shared" si="114"/>
        <v>3.8180057230588402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3.8</v>
      </c>
      <c r="BD136" s="12">
        <f>IF('Données projet'!$A$88&gt;35,BD135+BC136-BL135,IF(A136&lt;'Données projet'!$A$88,$BA$205^A136,IF(A136='Données projet'!$A$88,'Données projet'!$B$88,BD135+BC136-BL135)))</f>
        <v>313.39999999999992</v>
      </c>
      <c r="BE136" s="13">
        <f>BD136*VLOOKUP('Données projet'!$B$11,Paramètres!$A$1:$I$89,3,0)*VLOOKUP('Données projet'!$B$11,Paramètres!$A$1:$I$89,5,0)</f>
        <v>264.00815999999998</v>
      </c>
      <c r="BF136" s="13">
        <f t="shared" si="145"/>
        <v>63.575993499536125</v>
      </c>
      <c r="BG136" s="20">
        <f t="shared" si="115"/>
        <v>570.5424006783586</v>
      </c>
      <c r="BH136" s="59">
        <f t="shared" si="116"/>
        <v>863.87573401169197</v>
      </c>
      <c r="BI136" s="59">
        <f ca="1">AVERAGE(OFFSET($BH$3,0,0,'Données projet'!$E$11+1,1))-AVERAGE(OFFSET($H$3,0,0,'Données projet'!$E$11+1,1))</f>
        <v>476.64466005965136</v>
      </c>
      <c r="BJ136" s="59">
        <f t="shared" si="146"/>
        <v>312.67921212138998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75.679308881283646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75.679308881283646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1.8</v>
      </c>
      <c r="BY136" s="12">
        <f>IF('Données projet'!$A$114&gt;35,BY135+BX136-CG135,IF(A136&lt;'Données projet'!$A$114,$BV$205^A136,IF(A136='Données projet'!$A$114,'Données projet'!$B$114,BY135+BX136-CG135)))</f>
        <v>214.39999999999944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318.97291652986593</v>
      </c>
      <c r="T137" s="59">
        <f t="shared" si="142"/>
        <v>338.19413170988122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4.5474735088646412E-13</v>
      </c>
      <c r="AJ137" s="13">
        <f>AI137*VLOOKUP('Données projet'!$B$10,Paramètres!$A$1:$I$89,3,0)*VLOOKUP('Données projet'!$B$10,Paramètres!$A$1:$I$89,5,0)</f>
        <v>2.7193891583010558E-13</v>
      </c>
      <c r="AK137" s="13">
        <f t="shared" si="143"/>
        <v>3.6362267729089988E-12</v>
      </c>
      <c r="AL137" s="20">
        <f t="shared" si="112"/>
        <v>6.8067219078872727E-12</v>
      </c>
      <c r="AM137" s="59">
        <f t="shared" si="113"/>
        <v>293.33333333334014</v>
      </c>
      <c r="AN137" s="59">
        <f ca="1">AVERAGE(OFFSET($AM$3,0,0,'Données projet'!$E$10+1,1))-AVERAGE(OFFSET($H$3,0,0,'Données projet'!$E$10+1,1))</f>
        <v>318.97291652986593</v>
      </c>
      <c r="AO137" s="59">
        <f t="shared" si="144"/>
        <v>338.19413170988122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3.7431369595831896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8.9619344353579851E-15</v>
      </c>
      <c r="AX137" s="21">
        <f t="shared" si="114"/>
        <v>3.7431369595831985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3.8</v>
      </c>
      <c r="BD137" s="12">
        <f>IF('Données projet'!$A$88&gt;35,BD136+BC137-BL136,IF(A137&lt;'Données projet'!$A$88,$BA$205^A137,IF(A137='Données projet'!$A$88,'Données projet'!$B$88,BD136+BC137-BL136)))</f>
        <v>317.19999999999993</v>
      </c>
      <c r="BE137" s="13">
        <f>BD137*VLOOKUP('Données projet'!$B$11,Paramètres!$A$1:$I$89,3,0)*VLOOKUP('Données projet'!$B$11,Paramètres!$A$1:$I$89,5,0)</f>
        <v>267.20927999999998</v>
      </c>
      <c r="BF137" s="13">
        <f t="shared" si="145"/>
        <v>64.256650415058076</v>
      </c>
      <c r="BG137" s="20">
        <f t="shared" si="115"/>
        <v>577.30316213955939</v>
      </c>
      <c r="BH137" s="59">
        <f t="shared" si="116"/>
        <v>870.63649547289265</v>
      </c>
      <c r="BI137" s="59">
        <f ca="1">AVERAGE(OFFSET($BH$3,0,0,'Données projet'!$E$11+1,1))-AVERAGE(OFFSET($H$3,0,0,'Données projet'!$E$11+1,1))</f>
        <v>476.64466005965136</v>
      </c>
      <c r="BJ137" s="59">
        <f t="shared" si="146"/>
        <v>312.67921212138998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74.195283793942181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74.195283793942181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1.8</v>
      </c>
      <c r="BY137" s="12">
        <f>IF('Données projet'!$A$114&gt;35,BY136+BX137-CG136,IF(A137&lt;'Données projet'!$A$114,$BV$205^A137,IF(A137='Données projet'!$A$114,'Données projet'!$B$114,BY136+BX137-CG136)))</f>
        <v>216.19999999999945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318.97291652986593</v>
      </c>
      <c r="T138" s="59">
        <f t="shared" si="142"/>
        <v>338.19413170988122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4.5474735088646412E-13</v>
      </c>
      <c r="AJ138" s="13">
        <f>AI138*VLOOKUP('Données projet'!$B$10,Paramètres!$A$1:$I$89,3,0)*VLOOKUP('Données projet'!$B$10,Paramètres!$A$1:$I$89,5,0)</f>
        <v>2.7193891583010558E-13</v>
      </c>
      <c r="AK138" s="13">
        <f t="shared" si="143"/>
        <v>3.6362267729089988E-12</v>
      </c>
      <c r="AL138" s="20">
        <f t="shared" si="112"/>
        <v>6.8067219078872727E-12</v>
      </c>
      <c r="AM138" s="59">
        <f t="shared" si="113"/>
        <v>293.33333333334014</v>
      </c>
      <c r="AN138" s="59">
        <f ca="1">AVERAGE(OFFSET($AM$3,0,0,'Données projet'!$E$10+1,1))-AVERAGE(OFFSET($H$3,0,0,'Données projet'!$E$10+1,1))</f>
        <v>318.97291652986593</v>
      </c>
      <c r="AO138" s="59">
        <f t="shared" si="144"/>
        <v>338.19413170988122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3.6697363268938723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6.3370446117908642E-15</v>
      </c>
      <c r="AX138" s="21">
        <f t="shared" si="114"/>
        <v>3.6697363268938785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3.8</v>
      </c>
      <c r="BD138" s="12">
        <f>IF('Données projet'!$A$88&gt;35,BD137+BC138-BL137,IF(A138&lt;'Données projet'!$A$88,$BA$205^A138,IF(A138='Données projet'!$A$88,'Données projet'!$B$88,BD137+BC138-BL137)))</f>
        <v>320.99999999999994</v>
      </c>
      <c r="BE138" s="13">
        <f>BD138*VLOOKUP('Données projet'!$B$11,Paramètres!$A$1:$I$89,3,0)*VLOOKUP('Données projet'!$B$11,Paramètres!$A$1:$I$89,5,0)</f>
        <v>270.41039999999998</v>
      </c>
      <c r="BF138" s="13">
        <f t="shared" si="145"/>
        <v>64.936358825024399</v>
      </c>
      <c r="BG138" s="20">
        <f t="shared" si="115"/>
        <v>584.06227162025073</v>
      </c>
      <c r="BH138" s="59">
        <f t="shared" si="116"/>
        <v>877.3956049535841</v>
      </c>
      <c r="BI138" s="59">
        <f ca="1">AVERAGE(OFFSET($BH$3,0,0,'Données projet'!$E$11+1,1))-AVERAGE(OFFSET($H$3,0,0,'Données projet'!$E$11+1,1))</f>
        <v>476.64466005965136</v>
      </c>
      <c r="BJ138" s="59">
        <f t="shared" si="146"/>
        <v>312.67921212138998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72.740359533397566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72.740359533397566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1.8</v>
      </c>
      <c r="BY138" s="12">
        <f>IF('Données projet'!$A$114&gt;35,BY137+BX138-CG137,IF(A138&lt;'Données projet'!$A$114,$BV$205^A138,IF(A138='Données projet'!$A$114,'Données projet'!$B$114,BY137+BX138-CG137)))</f>
        <v>217.99999999999946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318.97291652986593</v>
      </c>
      <c r="T139" s="59">
        <f t="shared" si="142"/>
        <v>338.19413170988122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4.5474735088646412E-13</v>
      </c>
      <c r="AJ139" s="13">
        <f>AI139*VLOOKUP('Données projet'!$B$10,Paramètres!$A$1:$I$89,3,0)*VLOOKUP('Données projet'!$B$10,Paramètres!$A$1:$I$89,5,0)</f>
        <v>2.7193891583010558E-13</v>
      </c>
      <c r="AK139" s="13">
        <f t="shared" si="143"/>
        <v>3.6362267729089988E-12</v>
      </c>
      <c r="AL139" s="20">
        <f t="shared" si="112"/>
        <v>6.8067219078872727E-12</v>
      </c>
      <c r="AM139" s="59">
        <f t="shared" si="113"/>
        <v>293.33333333334014</v>
      </c>
      <c r="AN139" s="59">
        <f ca="1">AVERAGE(OFFSET($AM$3,0,0,'Données projet'!$E$10+1,1))-AVERAGE(OFFSET($H$3,0,0,'Données projet'!$E$10+1,1))</f>
        <v>318.97291652986593</v>
      </c>
      <c r="AO139" s="59">
        <f t="shared" si="144"/>
        <v>338.19413170988122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3.5977750358416274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4.4809672176789926E-15</v>
      </c>
      <c r="AX139" s="21">
        <f t="shared" si="114"/>
        <v>3.5977750358416318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3.8</v>
      </c>
      <c r="BD139" s="12">
        <f>IF('Données projet'!$A$88&gt;35,BD138+BC139-BL138,IF(A139&lt;'Données projet'!$A$88,$BA$205^A139,IF(A139='Données projet'!$A$88,'Données projet'!$B$88,BD138+BC139-BL138)))</f>
        <v>324.79999999999995</v>
      </c>
      <c r="BE139" s="13">
        <f>BD139*VLOOKUP('Données projet'!$B$11,Paramètres!$A$1:$I$89,3,0)*VLOOKUP('Données projet'!$B$11,Paramètres!$A$1:$I$89,5,0)</f>
        <v>273.61151999999998</v>
      </c>
      <c r="BF139" s="13">
        <f t="shared" si="145"/>
        <v>65.615131256792893</v>
      </c>
      <c r="BG139" s="20">
        <f t="shared" si="115"/>
        <v>590.81975093891413</v>
      </c>
      <c r="BH139" s="59">
        <f t="shared" si="116"/>
        <v>884.1530842722475</v>
      </c>
      <c r="BI139" s="59">
        <f ca="1">AVERAGE(OFFSET($BH$3,0,0,'Données projet'!$E$11+1,1))-AVERAGE(OFFSET($H$3,0,0,'Données projet'!$E$11+1,1))</f>
        <v>476.64466005965136</v>
      </c>
      <c r="BJ139" s="59">
        <f t="shared" si="146"/>
        <v>312.67921212138998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71.31396545018606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71.31396545018606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1.8</v>
      </c>
      <c r="BY139" s="12">
        <f>IF('Données projet'!$A$114&gt;35,BY138+BX139-CG138,IF(A139&lt;'Données projet'!$A$114,$BV$205^A139,IF(A139='Données projet'!$A$114,'Données projet'!$B$114,BY138+BX139-CG138)))</f>
        <v>219.79999999999947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318.97291652986593</v>
      </c>
      <c r="T140" s="59">
        <f t="shared" si="142"/>
        <v>338.19413170988122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4.5474735088646412E-13</v>
      </c>
      <c r="AJ140" s="13">
        <f>AI140*VLOOKUP('Données projet'!$B$10,Paramètres!$A$1:$I$89,3,0)*VLOOKUP('Données projet'!$B$10,Paramètres!$A$1:$I$89,5,0)</f>
        <v>2.7193891583010558E-13</v>
      </c>
      <c r="AK140" s="13">
        <f t="shared" si="143"/>
        <v>3.6362267729089988E-12</v>
      </c>
      <c r="AL140" s="20">
        <f t="shared" si="112"/>
        <v>6.8067219078872727E-12</v>
      </c>
      <c r="AM140" s="59">
        <f t="shared" si="113"/>
        <v>293.33333333334014</v>
      </c>
      <c r="AN140" s="59">
        <f ca="1">AVERAGE(OFFSET($AM$3,0,0,'Données projet'!$E$10+1,1))-AVERAGE(OFFSET($H$3,0,0,'Données projet'!$E$10+1,1))</f>
        <v>318.97291652986593</v>
      </c>
      <c r="AO140" s="59">
        <f t="shared" si="144"/>
        <v>338.19413170988122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3.5272248618148634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3.1685223058954321E-15</v>
      </c>
      <c r="AX140" s="21">
        <f t="shared" si="114"/>
        <v>3.5272248618148665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3.8</v>
      </c>
      <c r="BD140" s="12">
        <f>IF('Données projet'!$A$88&gt;35,BD139+BC140-BL139,IF(A140&lt;'Données projet'!$A$88,$BA$205^A140,IF(A140='Données projet'!$A$88,'Données projet'!$B$88,BD139+BC140-BL139)))</f>
        <v>328.59999999999997</v>
      </c>
      <c r="BE140" s="13">
        <f>BD140*VLOOKUP('Données projet'!$B$11,Paramètres!$A$1:$I$89,3,0)*VLOOKUP('Données projet'!$B$11,Paramètres!$A$1:$I$89,5,0)</f>
        <v>276.81263999999999</v>
      </c>
      <c r="BF140" s="13">
        <f t="shared" si="145"/>
        <v>66.292979927723678</v>
      </c>
      <c r="BG140" s="20">
        <f t="shared" si="115"/>
        <v>597.57562137411867</v>
      </c>
      <c r="BH140" s="59">
        <f t="shared" si="116"/>
        <v>890.90895470745204</v>
      </c>
      <c r="BI140" s="59">
        <f ca="1">AVERAGE(OFFSET($BH$3,0,0,'Données projet'!$E$11+1,1))-AVERAGE(OFFSET($H$3,0,0,'Données projet'!$E$11+1,1))</f>
        <v>476.64466005965136</v>
      </c>
      <c r="BJ140" s="59">
        <f t="shared" si="146"/>
        <v>312.67921212138998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69.915542084931843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69.915542084931843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1.8</v>
      </c>
      <c r="BY140" s="12">
        <f>IF('Données projet'!$A$114&gt;35,BY139+BX140-CG139,IF(A140&lt;'Données projet'!$A$114,$BV$205^A140,IF(A140='Données projet'!$A$114,'Données projet'!$B$114,BY139+BX140-CG139)))</f>
        <v>221.59999999999948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318.97291652986593</v>
      </c>
      <c r="T141" s="59">
        <f t="shared" si="142"/>
        <v>338.19413170988122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4.5474735088646412E-13</v>
      </c>
      <c r="AJ141" s="13">
        <f>AI141*VLOOKUP('Données projet'!$B$10,Paramètres!$A$1:$I$89,3,0)*VLOOKUP('Données projet'!$B$10,Paramètres!$A$1:$I$89,5,0)</f>
        <v>2.7193891583010558E-13</v>
      </c>
      <c r="AK141" s="13">
        <f t="shared" si="143"/>
        <v>3.6362267729089988E-12</v>
      </c>
      <c r="AL141" s="20">
        <f t="shared" si="112"/>
        <v>6.8067219078872727E-12</v>
      </c>
      <c r="AM141" s="59">
        <f t="shared" si="113"/>
        <v>293.33333333334014</v>
      </c>
      <c r="AN141" s="59">
        <f ca="1">AVERAGE(OFFSET($AM$3,0,0,'Données projet'!$E$10+1,1))-AVERAGE(OFFSET($H$3,0,0,'Données projet'!$E$10+1,1))</f>
        <v>318.97291652986593</v>
      </c>
      <c r="AO141" s="59">
        <f t="shared" si="144"/>
        <v>338.19413170988122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3.458058133669407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2.2404836088394963E-15</v>
      </c>
      <c r="AX141" s="21">
        <f t="shared" si="114"/>
        <v>3.4580581336694092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3.8</v>
      </c>
      <c r="BD141" s="12">
        <f>IF('Données projet'!$A$88&gt;35,BD140+BC141-BL140,IF(A141&lt;'Données projet'!$A$88,$BA$205^A141,IF(A141='Données projet'!$A$88,'Données projet'!$B$88,BD140+BC141-BL140)))</f>
        <v>332.4</v>
      </c>
      <c r="BE141" s="13">
        <f>BD141*VLOOKUP('Données projet'!$B$11,Paramètres!$A$1:$I$89,3,0)*VLOOKUP('Données projet'!$B$11,Paramètres!$A$1:$I$89,5,0)</f>
        <v>280.01376000000005</v>
      </c>
      <c r="BF141" s="13">
        <f t="shared" si="145"/>
        <v>66.969916756344503</v>
      </c>
      <c r="BG141" s="20">
        <f t="shared" si="115"/>
        <v>604.32990368396679</v>
      </c>
      <c r="BH141" s="59">
        <f t="shared" si="116"/>
        <v>897.66323701730016</v>
      </c>
      <c r="BI141" s="59">
        <f ca="1">AVERAGE(OFFSET($BH$3,0,0,'Données projet'!$E$11+1,1))-AVERAGE(OFFSET($H$3,0,0,'Données projet'!$E$11+1,1))</f>
        <v>476.64466005965136</v>
      </c>
      <c r="BJ141" s="59">
        <f t="shared" si="146"/>
        <v>312.67921212138998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68.544540948916236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68.544540948916236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1.8</v>
      </c>
      <c r="BY141" s="12">
        <f>IF('Données projet'!$A$114&gt;35,BY140+BX141-CG140,IF(A141&lt;'Données projet'!$A$114,$BV$205^A141,IF(A141='Données projet'!$A$114,'Données projet'!$B$114,BY140+BX141-CG140)))</f>
        <v>223.39999999999949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318.97291652986593</v>
      </c>
      <c r="T142" s="59">
        <f t="shared" si="142"/>
        <v>338.19413170988122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4.5474735088646412E-13</v>
      </c>
      <c r="AJ142" s="13">
        <f>AI142*VLOOKUP('Données projet'!$B$10,Paramètres!$A$1:$I$89,3,0)*VLOOKUP('Données projet'!$B$10,Paramètres!$A$1:$I$89,5,0)</f>
        <v>2.7193891583010558E-13</v>
      </c>
      <c r="AK142" s="13">
        <f t="shared" si="143"/>
        <v>3.6362267729089988E-12</v>
      </c>
      <c r="AL142" s="20">
        <f t="shared" si="112"/>
        <v>6.8067219078872727E-12</v>
      </c>
      <c r="AM142" s="59">
        <f t="shared" si="113"/>
        <v>293.33333333334014</v>
      </c>
      <c r="AN142" s="59">
        <f ca="1">AVERAGE(OFFSET($AM$3,0,0,'Données projet'!$E$10+1,1))-AVERAGE(OFFSET($H$3,0,0,'Données projet'!$E$10+1,1))</f>
        <v>318.97291652986593</v>
      </c>
      <c r="AO142" s="59">
        <f t="shared" si="144"/>
        <v>338.19413170988122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3.3902477228753445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1.5842611529477161E-15</v>
      </c>
      <c r="AX142" s="21">
        <f t="shared" si="114"/>
        <v>3.3902477228753463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3.8</v>
      </c>
      <c r="BD142" s="12">
        <f>IF('Données projet'!$A$88&gt;35,BD141+BC142-BL141,IF(A142&lt;'Données projet'!$A$88,$BA$205^A142,IF(A142='Données projet'!$A$88,'Données projet'!$B$88,BD141+BC142-BL141)))</f>
        <v>336.2</v>
      </c>
      <c r="BE142" s="13">
        <f>BD142*VLOOKUP('Données projet'!$B$11,Paramètres!$A$1:$I$89,3,0)*VLOOKUP('Données projet'!$B$11,Paramètres!$A$1:$I$89,5,0)</f>
        <v>283.21487999999999</v>
      </c>
      <c r="BF142" s="13">
        <f t="shared" si="145"/>
        <v>67.645953372990718</v>
      </c>
      <c r="BG142" s="20">
        <f t="shared" si="115"/>
        <v>611.08261812462547</v>
      </c>
      <c r="BH142" s="59">
        <f t="shared" si="116"/>
        <v>904.41595145795873</v>
      </c>
      <c r="BI142" s="59">
        <f ca="1">AVERAGE(OFFSET($BH$3,0,0,'Données projet'!$E$11+1,1))-AVERAGE(OFFSET($H$3,0,0,'Données projet'!$E$11+1,1))</f>
        <v>476.64466005965136</v>
      </c>
      <c r="BJ142" s="59">
        <f t="shared" si="146"/>
        <v>312.67921212138998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67.200424308949763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67.200424308949763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1.8</v>
      </c>
      <c r="BY142" s="12">
        <f>IF('Données projet'!$A$114&gt;35,BY141+BX142-CG141,IF(A142&lt;'Données projet'!$A$114,$BV$205^A142,IF(A142='Données projet'!$A$114,'Données projet'!$B$114,BY141+BX142-CG141)))</f>
        <v>225.19999999999951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318.97291652986593</v>
      </c>
      <c r="T143" s="59">
        <f t="shared" si="142"/>
        <v>338.19413170988122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4.5474735088646412E-13</v>
      </c>
      <c r="AJ143" s="13">
        <f>AI143*VLOOKUP('Données projet'!$B$10,Paramètres!$A$1:$I$89,3,0)*VLOOKUP('Données projet'!$B$10,Paramètres!$A$1:$I$89,5,0)</f>
        <v>2.7193891583010558E-13</v>
      </c>
      <c r="AK143" s="13">
        <f t="shared" si="143"/>
        <v>3.6362267729089988E-12</v>
      </c>
      <c r="AL143" s="20">
        <f t="shared" si="112"/>
        <v>6.8067219078872727E-12</v>
      </c>
      <c r="AM143" s="59">
        <f t="shared" si="113"/>
        <v>293.33333333334014</v>
      </c>
      <c r="AN143" s="59">
        <f ca="1">AVERAGE(OFFSET($AM$3,0,0,'Données projet'!$E$10+1,1))-AVERAGE(OFFSET($H$3,0,0,'Données projet'!$E$10+1,1))</f>
        <v>318.97291652986593</v>
      </c>
      <c r="AO143" s="59">
        <f t="shared" si="144"/>
        <v>338.19413170988122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3.3237670328766868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1.1202418044197481E-15</v>
      </c>
      <c r="AX143" s="21">
        <f t="shared" si="114"/>
        <v>3.3237670328766882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340</v>
      </c>
      <c r="BB143" s="12">
        <f>VLOOKUP(A143,'Données projet'!$A$87:$I$107,9,0)</f>
        <v>3.8</v>
      </c>
      <c r="BC143" s="12">
        <f t="array" ref="BC143">INDEX(BB:BB,MIN(IF(ISNUMBER(BB143:BB339),ROW(BB143:BB339),"")))</f>
        <v>3.8</v>
      </c>
      <c r="BD143" s="12">
        <f>IF('Données projet'!$A$88&gt;35,BD142+BC143-BL142,IF(A143&lt;'Données projet'!$A$88,$BA$205^A143,IF(A143='Données projet'!$A$88,'Données projet'!$B$88,BD142+BC143-BL142)))</f>
        <v>340</v>
      </c>
      <c r="BE143" s="13">
        <f>BD143*VLOOKUP('Données projet'!$B$11,Paramètres!$A$1:$I$89,3,0)*VLOOKUP('Données projet'!$B$11,Paramètres!$A$1:$I$89,5,0)</f>
        <v>286.41600000000005</v>
      </c>
      <c r="BF143" s="13">
        <f t="shared" si="145"/>
        <v>68.321101129951245</v>
      </c>
      <c r="BG143" s="20">
        <f t="shared" si="115"/>
        <v>617.8337844679985</v>
      </c>
      <c r="BH143" s="59">
        <f t="shared" si="116"/>
        <v>911.16711780133187</v>
      </c>
      <c r="BI143" s="59">
        <f ca="1">AVERAGE(OFFSET($BH$3,0,0,'Données projet'!$E$11+1,1))-AVERAGE(OFFSET($H$3,0,0,'Données projet'!$E$11+1,1))</f>
        <v>476.64466005965136</v>
      </c>
      <c r="BJ143" s="59">
        <f t="shared" si="146"/>
        <v>312.67921212138998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41</v>
      </c>
      <c r="BM143" s="16">
        <f>IF(ISNA(VLOOKUP(A143,'Données projet'!$A$87:$I$107,5,0)),0%,VLOOKUP(A143,'Données projet'!$A$87:$I$107,5,0)*VLOOKUP('Données projet'!$B$11,Paramètres!$A$1:$I$89,7,0))</f>
        <v>0.36549999999999999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79.837885592649272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79.837885592649272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>
        <f>VLOOKUP(A143,'Données projet'!$A$113:$I$133,2,0)</f>
        <v>227</v>
      </c>
      <c r="BW143" s="12">
        <f>VLOOKUP(A143,'Données projet'!$A$113:$I$133,9,0)</f>
        <v>1.8</v>
      </c>
      <c r="BX143" s="12">
        <f t="array" ref="BX143">INDEX(BW:BW,MIN(IF(ISNUMBER(BW143:BW339),ROW(BW143:BW339),"")))</f>
        <v>1.8</v>
      </c>
      <c r="BY143" s="12">
        <f>IF('Données projet'!$A$114&gt;35,BY142+BX143-CG142,IF(A143&lt;'Données projet'!$A$114,$BV$205^A143,IF(A143='Données projet'!$A$114,'Données projet'!$B$114,BY142+BX143-CG142)))</f>
        <v>226.99999999999952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12</v>
      </c>
      <c r="CG143" s="15">
        <f>IF(ISNA(VLOOKUP(A143,'Données projet'!$A$113:$I$133,4,0)),0,VLOOKUP(A143,'Données projet'!$A$113:$I$133,4,0))</f>
        <v>17</v>
      </c>
      <c r="CH143" s="16" t="e">
        <f>IF(ISNA(VLOOKUP(A143,'Données projet'!$A$113:$I$133,5,0)),0%,VLOOKUP(A143,'Données projet'!$A$113:$I$133,5,0)*VLOOKUP('Données projet'!$B$12,Paramètres!$A$1:$I$89,7,0))</f>
        <v>#N/A</v>
      </c>
      <c r="CI143" s="16" t="e">
        <f>IF(ISNA(VLOOKUP(A143,'Données projet'!$A$113:$I$133,6,0)),0%,VLOOKUP(A143,'Données projet'!$A$113:$I$133,6,0)*VLOOKUP('Données projet'!$B$12,Paramètres!$A$1:$I$89,7,0))</f>
        <v>#N/A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318.97291652986593</v>
      </c>
      <c r="T144" s="59">
        <f t="shared" si="142"/>
        <v>338.19413170988122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4.5474735088646412E-13</v>
      </c>
      <c r="AJ144" s="13">
        <f>AI144*VLOOKUP('Données projet'!$B$10,Paramètres!$A$1:$I$89,3,0)*VLOOKUP('Données projet'!$B$10,Paramètres!$A$1:$I$89,5,0)</f>
        <v>2.7193891583010558E-13</v>
      </c>
      <c r="AK144" s="13">
        <f t="shared" si="143"/>
        <v>3.6362267729089988E-12</v>
      </c>
      <c r="AL144" s="20">
        <f t="shared" si="112"/>
        <v>6.8067219078872727E-12</v>
      </c>
      <c r="AM144" s="59">
        <f t="shared" si="113"/>
        <v>293.33333333334014</v>
      </c>
      <c r="AN144" s="59">
        <f ca="1">AVERAGE(OFFSET($AM$3,0,0,'Données projet'!$E$10+1,1))-AVERAGE(OFFSET($H$3,0,0,'Données projet'!$E$10+1,1))</f>
        <v>318.97291652986593</v>
      </c>
      <c r="AO144" s="59">
        <f t="shared" si="144"/>
        <v>338.19413170988122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3.2585899886596859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7.9213057647385803E-16</v>
      </c>
      <c r="AX144" s="21">
        <f t="shared" si="114"/>
        <v>3.2585899886596867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3.4</v>
      </c>
      <c r="BD144" s="12">
        <f>IF('Données projet'!$A$88&gt;35,BD143+BC144-BL143,IF(A144&lt;'Données projet'!$A$88,$BA$205^A144,IF(A144='Données projet'!$A$88,'Données projet'!$B$88,BD143+BC144-BL143)))</f>
        <v>302.39999999999998</v>
      </c>
      <c r="BE144" s="13">
        <f>BD144*VLOOKUP('Données projet'!$B$11,Paramètres!$A$1:$I$89,3,0)*VLOOKUP('Données projet'!$B$11,Paramètres!$A$1:$I$89,5,0)</f>
        <v>254.74176</v>
      </c>
      <c r="BF144" s="13">
        <f t="shared" si="145"/>
        <v>61.600204366992962</v>
      </c>
      <c r="BG144" s="20">
        <f t="shared" si="115"/>
        <v>550.96225460584606</v>
      </c>
      <c r="BH144" s="59">
        <f t="shared" si="116"/>
        <v>844.29558793917931</v>
      </c>
      <c r="BI144" s="59">
        <f ca="1">AVERAGE(OFFSET($BH$3,0,0,'Données projet'!$E$11+1,1))-AVERAGE(OFFSET($H$3,0,0,'Données projet'!$E$11+1,1))</f>
        <v>476.64466005965136</v>
      </c>
      <c r="BJ144" s="59">
        <f t="shared" si="146"/>
        <v>312.67921212138998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78.272313352479273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78.272313352479273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1.3</v>
      </c>
      <c r="BY144" s="12">
        <f>IF('Données projet'!$A$114&gt;35,BY143+BX144-CG143,IF(A144&lt;'Données projet'!$A$114,$BV$205^A144,IF(A144='Données projet'!$A$114,'Données projet'!$B$114,BY143+BX144-CG143)))</f>
        <v>211.29999999999953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318.97291652986593</v>
      </c>
      <c r="T145" s="59">
        <f t="shared" si="142"/>
        <v>338.19413170988122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4.5474735088646412E-13</v>
      </c>
      <c r="AJ145" s="13">
        <f>AI145*VLOOKUP('Données projet'!$B$10,Paramètres!$A$1:$I$89,3,0)*VLOOKUP('Données projet'!$B$10,Paramètres!$A$1:$I$89,5,0)</f>
        <v>2.7193891583010558E-13</v>
      </c>
      <c r="AK145" s="13">
        <f t="shared" si="143"/>
        <v>3.6362267729089988E-12</v>
      </c>
      <c r="AL145" s="20">
        <f t="shared" si="112"/>
        <v>6.8067219078872727E-12</v>
      </c>
      <c r="AM145" s="59">
        <f t="shared" si="113"/>
        <v>293.33333333334014</v>
      </c>
      <c r="AN145" s="59">
        <f ca="1">AVERAGE(OFFSET($AM$3,0,0,'Données projet'!$E$10+1,1))-AVERAGE(OFFSET($H$3,0,0,'Données projet'!$E$10+1,1))</f>
        <v>318.97291652986593</v>
      </c>
      <c r="AO145" s="59">
        <f t="shared" si="144"/>
        <v>338.19413170988122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3.1946910265257089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5.6012090220987407E-16</v>
      </c>
      <c r="AX145" s="21">
        <f t="shared" si="114"/>
        <v>3.1946910265257094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3.4</v>
      </c>
      <c r="BD145" s="12">
        <f>IF('Données projet'!$A$88&gt;35,BD144+BC145-BL144,IF(A145&lt;'Données projet'!$A$88,$BA$205^A145,IF(A145='Données projet'!$A$88,'Données projet'!$B$88,BD144+BC145-BL144)))</f>
        <v>305.79999999999995</v>
      </c>
      <c r="BE145" s="13">
        <f>BD145*VLOOKUP('Données projet'!$B$11,Paramètres!$A$1:$I$89,3,0)*VLOOKUP('Données projet'!$B$11,Paramètres!$A$1:$I$89,5,0)</f>
        <v>257.60591999999997</v>
      </c>
      <c r="BF145" s="13">
        <f t="shared" si="145"/>
        <v>62.21178242147321</v>
      </c>
      <c r="BG145" s="20">
        <f t="shared" si="115"/>
        <v>557.01583171739912</v>
      </c>
      <c r="BH145" s="59">
        <f t="shared" si="116"/>
        <v>850.34916505073238</v>
      </c>
      <c r="BI145" s="59">
        <f ca="1">AVERAGE(OFFSET($BH$3,0,0,'Données projet'!$E$11+1,1))-AVERAGE(OFFSET($H$3,0,0,'Données projet'!$E$11+1,1))</f>
        <v>476.64466005965136</v>
      </c>
      <c r="BJ145" s="59">
        <f t="shared" si="146"/>
        <v>312.67921212138998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76.73744102903423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76.73744102903423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1.3</v>
      </c>
      <c r="BY145" s="12">
        <f>IF('Données projet'!$A$114&gt;35,BY144+BX145-CG144,IF(A145&lt;'Données projet'!$A$114,$BV$205^A145,IF(A145='Données projet'!$A$114,'Données projet'!$B$114,BY144+BX145-CG144)))</f>
        <v>212.59999999999954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318.97291652986593</v>
      </c>
      <c r="T146" s="59">
        <f t="shared" si="142"/>
        <v>338.19413170988122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4.5474735088646412E-13</v>
      </c>
      <c r="AJ146" s="13">
        <f>AI146*VLOOKUP('Données projet'!$B$10,Paramètres!$A$1:$I$89,3,0)*VLOOKUP('Données projet'!$B$10,Paramètres!$A$1:$I$89,5,0)</f>
        <v>2.7193891583010558E-13</v>
      </c>
      <c r="AK146" s="13">
        <f t="shared" si="143"/>
        <v>3.6362267729089988E-12</v>
      </c>
      <c r="AL146" s="20">
        <f t="shared" si="112"/>
        <v>6.8067219078872727E-12</v>
      </c>
      <c r="AM146" s="59">
        <f t="shared" si="113"/>
        <v>293.33333333334014</v>
      </c>
      <c r="AN146" s="59">
        <f ca="1">AVERAGE(OFFSET($AM$3,0,0,'Données projet'!$E$10+1,1))-AVERAGE(OFFSET($H$3,0,0,'Données projet'!$E$10+1,1))</f>
        <v>318.97291652986593</v>
      </c>
      <c r="AO146" s="59">
        <f t="shared" si="144"/>
        <v>338.19413170988122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3.1320450840646608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3.9606528823692901E-16</v>
      </c>
      <c r="AX146" s="21">
        <f t="shared" si="114"/>
        <v>3.1320450840646612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3.4</v>
      </c>
      <c r="BD146" s="12">
        <f>IF('Données projet'!$A$88&gt;35,BD145+BC146-BL145,IF(A146&lt;'Données projet'!$A$88,$BA$205^A146,IF(A146='Données projet'!$A$88,'Données projet'!$B$88,BD145+BC146-BL145)))</f>
        <v>309.19999999999993</v>
      </c>
      <c r="BE146" s="13">
        <f>BD146*VLOOKUP('Données projet'!$B$11,Paramètres!$A$1:$I$89,3,0)*VLOOKUP('Données projet'!$B$11,Paramètres!$A$1:$I$89,5,0)</f>
        <v>260.47007999999994</v>
      </c>
      <c r="BF146" s="13">
        <f t="shared" si="145"/>
        <v>62.822569479065102</v>
      </c>
      <c r="BG146" s="20">
        <f t="shared" si="115"/>
        <v>563.06803117603829</v>
      </c>
      <c r="BH146" s="59">
        <f t="shared" si="116"/>
        <v>856.40136450937166</v>
      </c>
      <c r="BI146" s="59">
        <f ca="1">AVERAGE(OFFSET($BH$3,0,0,'Données projet'!$E$11+1,1))-AVERAGE(OFFSET($H$3,0,0,'Données projet'!$E$11+1,1))</f>
        <v>476.64466005965136</v>
      </c>
      <c r="BJ146" s="59">
        <f t="shared" si="146"/>
        <v>312.67921212138998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75.232666615672258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75.232666615672258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1.3</v>
      </c>
      <c r="BY146" s="12">
        <f>IF('Données projet'!$A$114&gt;35,BY145+BX146-CG145,IF(A146&lt;'Données projet'!$A$114,$BV$205^A146,IF(A146='Données projet'!$A$114,'Données projet'!$B$114,BY145+BX146-CG145)))</f>
        <v>213.89999999999955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318.97291652986593</v>
      </c>
      <c r="T147" s="59">
        <f t="shared" si="142"/>
        <v>338.19413170988122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4.5474735088646412E-13</v>
      </c>
      <c r="AJ147" s="13">
        <f>AI147*VLOOKUP('Données projet'!$B$10,Paramètres!$A$1:$I$89,3,0)*VLOOKUP('Données projet'!$B$10,Paramètres!$A$1:$I$89,5,0)</f>
        <v>2.7193891583010558E-13</v>
      </c>
      <c r="AK147" s="13">
        <f t="shared" si="143"/>
        <v>3.6362267729089988E-12</v>
      </c>
      <c r="AL147" s="20">
        <f t="shared" si="112"/>
        <v>6.8067219078872727E-12</v>
      </c>
      <c r="AM147" s="59">
        <f t="shared" si="113"/>
        <v>293.33333333334014</v>
      </c>
      <c r="AN147" s="59">
        <f ca="1">AVERAGE(OFFSET($AM$3,0,0,'Données projet'!$E$10+1,1))-AVERAGE(OFFSET($H$3,0,0,'Données projet'!$E$10+1,1))</f>
        <v>318.97291652986593</v>
      </c>
      <c r="AO147" s="59">
        <f t="shared" si="144"/>
        <v>338.19413170988122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3.0706275903250217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2.8006045110493704E-16</v>
      </c>
      <c r="AX147" s="21">
        <f t="shared" si="114"/>
        <v>3.0706275903250222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3.4</v>
      </c>
      <c r="BD147" s="12">
        <f>IF('Données projet'!$A$88&gt;35,BD146+BC147-BL146,IF(A147&lt;'Données projet'!$A$88,$BA$205^A147,IF(A147='Données projet'!$A$88,'Données projet'!$B$88,BD146+BC147-BL146)))</f>
        <v>312.59999999999991</v>
      </c>
      <c r="BE147" s="13">
        <f>BD147*VLOOKUP('Données projet'!$B$11,Paramètres!$A$1:$I$89,3,0)*VLOOKUP('Données projet'!$B$11,Paramètres!$A$1:$I$89,5,0)</f>
        <v>263.33423999999997</v>
      </c>
      <c r="BF147" s="13">
        <f t="shared" si="145"/>
        <v>63.432575244281175</v>
      </c>
      <c r="BG147" s="20">
        <f t="shared" si="115"/>
        <v>569.11886988378967</v>
      </c>
      <c r="BH147" s="59">
        <f t="shared" si="116"/>
        <v>862.45220321712304</v>
      </c>
      <c r="BI147" s="59">
        <f ca="1">AVERAGE(OFFSET($BH$3,0,0,'Données projet'!$E$11+1,1))-AVERAGE(OFFSET($H$3,0,0,'Données projet'!$E$11+1,1))</f>
        <v>476.64466005965136</v>
      </c>
      <c r="BJ147" s="59">
        <f t="shared" si="146"/>
        <v>312.67921212138998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73.757399910734563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73.757399910734563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1.3</v>
      </c>
      <c r="BY147" s="12">
        <f>IF('Données projet'!$A$114&gt;35,BY146+BX147-CG146,IF(A147&lt;'Données projet'!$A$114,$BV$205^A147,IF(A147='Données projet'!$A$114,'Données projet'!$B$114,BY146+BX147-CG146)))</f>
        <v>215.19999999999956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318.97291652986593</v>
      </c>
      <c r="T148" s="59">
        <f t="shared" si="142"/>
        <v>338.19413170988122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4.5474735088646412E-13</v>
      </c>
      <c r="AJ148" s="13">
        <f>AI148*VLOOKUP('Données projet'!$B$10,Paramètres!$A$1:$I$89,3,0)*VLOOKUP('Données projet'!$B$10,Paramètres!$A$1:$I$89,5,0)</f>
        <v>2.7193891583010558E-13</v>
      </c>
      <c r="AK148" s="13">
        <f t="shared" si="143"/>
        <v>3.6362267729089988E-12</v>
      </c>
      <c r="AL148" s="20">
        <f t="shared" si="112"/>
        <v>6.8067219078872727E-12</v>
      </c>
      <c r="AM148" s="59">
        <f t="shared" si="113"/>
        <v>293.33333333334014</v>
      </c>
      <c r="AN148" s="59">
        <f ca="1">AVERAGE(OFFSET($AM$3,0,0,'Données projet'!$E$10+1,1))-AVERAGE(OFFSET($H$3,0,0,'Données projet'!$E$10+1,1))</f>
        <v>318.97291652986593</v>
      </c>
      <c r="AO148" s="59">
        <f t="shared" si="144"/>
        <v>338.19413170988122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3.0104144561766448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1.9803264411846451E-16</v>
      </c>
      <c r="AX148" s="21">
        <f t="shared" si="114"/>
        <v>3.0104144561766448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3.4</v>
      </c>
      <c r="BD148" s="12">
        <f>IF('Données projet'!$A$88&gt;35,BD147+BC148-BL147,IF(A148&lt;'Données projet'!$A$88,$BA$205^A148,IF(A148='Données projet'!$A$88,'Données projet'!$B$88,BD147+BC148-BL147)))</f>
        <v>315.99999999999989</v>
      </c>
      <c r="BE148" s="13">
        <f>BD148*VLOOKUP('Données projet'!$B$11,Paramètres!$A$1:$I$89,3,0)*VLOOKUP('Données projet'!$B$11,Paramètres!$A$1:$I$89,5,0)</f>
        <v>266.19839999999994</v>
      </c>
      <c r="BF148" s="13">
        <f t="shared" si="145"/>
        <v>64.041809198373215</v>
      </c>
      <c r="BG148" s="20">
        <f t="shared" si="115"/>
        <v>575.16836435383323</v>
      </c>
      <c r="BH148" s="59">
        <f t="shared" si="116"/>
        <v>868.5016976871666</v>
      </c>
      <c r="BI148" s="59">
        <f ca="1">AVERAGE(OFFSET($BH$3,0,0,'Données projet'!$E$11+1,1))-AVERAGE(OFFSET($H$3,0,0,'Données projet'!$E$11+1,1))</f>
        <v>476.64466005965136</v>
      </c>
      <c r="BJ148" s="59">
        <f t="shared" si="146"/>
        <v>312.67921212138998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72.311062286056853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72.311062286056853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1.3</v>
      </c>
      <c r="BY148" s="12">
        <f>IF('Données projet'!$A$114&gt;35,BY147+BX148-CG147,IF(A148&lt;'Données projet'!$A$114,$BV$205^A148,IF(A148='Données projet'!$A$114,'Données projet'!$B$114,BY147+BX148-CG147)))</f>
        <v>216.49999999999957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318.97291652986593</v>
      </c>
      <c r="T149" s="59">
        <f t="shared" si="142"/>
        <v>338.19413170988122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4.5474735088646412E-13</v>
      </c>
      <c r="AJ149" s="13">
        <f>AI149*VLOOKUP('Données projet'!$B$10,Paramètres!$A$1:$I$89,3,0)*VLOOKUP('Données projet'!$B$10,Paramètres!$A$1:$I$89,5,0)</f>
        <v>2.7193891583010558E-13</v>
      </c>
      <c r="AK149" s="13">
        <f t="shared" si="143"/>
        <v>3.6362267729089988E-12</v>
      </c>
      <c r="AL149" s="20">
        <f t="shared" si="112"/>
        <v>6.8067219078872727E-12</v>
      </c>
      <c r="AM149" s="59">
        <f t="shared" si="113"/>
        <v>293.33333333334014</v>
      </c>
      <c r="AN149" s="59">
        <f ca="1">AVERAGE(OFFSET($AM$3,0,0,'Données projet'!$E$10+1,1))-AVERAGE(OFFSET($H$3,0,0,'Données projet'!$E$10+1,1))</f>
        <v>318.97291652986593</v>
      </c>
      <c r="AO149" s="59">
        <f t="shared" si="144"/>
        <v>338.19413170988122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2.9513820648625324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1.4003022555246852E-16</v>
      </c>
      <c r="AX149" s="21">
        <f t="shared" si="114"/>
        <v>2.9513820648625324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3.4</v>
      </c>
      <c r="BD149" s="12">
        <f>IF('Données projet'!$A$88&gt;35,BD148+BC149-BL148,IF(A149&lt;'Données projet'!$A$88,$BA$205^A149,IF(A149='Données projet'!$A$88,'Données projet'!$B$88,BD148+BC149-BL148)))</f>
        <v>319.39999999999986</v>
      </c>
      <c r="BE149" s="13">
        <f>BD149*VLOOKUP('Données projet'!$B$11,Paramètres!$A$1:$I$89,3,0)*VLOOKUP('Données projet'!$B$11,Paramètres!$A$1:$I$89,5,0)</f>
        <v>269.06255999999991</v>
      </c>
      <c r="BF149" s="13">
        <f t="shared" si="145"/>
        <v>64.650280606814434</v>
      </c>
      <c r="BG149" s="20">
        <f t="shared" si="115"/>
        <v>581.2165307235349</v>
      </c>
      <c r="BH149" s="59">
        <f t="shared" si="116"/>
        <v>874.54986405686827</v>
      </c>
      <c r="BI149" s="59">
        <f ca="1">AVERAGE(OFFSET($BH$3,0,0,'Données projet'!$E$11+1,1))-AVERAGE(OFFSET($H$3,0,0,'Données projet'!$E$11+1,1))</f>
        <v>476.64466005965136</v>
      </c>
      <c r="BJ149" s="59">
        <f t="shared" si="146"/>
        <v>312.67921212138998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70.893086460020228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70.893086460020228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1.3</v>
      </c>
      <c r="BY149" s="12">
        <f>IF('Données projet'!$A$114&gt;35,BY148+BX149-CG148,IF(A149&lt;'Données projet'!$A$114,$BV$205^A149,IF(A149='Données projet'!$A$114,'Données projet'!$B$114,BY148+BX149-CG148)))</f>
        <v>217.79999999999959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318.97291652986593</v>
      </c>
      <c r="T150" s="59">
        <f t="shared" si="142"/>
        <v>338.19413170988122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4.5474735088646412E-13</v>
      </c>
      <c r="AJ150" s="13">
        <f>AI150*VLOOKUP('Données projet'!$B$10,Paramètres!$A$1:$I$89,3,0)*VLOOKUP('Données projet'!$B$10,Paramètres!$A$1:$I$89,5,0)</f>
        <v>2.7193891583010558E-13</v>
      </c>
      <c r="AK150" s="13">
        <f t="shared" si="143"/>
        <v>3.6362267729089988E-12</v>
      </c>
      <c r="AL150" s="20">
        <f t="shared" si="112"/>
        <v>6.8067219078872727E-12</v>
      </c>
      <c r="AM150" s="59">
        <f t="shared" si="113"/>
        <v>293.33333333334014</v>
      </c>
      <c r="AN150" s="59">
        <f ca="1">AVERAGE(OFFSET($AM$3,0,0,'Données projet'!$E$10+1,1))-AVERAGE(OFFSET($H$3,0,0,'Données projet'!$E$10+1,1))</f>
        <v>318.97291652986593</v>
      </c>
      <c r="AO150" s="59">
        <f t="shared" si="144"/>
        <v>338.19413170988122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2.893507262735886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9.9016322059232253E-17</v>
      </c>
      <c r="AX150" s="21">
        <f t="shared" si="114"/>
        <v>2.893507262735886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3.4</v>
      </c>
      <c r="BD150" s="12">
        <f>IF('Données projet'!$A$88&gt;35,BD149+BC150-BL149,IF(A150&lt;'Données projet'!$A$88,$BA$205^A150,IF(A150='Données projet'!$A$88,'Données projet'!$B$88,BD149+BC150-BL149)))</f>
        <v>322.79999999999984</v>
      </c>
      <c r="BE150" s="13">
        <f>BD150*VLOOKUP('Données projet'!$B$11,Paramètres!$A$1:$I$89,3,0)*VLOOKUP('Données projet'!$B$11,Paramètres!$A$1:$I$89,5,0)</f>
        <v>271.92671999999988</v>
      </c>
      <c r="BF150" s="13">
        <f t="shared" si="145"/>
        <v>65.257998526454017</v>
      </c>
      <c r="BG150" s="20">
        <f t="shared" si="115"/>
        <v>587.26338476690717</v>
      </c>
      <c r="BH150" s="59">
        <f t="shared" si="116"/>
        <v>880.59671810024042</v>
      </c>
      <c r="BI150" s="59">
        <f ca="1">AVERAGE(OFFSET($BH$3,0,0,'Données projet'!$E$11+1,1))-AVERAGE(OFFSET($H$3,0,0,'Données projet'!$E$11+1,1))</f>
        <v>476.64466005965136</v>
      </c>
      <c r="BJ150" s="59">
        <f t="shared" si="146"/>
        <v>312.67921212138998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69.502916275052328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69.502916275052328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1.3</v>
      </c>
      <c r="BY150" s="12">
        <f>IF('Données projet'!$A$114&gt;35,BY149+BX150-CG149,IF(A150&lt;'Données projet'!$A$114,$BV$205^A150,IF(A150='Données projet'!$A$114,'Données projet'!$B$114,BY149+BX150-CG149)))</f>
        <v>219.0999999999996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318.97291652986593</v>
      </c>
      <c r="T151" s="59">
        <f t="shared" si="142"/>
        <v>338.19413170988122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4.5474735088646412E-13</v>
      </c>
      <c r="AJ151" s="13">
        <f>AI151*VLOOKUP('Données projet'!$B$10,Paramètres!$A$1:$I$89,3,0)*VLOOKUP('Données projet'!$B$10,Paramètres!$A$1:$I$89,5,0)</f>
        <v>2.7193891583010558E-13</v>
      </c>
      <c r="AK151" s="13">
        <f t="shared" si="143"/>
        <v>3.6362267729089988E-12</v>
      </c>
      <c r="AL151" s="20">
        <f t="shared" si="112"/>
        <v>6.8067219078872727E-12</v>
      </c>
      <c r="AM151" s="59">
        <f t="shared" si="113"/>
        <v>293.33333333334014</v>
      </c>
      <c r="AN151" s="59">
        <f ca="1">AVERAGE(OFFSET($AM$3,0,0,'Données projet'!$E$10+1,1))-AVERAGE(OFFSET($H$3,0,0,'Données projet'!$E$10+1,1))</f>
        <v>318.97291652986593</v>
      </c>
      <c r="AO151" s="59">
        <f t="shared" si="144"/>
        <v>338.19413170988122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2.8367673501787998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7.0015112776234259E-17</v>
      </c>
      <c r="AX151" s="21">
        <f t="shared" si="114"/>
        <v>2.8367673501787998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3.4</v>
      </c>
      <c r="BD151" s="12">
        <f>IF('Données projet'!$A$88&gt;35,BD150+BC151-BL150,IF(A151&lt;'Données projet'!$A$88,$BA$205^A151,IF(A151='Données projet'!$A$88,'Données projet'!$B$88,BD150+BC151-BL150)))</f>
        <v>326.19999999999982</v>
      </c>
      <c r="BE151" s="13">
        <f>BD151*VLOOKUP('Données projet'!$B$11,Paramètres!$A$1:$I$89,3,0)*VLOOKUP('Données projet'!$B$11,Paramètres!$A$1:$I$89,5,0)</f>
        <v>274.79087999999985</v>
      </c>
      <c r="BF151" s="13">
        <f t="shared" si="145"/>
        <v>65.86497181236102</v>
      </c>
      <c r="BG151" s="20">
        <f t="shared" si="115"/>
        <v>593.3089419065285</v>
      </c>
      <c r="BH151" s="59">
        <f t="shared" si="116"/>
        <v>886.64227523986187</v>
      </c>
      <c r="BI151" s="59">
        <f ca="1">AVERAGE(OFFSET($BH$3,0,0,'Données projet'!$E$11+1,1))-AVERAGE(OFFSET($H$3,0,0,'Données projet'!$E$11+1,1))</f>
        <v>476.64466005965136</v>
      </c>
      <c r="BJ151" s="59">
        <f t="shared" si="146"/>
        <v>312.67921212138998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68.140006479491561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68.140006479491561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1.3</v>
      </c>
      <c r="BY151" s="12">
        <f>IF('Données projet'!$A$114&gt;35,BY150+BX151-CG150,IF(A151&lt;'Données projet'!$A$114,$BV$205^A151,IF(A151='Données projet'!$A$114,'Données projet'!$B$114,BY150+BX151-CG150)))</f>
        <v>220.39999999999961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318.97291652986593</v>
      </c>
      <c r="T152" s="59">
        <f t="shared" si="142"/>
        <v>338.19413170988122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4.5474735088646412E-13</v>
      </c>
      <c r="AJ152" s="13">
        <f>AI152*VLOOKUP('Données projet'!$B$10,Paramètres!$A$1:$I$89,3,0)*VLOOKUP('Données projet'!$B$10,Paramètres!$A$1:$I$89,5,0)</f>
        <v>2.7193891583010558E-13</v>
      </c>
      <c r="AK152" s="13">
        <f t="shared" si="143"/>
        <v>3.6362267729089988E-12</v>
      </c>
      <c r="AL152" s="20">
        <f t="shared" si="112"/>
        <v>6.8067219078872727E-12</v>
      </c>
      <c r="AM152" s="59">
        <f t="shared" si="113"/>
        <v>293.33333333334014</v>
      </c>
      <c r="AN152" s="59">
        <f ca="1">AVERAGE(OFFSET($AM$3,0,0,'Données projet'!$E$10+1,1))-AVERAGE(OFFSET($H$3,0,0,'Données projet'!$E$10+1,1))</f>
        <v>318.97291652986593</v>
      </c>
      <c r="AO152" s="59">
        <f t="shared" si="144"/>
        <v>338.19413170988122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2.7811400726990283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4.9508161029616127E-17</v>
      </c>
      <c r="AX152" s="21">
        <f t="shared" si="114"/>
        <v>2.7811400726990283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3.4</v>
      </c>
      <c r="BD152" s="12">
        <f>IF('Données projet'!$A$88&gt;35,BD151+BC152-BL151,IF(A152&lt;'Données projet'!$A$88,$BA$205^A152,IF(A152='Données projet'!$A$88,'Données projet'!$B$88,BD151+BC152-BL151)))</f>
        <v>329.5999999999998</v>
      </c>
      <c r="BE152" s="13">
        <f>BD152*VLOOKUP('Données projet'!$B$11,Paramètres!$A$1:$I$89,3,0)*VLOOKUP('Données projet'!$B$11,Paramètres!$A$1:$I$89,5,0)</f>
        <v>277.65503999999987</v>
      </c>
      <c r="BF152" s="13">
        <f t="shared" si="145"/>
        <v>66.47120912437552</v>
      </c>
      <c r="BG152" s="20">
        <f t="shared" si="115"/>
        <v>599.35321722495371</v>
      </c>
      <c r="BH152" s="59">
        <f t="shared" si="116"/>
        <v>892.68655055828708</v>
      </c>
      <c r="BI152" s="59">
        <f ca="1">AVERAGE(OFFSET($BH$3,0,0,'Données projet'!$E$11+1,1))-AVERAGE(OFFSET($H$3,0,0,'Données projet'!$E$11+1,1))</f>
        <v>476.64466005965136</v>
      </c>
      <c r="BJ152" s="59">
        <f t="shared" si="146"/>
        <v>312.67921212138998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66.803822513728846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66.803822513728846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1.3</v>
      </c>
      <c r="BY152" s="12">
        <f>IF('Données projet'!$A$114&gt;35,BY151+BX152-CG151,IF(A152&lt;'Données projet'!$A$114,$BV$205^A152,IF(A152='Données projet'!$A$114,'Données projet'!$B$114,BY151+BX152-CG151)))</f>
        <v>221.69999999999962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318.97291652986593</v>
      </c>
      <c r="T153" s="59">
        <f t="shared" si="142"/>
        <v>338.19413170988122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4.5474735088646412E-13</v>
      </c>
      <c r="AJ153" s="13">
        <f>AI153*VLOOKUP('Données projet'!$B$10,Paramètres!$A$1:$I$89,3,0)*VLOOKUP('Données projet'!$B$10,Paramètres!$A$1:$I$89,5,0)</f>
        <v>2.7193891583010558E-13</v>
      </c>
      <c r="AK153" s="13">
        <f t="shared" si="143"/>
        <v>3.6362267729089988E-12</v>
      </c>
      <c r="AL153" s="20">
        <f t="shared" si="112"/>
        <v>6.8067219078872727E-12</v>
      </c>
      <c r="AM153" s="59">
        <f t="shared" si="113"/>
        <v>293.33333333334014</v>
      </c>
      <c r="AN153" s="59">
        <f ca="1">AVERAGE(OFFSET($AM$3,0,0,'Données projet'!$E$10+1,1))-AVERAGE(OFFSET($H$3,0,0,'Données projet'!$E$10+1,1))</f>
        <v>318.97291652986593</v>
      </c>
      <c r="AO153" s="59">
        <f t="shared" si="144"/>
        <v>338.19413170988122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2.7266036122013464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3.5007556388117129E-17</v>
      </c>
      <c r="AX153" s="21">
        <f t="shared" si="114"/>
        <v>2.7266036122013464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333</v>
      </c>
      <c r="BB153" s="12">
        <f>VLOOKUP(A153,'Données projet'!$A$87:$I$107,9,0)</f>
        <v>3.4</v>
      </c>
      <c r="BC153" s="12">
        <f t="array" ref="BC153">INDEX(BB:BB,MIN(IF(ISNUMBER(BB153:BB349),ROW(BB153:BB349),"")))</f>
        <v>3.4</v>
      </c>
      <c r="BD153" s="12">
        <f>IF('Données projet'!$A$88&gt;35,BD152+BC153-BL152,IF(A153&lt;'Données projet'!$A$88,$BA$205^A153,IF(A153='Données projet'!$A$88,'Données projet'!$B$88,BD152+BC153-BL152)))</f>
        <v>332.99999999999977</v>
      </c>
      <c r="BE153" s="13">
        <f>BD153*VLOOKUP('Données projet'!$B$11,Paramètres!$A$1:$I$89,3,0)*VLOOKUP('Données projet'!$B$11,Paramètres!$A$1:$I$89,5,0)</f>
        <v>280.51919999999984</v>
      </c>
      <c r="BF153" s="13">
        <f t="shared" si="145"/>
        <v>67.076718933381159</v>
      </c>
      <c r="BG153" s="20">
        <f t="shared" si="115"/>
        <v>605.39622547563852</v>
      </c>
      <c r="BH153" s="59">
        <f t="shared" si="116"/>
        <v>898.72955880897189</v>
      </c>
      <c r="BI153" s="59">
        <f ca="1">AVERAGE(OFFSET($BH$3,0,0,'Données projet'!$E$11+1,1))-AVERAGE(OFFSET($H$3,0,0,'Données projet'!$E$11+1,1))</f>
        <v>476.64466005965136</v>
      </c>
      <c r="BJ153" s="59">
        <f t="shared" si="146"/>
        <v>312.67921212138998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333</v>
      </c>
      <c r="BM153" s="16">
        <f>IF(ISNA(VLOOKUP(A153,'Données projet'!$A$87:$I$107,5,0)),0%,VLOOKUP(A153,'Données projet'!$A$87:$I$107,5,0)*VLOOKUP('Données projet'!$B$11,Paramètres!$A$1:$I$89,7,0))</f>
        <v>0.36549999999999999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178.83746140274019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178.83746140274019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>
        <f>VLOOKUP(A153,'Données projet'!$A$113:$I$133,2,0)</f>
        <v>223</v>
      </c>
      <c r="BW153" s="12">
        <f>VLOOKUP(A153,'Données projet'!$A$113:$I$133,9,0)</f>
        <v>1.3</v>
      </c>
      <c r="BX153" s="12">
        <f t="array" ref="BX153">INDEX(BW:BW,MIN(IF(ISNUMBER(BW153:BW349),ROW(BW153:BW349),"")))</f>
        <v>1.3</v>
      </c>
      <c r="BY153" s="12">
        <f>IF('Données projet'!$A$114&gt;35,BY152+BX153-CG152,IF(A153&lt;'Données projet'!$A$114,$BV$205^A153,IF(A153='Données projet'!$A$114,'Données projet'!$B$114,BY152+BX153-CG152)))</f>
        <v>222.99999999999963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13</v>
      </c>
      <c r="CG153" s="15">
        <f>IF(ISNA(VLOOKUP(A153,'Données projet'!$A$113:$I$133,4,0)),0,VLOOKUP(A153,'Données projet'!$A$113:$I$133,4,0))</f>
        <v>223</v>
      </c>
      <c r="CH153" s="16" t="e">
        <f>IF(ISNA(VLOOKUP(A153,'Données projet'!$A$113:$I$133,5,0)),0%,VLOOKUP(A153,'Données projet'!$A$113:$I$133,5,0)*VLOOKUP('Données projet'!$B$12,Paramètres!$A$1:$I$89,7,0))</f>
        <v>#N/A</v>
      </c>
      <c r="CI153" s="16" t="e">
        <f>IF(ISNA(VLOOKUP(A153,'Données projet'!$A$113:$I$133,6,0)),0%,VLOOKUP(A153,'Données projet'!$A$113:$I$133,6,0)*VLOOKUP('Données projet'!$B$12,Paramètres!$A$1:$I$89,7,0))</f>
        <v>#N/A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318.97291652986593</v>
      </c>
      <c r="T154" s="59">
        <f t="shared" si="142"/>
        <v>338.19413170988122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4.5474735088646412E-13</v>
      </c>
      <c r="AJ154" s="13">
        <f>AI154*VLOOKUP('Données projet'!$B$10,Paramètres!$A$1:$I$89,3,0)*VLOOKUP('Données projet'!$B$10,Paramètres!$A$1:$I$89,5,0)</f>
        <v>2.7193891583010558E-13</v>
      </c>
      <c r="AK154" s="13">
        <f t="shared" ref="AK154:AK203" si="164">EXP(-1.0587+0.8836*LN(AJ154)+0.284)</f>
        <v>3.6362267729089988E-12</v>
      </c>
      <c r="AL154" s="20">
        <f t="shared" ref="AL154:AL203" si="165">(AJ154+AK154)*0.475*44/12</f>
        <v>6.8067219078872727E-12</v>
      </c>
      <c r="AM154" s="59">
        <f t="shared" si="113"/>
        <v>293.33333333334014</v>
      </c>
      <c r="AN154" s="59">
        <f ca="1">AVERAGE(OFFSET($AM$3,0,0,'Données projet'!$E$10+1,1))-AVERAGE(OFFSET($H$3,0,0,'Données projet'!$E$10+1,1))</f>
        <v>318.97291652986593</v>
      </c>
      <c r="AO154" s="59">
        <f t="shared" si="144"/>
        <v>338.19413170988122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2.6731365784300674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2.4754080514808063E-17</v>
      </c>
      <c r="AX154" s="21">
        <f t="shared" ref="AX154:AX203" si="166">SUM(AU154:AW154)</f>
        <v>2.6731365784300674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-1.915395841933787E-13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476.64466005965136</v>
      </c>
      <c r="BJ154" s="59">
        <f t="shared" si="146"/>
        <v>312.67921212138998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175.33056786471315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175.33056786471315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-3.694822225952521E-13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318.97291652986593</v>
      </c>
      <c r="T155" s="59">
        <f t="shared" si="142"/>
        <v>338.19413170988122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4.5474735088646412E-13</v>
      </c>
      <c r="AJ155" s="13">
        <f>AI155*VLOOKUP('Données projet'!$B$10,Paramètres!$A$1:$I$89,3,0)*VLOOKUP('Données projet'!$B$10,Paramètres!$A$1:$I$89,5,0)</f>
        <v>2.7193891583010558E-13</v>
      </c>
      <c r="AK155" s="13">
        <f t="shared" si="164"/>
        <v>3.6362267729089988E-12</v>
      </c>
      <c r="AL155" s="20">
        <f t="shared" si="165"/>
        <v>6.8067219078872727E-12</v>
      </c>
      <c r="AM155" s="59">
        <f t="shared" si="113"/>
        <v>293.33333333334014</v>
      </c>
      <c r="AN155" s="59">
        <f ca="1">AVERAGE(OFFSET($AM$3,0,0,'Données projet'!$E$10+1,1))-AVERAGE(OFFSET($H$3,0,0,'Données projet'!$E$10+1,1))</f>
        <v>318.97291652986593</v>
      </c>
      <c r="AO155" s="59">
        <f t="shared" si="144"/>
        <v>338.19413170988122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2.6207180005793727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1.7503778194058565E-17</v>
      </c>
      <c r="AX155" s="21">
        <f t="shared" si="166"/>
        <v>2.6207180005793727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-1.915395841933787E-13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476.64466005965136</v>
      </c>
      <c r="BJ155" s="59">
        <f t="shared" si="146"/>
        <v>312.67921212138998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171.89244236997297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171.89244236997297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-3.694822225952521E-13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318.97291652986593</v>
      </c>
      <c r="T156" s="59">
        <f t="shared" si="142"/>
        <v>338.19413170988122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4.5474735088646412E-13</v>
      </c>
      <c r="AJ156" s="13">
        <f>AI156*VLOOKUP('Données projet'!$B$10,Paramètres!$A$1:$I$89,3,0)*VLOOKUP('Données projet'!$B$10,Paramètres!$A$1:$I$89,5,0)</f>
        <v>2.7193891583010558E-13</v>
      </c>
      <c r="AK156" s="13">
        <f t="shared" si="164"/>
        <v>3.6362267729089988E-12</v>
      </c>
      <c r="AL156" s="20">
        <f t="shared" si="165"/>
        <v>6.8067219078872727E-12</v>
      </c>
      <c r="AM156" s="59">
        <f t="shared" si="113"/>
        <v>293.33333333334014</v>
      </c>
      <c r="AN156" s="59">
        <f ca="1">AVERAGE(OFFSET($AM$3,0,0,'Données projet'!$E$10+1,1))-AVERAGE(OFFSET($H$3,0,0,'Données projet'!$E$10+1,1))</f>
        <v>318.97291652986593</v>
      </c>
      <c r="AO156" s="59">
        <f t="shared" si="144"/>
        <v>338.19413170988122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2.5693273190681549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1.2377040257404032E-17</v>
      </c>
      <c r="AX156" s="21">
        <f t="shared" si="166"/>
        <v>2.5693273190681549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-1.915395841933787E-13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476.64466005965136</v>
      </c>
      <c r="BJ156" s="59">
        <f t="shared" si="146"/>
        <v>312.67921212138998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168.52173641913515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168.52173641913515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-3.694822225952521E-13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318.97291652986593</v>
      </c>
      <c r="T157" s="59">
        <f t="shared" si="142"/>
        <v>338.19413170988122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4.5474735088646412E-13</v>
      </c>
      <c r="AJ157" s="13">
        <f>AI157*VLOOKUP('Données projet'!$B$10,Paramètres!$A$1:$I$89,3,0)*VLOOKUP('Données projet'!$B$10,Paramètres!$A$1:$I$89,5,0)</f>
        <v>2.7193891583010558E-13</v>
      </c>
      <c r="AK157" s="13">
        <f t="shared" si="164"/>
        <v>3.6362267729089988E-12</v>
      </c>
      <c r="AL157" s="20">
        <f t="shared" si="165"/>
        <v>6.8067219078872727E-12</v>
      </c>
      <c r="AM157" s="59">
        <f t="shared" si="113"/>
        <v>293.33333333334014</v>
      </c>
      <c r="AN157" s="59">
        <f ca="1">AVERAGE(OFFSET($AM$3,0,0,'Données projet'!$E$10+1,1))-AVERAGE(OFFSET($H$3,0,0,'Données projet'!$E$10+1,1))</f>
        <v>318.97291652986593</v>
      </c>
      <c r="AO157" s="59">
        <f t="shared" si="144"/>
        <v>338.19413170988122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2.5189443774761515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8.7518890970292824E-18</v>
      </c>
      <c r="AX157" s="21">
        <f t="shared" si="166"/>
        <v>2.5189443774761515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-1.915395841933787E-13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476.64466005965136</v>
      </c>
      <c r="BJ157" s="59">
        <f t="shared" si="146"/>
        <v>312.67921212138998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165.21712795606564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165.21712795606564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-3.694822225952521E-13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318.97291652986593</v>
      </c>
      <c r="T158" s="59">
        <f t="shared" si="142"/>
        <v>338.19413170988122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4.5474735088646412E-13</v>
      </c>
      <c r="AJ158" s="13">
        <f>AI158*VLOOKUP('Données projet'!$B$10,Paramètres!$A$1:$I$89,3,0)*VLOOKUP('Données projet'!$B$10,Paramètres!$A$1:$I$89,5,0)</f>
        <v>2.7193891583010558E-13</v>
      </c>
      <c r="AK158" s="13">
        <f t="shared" si="164"/>
        <v>3.6362267729089988E-12</v>
      </c>
      <c r="AL158" s="20">
        <f t="shared" si="165"/>
        <v>6.8067219078872727E-12</v>
      </c>
      <c r="AM158" s="59">
        <f t="shared" si="113"/>
        <v>293.33333333334014</v>
      </c>
      <c r="AN158" s="59">
        <f ca="1">AVERAGE(OFFSET($AM$3,0,0,'Données projet'!$E$10+1,1))-AVERAGE(OFFSET($H$3,0,0,'Données projet'!$E$10+1,1))</f>
        <v>318.97291652986593</v>
      </c>
      <c r="AO158" s="59">
        <f t="shared" si="144"/>
        <v>338.19413170988122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2.4695494146382071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6.1885201287020158E-18</v>
      </c>
      <c r="AX158" s="21">
        <f t="shared" si="166"/>
        <v>2.4695494146382071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-1.915395841933787E-13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476.64466005965136</v>
      </c>
      <c r="BJ158" s="59">
        <f t="shared" si="146"/>
        <v>312.67921212138998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161.97732084934478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161.97732084934478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-3.694822225952521E-13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318.97291652986593</v>
      </c>
      <c r="T159" s="59">
        <f t="shared" si="142"/>
        <v>338.19413170988122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4.5474735088646412E-13</v>
      </c>
      <c r="AJ159" s="13">
        <f>AI159*VLOOKUP('Données projet'!$B$10,Paramètres!$A$1:$I$89,3,0)*VLOOKUP('Données projet'!$B$10,Paramètres!$A$1:$I$89,5,0)</f>
        <v>2.7193891583010558E-13</v>
      </c>
      <c r="AK159" s="13">
        <f t="shared" si="164"/>
        <v>3.6362267729089988E-12</v>
      </c>
      <c r="AL159" s="20">
        <f t="shared" si="165"/>
        <v>6.8067219078872727E-12</v>
      </c>
      <c r="AM159" s="59">
        <f t="shared" si="113"/>
        <v>293.33333333334014</v>
      </c>
      <c r="AN159" s="59">
        <f ca="1">AVERAGE(OFFSET($AM$3,0,0,'Données projet'!$E$10+1,1))-AVERAGE(OFFSET($H$3,0,0,'Données projet'!$E$10+1,1))</f>
        <v>318.97291652986593</v>
      </c>
      <c r="AO159" s="59">
        <f t="shared" si="144"/>
        <v>338.19413170988122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2.4211230568935624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4.3759445485146412E-18</v>
      </c>
      <c r="AX159" s="21">
        <f t="shared" si="166"/>
        <v>2.4211230568935624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-1.915395841933787E-13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476.64466005965136</v>
      </c>
      <c r="BJ159" s="59">
        <f t="shared" si="146"/>
        <v>312.67921212138998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158.80104438389952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158.80104438389952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-3.694822225952521E-13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318.97291652986593</v>
      </c>
      <c r="T160" s="59">
        <f t="shared" si="142"/>
        <v>338.19413170988122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4.5474735088646412E-13</v>
      </c>
      <c r="AJ160" s="13">
        <f>AI160*VLOOKUP('Données projet'!$B$10,Paramètres!$A$1:$I$89,3,0)*VLOOKUP('Données projet'!$B$10,Paramètres!$A$1:$I$89,5,0)</f>
        <v>2.7193891583010558E-13</v>
      </c>
      <c r="AK160" s="13">
        <f t="shared" si="164"/>
        <v>3.6362267729089988E-12</v>
      </c>
      <c r="AL160" s="20">
        <f t="shared" si="165"/>
        <v>6.8067219078872727E-12</v>
      </c>
      <c r="AM160" s="59">
        <f t="shared" si="113"/>
        <v>293.33333333334014</v>
      </c>
      <c r="AN160" s="59">
        <f ca="1">AVERAGE(OFFSET($AM$3,0,0,'Données projet'!$E$10+1,1))-AVERAGE(OFFSET($H$3,0,0,'Données projet'!$E$10+1,1))</f>
        <v>318.97291652986593</v>
      </c>
      <c r="AO160" s="59">
        <f t="shared" si="144"/>
        <v>338.19413170988122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2.3736463104871284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3.0942600643510079E-18</v>
      </c>
      <c r="AX160" s="21">
        <f t="shared" si="166"/>
        <v>2.3736463104871284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-1.915395841933787E-13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476.64466005965136</v>
      </c>
      <c r="BJ160" s="59">
        <f t="shared" si="146"/>
        <v>312.67921212138998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155.68705276260428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155.68705276260428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-3.694822225952521E-13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318.97291652986593</v>
      </c>
      <c r="T161" s="59">
        <f t="shared" si="142"/>
        <v>338.19413170988122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4.5474735088646412E-13</v>
      </c>
      <c r="AJ161" s="13">
        <f>AI161*VLOOKUP('Données projet'!$B$10,Paramètres!$A$1:$I$89,3,0)*VLOOKUP('Données projet'!$B$10,Paramètres!$A$1:$I$89,5,0)</f>
        <v>2.7193891583010558E-13</v>
      </c>
      <c r="AK161" s="13">
        <f t="shared" si="164"/>
        <v>3.6362267729089988E-12</v>
      </c>
      <c r="AL161" s="20">
        <f t="shared" si="165"/>
        <v>6.8067219078872727E-12</v>
      </c>
      <c r="AM161" s="59">
        <f t="shared" si="113"/>
        <v>293.33333333334014</v>
      </c>
      <c r="AN161" s="59">
        <f ca="1">AVERAGE(OFFSET($AM$3,0,0,'Données projet'!$E$10+1,1))-AVERAGE(OFFSET($H$3,0,0,'Données projet'!$E$10+1,1))</f>
        <v>318.97291652986593</v>
      </c>
      <c r="AO161" s="59">
        <f t="shared" si="144"/>
        <v>338.19413170988122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2.3271005541197685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2.1879722742573206E-18</v>
      </c>
      <c r="AX161" s="21">
        <f t="shared" si="166"/>
        <v>2.3271005541197685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-1.915395841933787E-13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476.64466005965136</v>
      </c>
      <c r="BJ161" s="59">
        <f t="shared" si="146"/>
        <v>312.67921212138998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152.63412461765529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152.63412461765529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-3.694822225952521E-13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318.97291652986593</v>
      </c>
      <c r="T162" s="59">
        <f t="shared" si="142"/>
        <v>338.19413170988122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4.5474735088646412E-13</v>
      </c>
      <c r="AJ162" s="13">
        <f>AI162*VLOOKUP('Données projet'!$B$10,Paramètres!$A$1:$I$89,3,0)*VLOOKUP('Données projet'!$B$10,Paramètres!$A$1:$I$89,5,0)</f>
        <v>2.7193891583010558E-13</v>
      </c>
      <c r="AK162" s="13">
        <f t="shared" si="164"/>
        <v>3.6362267729089988E-12</v>
      </c>
      <c r="AL162" s="20">
        <f t="shared" si="165"/>
        <v>6.8067219078872727E-12</v>
      </c>
      <c r="AM162" s="59">
        <f t="shared" si="113"/>
        <v>293.33333333334014</v>
      </c>
      <c r="AN162" s="59">
        <f ca="1">AVERAGE(OFFSET($AM$3,0,0,'Données projet'!$E$10+1,1))-AVERAGE(OFFSET($H$3,0,0,'Données projet'!$E$10+1,1))</f>
        <v>318.97291652986593</v>
      </c>
      <c r="AO162" s="59">
        <f t="shared" si="144"/>
        <v>338.19413170988122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2.2814675316446644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1.547130032175504E-18</v>
      </c>
      <c r="AX162" s="21">
        <f t="shared" si="166"/>
        <v>2.2814675316446644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-1.915395841933787E-13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476.64466005965136</v>
      </c>
      <c r="BJ162" s="59">
        <f t="shared" si="146"/>
        <v>312.67921212138998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149.64106253152647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149.64106253152647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-3.694822225952521E-13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318.97291652986593</v>
      </c>
      <c r="T163" s="59">
        <f t="shared" si="142"/>
        <v>338.19413170988122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4.5474735088646412E-13</v>
      </c>
      <c r="AJ163" s="13">
        <f>AI163*VLOOKUP('Données projet'!$B$10,Paramètres!$A$1:$I$89,3,0)*VLOOKUP('Données projet'!$B$10,Paramètres!$A$1:$I$89,5,0)</f>
        <v>2.7193891583010558E-13</v>
      </c>
      <c r="AK163" s="13">
        <f t="shared" si="164"/>
        <v>3.6362267729089988E-12</v>
      </c>
      <c r="AL163" s="20">
        <f t="shared" si="165"/>
        <v>6.8067219078872727E-12</v>
      </c>
      <c r="AM163" s="59">
        <f t="shared" si="113"/>
        <v>293.33333333334014</v>
      </c>
      <c r="AN163" s="59">
        <f ca="1">AVERAGE(OFFSET($AM$3,0,0,'Données projet'!$E$10+1,1))-AVERAGE(OFFSET($H$3,0,0,'Données projet'!$E$10+1,1))</f>
        <v>318.97291652986593</v>
      </c>
      <c r="AO163" s="59">
        <f t="shared" si="144"/>
        <v>338.19413170988122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2.2367293449069021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1.0939861371286603E-18</v>
      </c>
      <c r="AX163" s="21">
        <f t="shared" si="166"/>
        <v>2.2367293449069021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-1.915395841933787E-13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476.64466005965136</v>
      </c>
      <c r="BJ163" s="59">
        <f t="shared" si="146"/>
        <v>312.67921212138998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146.70669256731901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146.70669256731901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-3.694822225952521E-13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318.97291652986593</v>
      </c>
      <c r="T164" s="59">
        <f t="shared" si="142"/>
        <v>338.19413170988122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4.5474735088646412E-13</v>
      </c>
      <c r="AJ164" s="13">
        <f>AI164*VLOOKUP('Données projet'!$B$10,Paramètres!$A$1:$I$89,3,0)*VLOOKUP('Données projet'!$B$10,Paramètres!$A$1:$I$89,5,0)</f>
        <v>2.7193891583010558E-13</v>
      </c>
      <c r="AK164" s="13">
        <f t="shared" si="164"/>
        <v>3.6362267729089988E-12</v>
      </c>
      <c r="AL164" s="20">
        <f t="shared" si="165"/>
        <v>6.8067219078872727E-12</v>
      </c>
      <c r="AM164" s="59">
        <f t="shared" si="113"/>
        <v>293.33333333334014</v>
      </c>
      <c r="AN164" s="59">
        <f ca="1">AVERAGE(OFFSET($AM$3,0,0,'Données projet'!$E$10+1,1))-AVERAGE(OFFSET($H$3,0,0,'Données projet'!$E$10+1,1))</f>
        <v>318.97291652986593</v>
      </c>
      <c r="AO164" s="59">
        <f t="shared" si="144"/>
        <v>338.19413170988122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2.1928684467234678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7.7356501608775198E-19</v>
      </c>
      <c r="AX164" s="21">
        <f t="shared" si="166"/>
        <v>2.1928684467234678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-1.915395841933787E-13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476.64466005965136</v>
      </c>
      <c r="BJ164" s="59">
        <f t="shared" si="146"/>
        <v>312.67921212138998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143.82986380832071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143.82986380832071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-3.694822225952521E-13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318.97291652986593</v>
      </c>
      <c r="T165" s="59">
        <f t="shared" si="142"/>
        <v>338.19413170988122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4.5474735088646412E-13</v>
      </c>
      <c r="AJ165" s="13">
        <f>AI165*VLOOKUP('Données projet'!$B$10,Paramètres!$A$1:$I$89,3,0)*VLOOKUP('Données projet'!$B$10,Paramètres!$A$1:$I$89,5,0)</f>
        <v>2.7193891583010558E-13</v>
      </c>
      <c r="AK165" s="13">
        <f t="shared" si="164"/>
        <v>3.6362267729089988E-12</v>
      </c>
      <c r="AL165" s="20">
        <f t="shared" si="165"/>
        <v>6.8067219078872727E-12</v>
      </c>
      <c r="AM165" s="59">
        <f t="shared" si="113"/>
        <v>293.33333333334014</v>
      </c>
      <c r="AN165" s="59">
        <f ca="1">AVERAGE(OFFSET($AM$3,0,0,'Données projet'!$E$10+1,1))-AVERAGE(OFFSET($H$3,0,0,'Données projet'!$E$10+1,1))</f>
        <v>318.97291652986593</v>
      </c>
      <c r="AO165" s="59">
        <f t="shared" si="144"/>
        <v>338.19413170988122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2.1498676340009042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5.4699306856433015E-19</v>
      </c>
      <c r="AX165" s="21">
        <f t="shared" si="166"/>
        <v>2.1498676340009042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-1.915395841933787E-13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476.64466005965136</v>
      </c>
      <c r="BJ165" s="59">
        <f t="shared" si="146"/>
        <v>312.67921212138998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141.00944790659409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141.00944790659409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-3.694822225952521E-13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318.97291652986593</v>
      </c>
      <c r="T166" s="59">
        <f t="shared" si="142"/>
        <v>338.19413170988122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4.5474735088646412E-13</v>
      </c>
      <c r="AJ166" s="13">
        <f>AI166*VLOOKUP('Données projet'!$B$10,Paramètres!$A$1:$I$89,3,0)*VLOOKUP('Données projet'!$B$10,Paramètres!$A$1:$I$89,5,0)</f>
        <v>2.7193891583010558E-13</v>
      </c>
      <c r="AK166" s="13">
        <f t="shared" si="164"/>
        <v>3.6362267729089988E-12</v>
      </c>
      <c r="AL166" s="20">
        <f t="shared" si="165"/>
        <v>6.8067219078872727E-12</v>
      </c>
      <c r="AM166" s="59">
        <f t="shared" si="113"/>
        <v>293.33333333334014</v>
      </c>
      <c r="AN166" s="59">
        <f ca="1">AVERAGE(OFFSET($AM$3,0,0,'Données projet'!$E$10+1,1))-AVERAGE(OFFSET($H$3,0,0,'Données projet'!$E$10+1,1))</f>
        <v>318.97291652986593</v>
      </c>
      <c r="AO166" s="59">
        <f t="shared" si="144"/>
        <v>338.19413170988122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2.1077100409879241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3.8678250804387599E-19</v>
      </c>
      <c r="AX166" s="21">
        <f t="shared" si="166"/>
        <v>2.1077100409879241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-1.915395841933787E-13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476.64466005965136</v>
      </c>
      <c r="BJ166" s="59">
        <f t="shared" si="146"/>
        <v>312.67921212138998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138.24433864041649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138.24433864041649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-3.694822225952521E-13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318.97291652986593</v>
      </c>
      <c r="T167" s="59">
        <f t="shared" si="142"/>
        <v>338.19413170988122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4.5474735088646412E-13</v>
      </c>
      <c r="AJ167" s="13">
        <f>AI167*VLOOKUP('Données projet'!$B$10,Paramètres!$A$1:$I$89,3,0)*VLOOKUP('Données projet'!$B$10,Paramètres!$A$1:$I$89,5,0)</f>
        <v>2.7193891583010558E-13</v>
      </c>
      <c r="AK167" s="13">
        <f t="shared" si="164"/>
        <v>3.6362267729089988E-12</v>
      </c>
      <c r="AL167" s="20">
        <f t="shared" si="165"/>
        <v>6.8067219078872727E-12</v>
      </c>
      <c r="AM167" s="59">
        <f t="shared" si="113"/>
        <v>293.33333333334014</v>
      </c>
      <c r="AN167" s="59">
        <f ca="1">AVERAGE(OFFSET($AM$3,0,0,'Données projet'!$E$10+1,1))-AVERAGE(OFFSET($H$3,0,0,'Données projet'!$E$10+1,1))</f>
        <v>318.97291652986593</v>
      </c>
      <c r="AO167" s="59">
        <f t="shared" si="144"/>
        <v>338.19413170988122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2.066379132660336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2.7349653428216507E-19</v>
      </c>
      <c r="AX167" s="21">
        <f t="shared" si="166"/>
        <v>2.066379132660336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-1.915395841933787E-13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476.64466005965136</v>
      </c>
      <c r="BJ167" s="59">
        <f t="shared" si="146"/>
        <v>312.67921212138998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135.5334514803985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135.5334514803985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-3.694822225952521E-13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318.97291652986593</v>
      </c>
      <c r="T168" s="59">
        <f t="shared" si="142"/>
        <v>338.19413170988122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4.5474735088646412E-13</v>
      </c>
      <c r="AJ168" s="13">
        <f>AI168*VLOOKUP('Données projet'!$B$10,Paramètres!$A$1:$I$89,3,0)*VLOOKUP('Données projet'!$B$10,Paramètres!$A$1:$I$89,5,0)</f>
        <v>2.7193891583010558E-13</v>
      </c>
      <c r="AK168" s="13">
        <f t="shared" si="164"/>
        <v>3.6362267729089988E-12</v>
      </c>
      <c r="AL168" s="20">
        <f t="shared" si="165"/>
        <v>6.8067219078872727E-12</v>
      </c>
      <c r="AM168" s="59">
        <f t="shared" si="113"/>
        <v>293.33333333334014</v>
      </c>
      <c r="AN168" s="59">
        <f ca="1">AVERAGE(OFFSET($AM$3,0,0,'Données projet'!$E$10+1,1))-AVERAGE(OFFSET($H$3,0,0,'Données projet'!$E$10+1,1))</f>
        <v>318.97291652986593</v>
      </c>
      <c r="AO168" s="59">
        <f t="shared" si="144"/>
        <v>338.19413170988122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2.025858698235687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1.9339125402193799E-19</v>
      </c>
      <c r="AX168" s="21">
        <f t="shared" si="166"/>
        <v>2.025858698235687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-1.915395841933787E-13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476.64466005965136</v>
      </c>
      <c r="BJ168" s="59">
        <f t="shared" si="146"/>
        <v>312.67921212138998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132.87572316411058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132.87572316411058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-3.694822225952521E-13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318.97291652986593</v>
      </c>
      <c r="T169" s="59">
        <f t="shared" si="142"/>
        <v>338.19413170988122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4.5474735088646412E-13</v>
      </c>
      <c r="AJ169" s="13">
        <f>AI169*VLOOKUP('Données projet'!$B$10,Paramètres!$A$1:$I$89,3,0)*VLOOKUP('Données projet'!$B$10,Paramètres!$A$1:$I$89,5,0)</f>
        <v>2.7193891583010558E-13</v>
      </c>
      <c r="AK169" s="13">
        <f t="shared" si="164"/>
        <v>3.6362267729089988E-12</v>
      </c>
      <c r="AL169" s="20">
        <f t="shared" si="165"/>
        <v>6.8067219078872727E-12</v>
      </c>
      <c r="AM169" s="59">
        <f t="shared" si="113"/>
        <v>293.33333333334014</v>
      </c>
      <c r="AN169" s="59">
        <f ca="1">AVERAGE(OFFSET($AM$3,0,0,'Données projet'!$E$10+1,1))-AVERAGE(OFFSET($H$3,0,0,'Données projet'!$E$10+1,1))</f>
        <v>318.97291652986593</v>
      </c>
      <c r="AO169" s="59">
        <f t="shared" si="144"/>
        <v>338.19413170988122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1.9861328448150806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1.3674826714108254E-19</v>
      </c>
      <c r="AX169" s="21">
        <f t="shared" si="166"/>
        <v>1.9861328448150806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-1.915395841933787E-13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476.64466005965136</v>
      </c>
      <c r="BJ169" s="59">
        <f t="shared" si="146"/>
        <v>312.67921212138998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130.27011127905087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130.27011127905087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-3.694822225952521E-13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318.97291652986593</v>
      </c>
      <c r="T170" s="59">
        <f t="shared" si="142"/>
        <v>338.19413170988122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4.5474735088646412E-13</v>
      </c>
      <c r="AJ170" s="13">
        <f>AI170*VLOOKUP('Données projet'!$B$10,Paramètres!$A$1:$I$89,3,0)*VLOOKUP('Données projet'!$B$10,Paramètres!$A$1:$I$89,5,0)</f>
        <v>2.7193891583010558E-13</v>
      </c>
      <c r="AK170" s="13">
        <f t="shared" si="164"/>
        <v>3.6362267729089988E-12</v>
      </c>
      <c r="AL170" s="20">
        <f t="shared" si="165"/>
        <v>6.8067219078872727E-12</v>
      </c>
      <c r="AM170" s="59">
        <f t="shared" si="113"/>
        <v>293.33333333334014</v>
      </c>
      <c r="AN170" s="59">
        <f ca="1">AVERAGE(OFFSET($AM$3,0,0,'Données projet'!$E$10+1,1))-AVERAGE(OFFSET($H$3,0,0,'Données projet'!$E$10+1,1))</f>
        <v>318.97291652986593</v>
      </c>
      <c r="AO170" s="59">
        <f t="shared" si="144"/>
        <v>338.19413170988122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1.9471859911496743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9.6695627010968997E-20</v>
      </c>
      <c r="AX170" s="21">
        <f t="shared" si="166"/>
        <v>1.9471859911496743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-1.915395841933787E-13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476.64466005965136</v>
      </c>
      <c r="BJ170" s="59">
        <f t="shared" si="146"/>
        <v>312.67921212138998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127.71559385379084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127.71559385379084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-3.694822225952521E-13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318.97291652986593</v>
      </c>
      <c r="T171" s="59">
        <f t="shared" si="142"/>
        <v>338.19413170988122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4.5474735088646412E-13</v>
      </c>
      <c r="AJ171" s="13">
        <f>AI171*VLOOKUP('Données projet'!$B$10,Paramètres!$A$1:$I$89,3,0)*VLOOKUP('Données projet'!$B$10,Paramètres!$A$1:$I$89,5,0)</f>
        <v>2.7193891583010558E-13</v>
      </c>
      <c r="AK171" s="13">
        <f t="shared" si="164"/>
        <v>3.6362267729089988E-12</v>
      </c>
      <c r="AL171" s="20">
        <f t="shared" si="165"/>
        <v>6.8067219078872727E-12</v>
      </c>
      <c r="AM171" s="59">
        <f t="shared" si="113"/>
        <v>293.33333333334014</v>
      </c>
      <c r="AN171" s="59">
        <f ca="1">AVERAGE(OFFSET($AM$3,0,0,'Données projet'!$E$10+1,1))-AVERAGE(OFFSET($H$3,0,0,'Données projet'!$E$10+1,1))</f>
        <v>318.97291652986593</v>
      </c>
      <c r="AO171" s="59">
        <f t="shared" si="144"/>
        <v>338.19413170988122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1.9090028615294115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6.8374133570541268E-20</v>
      </c>
      <c r="AX171" s="21">
        <f t="shared" si="166"/>
        <v>1.9090028615294115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-1.915395841933787E-13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476.64466005965136</v>
      </c>
      <c r="BJ171" s="59">
        <f t="shared" si="146"/>
        <v>312.67921212138998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125.21116895713838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125.21116895713838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-3.694822225952521E-13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318.97291652986593</v>
      </c>
      <c r="T172" s="59">
        <f t="shared" si="142"/>
        <v>338.19413170988122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4.5474735088646412E-13</v>
      </c>
      <c r="AJ172" s="13">
        <f>AI172*VLOOKUP('Données projet'!$B$10,Paramètres!$A$1:$I$89,3,0)*VLOOKUP('Données projet'!$B$10,Paramètres!$A$1:$I$89,5,0)</f>
        <v>2.7193891583010558E-13</v>
      </c>
      <c r="AK172" s="13">
        <f t="shared" si="164"/>
        <v>3.6362267729089988E-12</v>
      </c>
      <c r="AL172" s="20">
        <f t="shared" si="165"/>
        <v>6.8067219078872727E-12</v>
      </c>
      <c r="AM172" s="59">
        <f t="shared" si="113"/>
        <v>293.33333333334014</v>
      </c>
      <c r="AN172" s="59">
        <f ca="1">AVERAGE(OFFSET($AM$3,0,0,'Données projet'!$E$10+1,1))-AVERAGE(OFFSET($H$3,0,0,'Données projet'!$E$10+1,1))</f>
        <v>318.97291652986593</v>
      </c>
      <c r="AO172" s="59">
        <f t="shared" si="144"/>
        <v>338.19413170988122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1.8715684797915926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4.8347813505484499E-20</v>
      </c>
      <c r="AX172" s="21">
        <f t="shared" si="166"/>
        <v>1.8715684797915926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-1.915395841933787E-13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476.64466005965136</v>
      </c>
      <c r="BJ172" s="59">
        <f t="shared" si="146"/>
        <v>312.67921212138998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122.75585430516092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122.75585430516092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-3.694822225952521E-13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318.97291652986593</v>
      </c>
      <c r="T173" s="59">
        <f t="shared" si="142"/>
        <v>338.19413170988122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4.5474735088646412E-13</v>
      </c>
      <c r="AJ173" s="13">
        <f>AI173*VLOOKUP('Données projet'!$B$10,Paramètres!$A$1:$I$89,3,0)*VLOOKUP('Données projet'!$B$10,Paramètres!$A$1:$I$89,5,0)</f>
        <v>2.7193891583010558E-13</v>
      </c>
      <c r="AK173" s="13">
        <f t="shared" si="164"/>
        <v>3.6362267729089988E-12</v>
      </c>
      <c r="AL173" s="20">
        <f t="shared" si="165"/>
        <v>6.8067219078872727E-12</v>
      </c>
      <c r="AM173" s="59">
        <f t="shared" si="113"/>
        <v>293.33333333334014</v>
      </c>
      <c r="AN173" s="59">
        <f ca="1">AVERAGE(OFFSET($AM$3,0,0,'Données projet'!$E$10+1,1))-AVERAGE(OFFSET($H$3,0,0,'Données projet'!$E$10+1,1))</f>
        <v>318.97291652986593</v>
      </c>
      <c r="AO173" s="59">
        <f t="shared" si="144"/>
        <v>338.19413170988122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1.8348681634469339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3.4187066785270634E-20</v>
      </c>
      <c r="AX173" s="21">
        <f t="shared" si="166"/>
        <v>1.8348681634469339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-1.915395841933787E-13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476.64466005965136</v>
      </c>
      <c r="BJ173" s="59">
        <f t="shared" si="146"/>
        <v>312.67921212138998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120.34868687591468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120.34868687591468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-3.694822225952521E-13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318.97291652986593</v>
      </c>
      <c r="T174" s="59">
        <f t="shared" si="142"/>
        <v>338.19413170988122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4.5474735088646412E-13</v>
      </c>
      <c r="AJ174" s="13">
        <f>AI174*VLOOKUP('Données projet'!$B$10,Paramètres!$A$1:$I$89,3,0)*VLOOKUP('Données projet'!$B$10,Paramètres!$A$1:$I$89,5,0)</f>
        <v>2.7193891583010558E-13</v>
      </c>
      <c r="AK174" s="13">
        <f t="shared" si="164"/>
        <v>3.6362267729089988E-12</v>
      </c>
      <c r="AL174" s="20">
        <f t="shared" si="165"/>
        <v>6.8067219078872727E-12</v>
      </c>
      <c r="AM174" s="59">
        <f t="shared" si="113"/>
        <v>293.33333333334014</v>
      </c>
      <c r="AN174" s="59">
        <f ca="1">AVERAGE(OFFSET($AM$3,0,0,'Données projet'!$E$10+1,1))-AVERAGE(OFFSET($H$3,0,0,'Données projet'!$E$10+1,1))</f>
        <v>318.97291652986593</v>
      </c>
      <c r="AO174" s="59">
        <f t="shared" si="144"/>
        <v>338.19413170988122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1.7988875179208115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2.4173906752742249E-20</v>
      </c>
      <c r="AX174" s="21">
        <f t="shared" si="166"/>
        <v>1.7988875179208115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-1.915395841933787E-13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476.64466005965136</v>
      </c>
      <c r="BJ174" s="59">
        <f t="shared" si="146"/>
        <v>312.67921212138998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117.9887225317288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117.9887225317288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-3.694822225952521E-13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318.97291652986593</v>
      </c>
      <c r="T175" s="59">
        <f t="shared" si="142"/>
        <v>338.19413170988122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4.5474735088646412E-13</v>
      </c>
      <c r="AJ175" s="13">
        <f>AI175*VLOOKUP('Données projet'!$B$10,Paramètres!$A$1:$I$89,3,0)*VLOOKUP('Données projet'!$B$10,Paramètres!$A$1:$I$89,5,0)</f>
        <v>2.7193891583010558E-13</v>
      </c>
      <c r="AK175" s="13">
        <f t="shared" si="164"/>
        <v>3.6362267729089988E-12</v>
      </c>
      <c r="AL175" s="20">
        <f t="shared" si="165"/>
        <v>6.8067219078872727E-12</v>
      </c>
      <c r="AM175" s="59">
        <f t="shared" si="113"/>
        <v>293.33333333334014</v>
      </c>
      <c r="AN175" s="59">
        <f ca="1">AVERAGE(OFFSET($AM$3,0,0,'Données projet'!$E$10+1,1))-AVERAGE(OFFSET($H$3,0,0,'Données projet'!$E$10+1,1))</f>
        <v>318.97291652986593</v>
      </c>
      <c r="AO175" s="59">
        <f t="shared" si="144"/>
        <v>338.19413170988122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1.7636124309074295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1.7093533392635317E-20</v>
      </c>
      <c r="AX175" s="21">
        <f t="shared" si="166"/>
        <v>1.7636124309074295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-1.915395841933787E-13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476.64466005965136</v>
      </c>
      <c r="BJ175" s="59">
        <f t="shared" si="146"/>
        <v>312.67921212138998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115.67503564889628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115.67503564889628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-3.694822225952521E-13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318.97291652986593</v>
      </c>
      <c r="T176" s="59">
        <f t="shared" si="142"/>
        <v>338.19413170988122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4.5474735088646412E-13</v>
      </c>
      <c r="AJ176" s="13">
        <f>AI176*VLOOKUP('Données projet'!$B$10,Paramètres!$A$1:$I$89,3,0)*VLOOKUP('Données projet'!$B$10,Paramètres!$A$1:$I$89,5,0)</f>
        <v>2.7193891583010558E-13</v>
      </c>
      <c r="AK176" s="13">
        <f t="shared" si="164"/>
        <v>3.6362267729089988E-12</v>
      </c>
      <c r="AL176" s="20">
        <f t="shared" si="165"/>
        <v>6.8067219078872727E-12</v>
      </c>
      <c r="AM176" s="59">
        <f t="shared" si="113"/>
        <v>293.33333333334014</v>
      </c>
      <c r="AN176" s="59">
        <f ca="1">AVERAGE(OFFSET($AM$3,0,0,'Données projet'!$E$10+1,1))-AVERAGE(OFFSET($H$3,0,0,'Données projet'!$E$10+1,1))</f>
        <v>318.97291652986593</v>
      </c>
      <c r="AO176" s="59">
        <f t="shared" si="144"/>
        <v>338.19413170988122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1.7290290668347013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1.2086953376371125E-20</v>
      </c>
      <c r="AX176" s="21">
        <f t="shared" si="166"/>
        <v>1.7290290668347013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-1.915395841933787E-13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476.64466005965136</v>
      </c>
      <c r="BJ176" s="59">
        <f t="shared" si="146"/>
        <v>312.67921212138998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113.40671875462647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113.40671875462647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-3.694822225952521E-13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318.97291652986593</v>
      </c>
      <c r="T177" s="59">
        <f t="shared" si="142"/>
        <v>338.19413170988122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4.5474735088646412E-13</v>
      </c>
      <c r="AJ177" s="13">
        <f>AI177*VLOOKUP('Données projet'!$B$10,Paramètres!$A$1:$I$89,3,0)*VLOOKUP('Données projet'!$B$10,Paramètres!$A$1:$I$89,5,0)</f>
        <v>2.7193891583010558E-13</v>
      </c>
      <c r="AK177" s="13">
        <f t="shared" si="164"/>
        <v>3.6362267729089988E-12</v>
      </c>
      <c r="AL177" s="20">
        <f t="shared" si="165"/>
        <v>6.8067219078872727E-12</v>
      </c>
      <c r="AM177" s="59">
        <f t="shared" si="113"/>
        <v>293.33333333334014</v>
      </c>
      <c r="AN177" s="59">
        <f ca="1">AVERAGE(OFFSET($AM$3,0,0,'Données projet'!$E$10+1,1))-AVERAGE(OFFSET($H$3,0,0,'Données projet'!$E$10+1,1))</f>
        <v>318.97291652986593</v>
      </c>
      <c r="AO177" s="59">
        <f t="shared" si="144"/>
        <v>338.19413170988122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1.69512386143767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8.5467666963176586E-21</v>
      </c>
      <c r="AX177" s="21">
        <f t="shared" si="166"/>
        <v>1.69512386143767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-1.915395841933787E-13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476.64466005965136</v>
      </c>
      <c r="BJ177" s="59">
        <f t="shared" si="146"/>
        <v>312.67921212138998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111.18288217111659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111.18288217111659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-3.694822225952521E-13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318.97291652986593</v>
      </c>
      <c r="T178" s="59">
        <f t="shared" si="142"/>
        <v>338.19413170988122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4.5474735088646412E-13</v>
      </c>
      <c r="AJ178" s="13">
        <f>AI178*VLOOKUP('Données projet'!$B$10,Paramètres!$A$1:$I$89,3,0)*VLOOKUP('Données projet'!$B$10,Paramètres!$A$1:$I$89,5,0)</f>
        <v>2.7193891583010558E-13</v>
      </c>
      <c r="AK178" s="13">
        <f t="shared" si="164"/>
        <v>3.6362267729089988E-12</v>
      </c>
      <c r="AL178" s="20">
        <f t="shared" si="165"/>
        <v>6.8067219078872727E-12</v>
      </c>
      <c r="AM178" s="59">
        <f t="shared" si="113"/>
        <v>293.33333333334014</v>
      </c>
      <c r="AN178" s="59">
        <f ca="1">AVERAGE(OFFSET($AM$3,0,0,'Données projet'!$E$10+1,1))-AVERAGE(OFFSET($H$3,0,0,'Données projet'!$E$10+1,1))</f>
        <v>318.97291652986593</v>
      </c>
      <c r="AO178" s="59">
        <f t="shared" si="144"/>
        <v>338.19413170988122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1.6618835164383414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6.0434766881855623E-21</v>
      </c>
      <c r="AX178" s="21">
        <f t="shared" si="166"/>
        <v>1.6618835164383414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-1.915395841933787E-13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476.64466005965136</v>
      </c>
      <c r="BJ178" s="59">
        <f t="shared" si="146"/>
        <v>312.67921212138998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109.00265366660295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109.00265366660295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-3.694822225952521E-13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318.97291652986593</v>
      </c>
      <c r="T179" s="59">
        <f t="shared" si="142"/>
        <v>338.19413170988122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4.5474735088646412E-13</v>
      </c>
      <c r="AJ179" s="13">
        <f>AI179*VLOOKUP('Données projet'!$B$10,Paramètres!$A$1:$I$89,3,0)*VLOOKUP('Données projet'!$B$10,Paramètres!$A$1:$I$89,5,0)</f>
        <v>2.7193891583010558E-13</v>
      </c>
      <c r="AK179" s="13">
        <f t="shared" si="164"/>
        <v>3.6362267729089988E-12</v>
      </c>
      <c r="AL179" s="20">
        <f t="shared" si="165"/>
        <v>6.8067219078872727E-12</v>
      </c>
      <c r="AM179" s="59">
        <f t="shared" si="113"/>
        <v>293.33333333334014</v>
      </c>
      <c r="AN179" s="59">
        <f ca="1">AVERAGE(OFFSET($AM$3,0,0,'Données projet'!$E$10+1,1))-AVERAGE(OFFSET($H$3,0,0,'Données projet'!$E$10+1,1))</f>
        <v>318.97291652986593</v>
      </c>
      <c r="AO179" s="59">
        <f t="shared" si="144"/>
        <v>338.19413170988122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1.6292949943298412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4.2733833481588293E-21</v>
      </c>
      <c r="AX179" s="21">
        <f t="shared" si="166"/>
        <v>1.6292949943298412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-1.915395841933787E-13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476.64466005965136</v>
      </c>
      <c r="BJ179" s="59">
        <f t="shared" si="146"/>
        <v>312.67921212138998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106.86517811325476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106.86517811325476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-3.694822225952521E-13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318.97291652986593</v>
      </c>
      <c r="T180" s="59">
        <f t="shared" si="142"/>
        <v>338.19413170988122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4.5474735088646412E-13</v>
      </c>
      <c r="AJ180" s="13">
        <f>AI180*VLOOKUP('Données projet'!$B$10,Paramètres!$A$1:$I$89,3,0)*VLOOKUP('Données projet'!$B$10,Paramètres!$A$1:$I$89,5,0)</f>
        <v>2.7193891583010558E-13</v>
      </c>
      <c r="AK180" s="13">
        <f t="shared" si="164"/>
        <v>3.6362267729089988E-12</v>
      </c>
      <c r="AL180" s="20">
        <f t="shared" si="165"/>
        <v>6.8067219078872727E-12</v>
      </c>
      <c r="AM180" s="59">
        <f t="shared" si="113"/>
        <v>293.33333333334014</v>
      </c>
      <c r="AN180" s="59">
        <f ca="1">AVERAGE(OFFSET($AM$3,0,0,'Données projet'!$E$10+1,1))-AVERAGE(OFFSET($H$3,0,0,'Données projet'!$E$10+1,1))</f>
        <v>318.97291652986593</v>
      </c>
      <c r="AO180" s="59">
        <f t="shared" si="144"/>
        <v>338.19413170988122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1.5973455132628527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3.0217383440927812E-21</v>
      </c>
      <c r="AX180" s="21">
        <f t="shared" si="166"/>
        <v>1.5973455132628527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-1.915395841933787E-13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476.64466005965136</v>
      </c>
      <c r="BJ180" s="59">
        <f t="shared" si="146"/>
        <v>312.67921212138998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104.76961715177636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104.76961715177636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-3.694822225952521E-13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318.97291652986593</v>
      </c>
      <c r="T181" s="59">
        <f t="shared" si="142"/>
        <v>338.19413170988122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4.5474735088646412E-13</v>
      </c>
      <c r="AJ181" s="13">
        <f>AI181*VLOOKUP('Données projet'!$B$10,Paramètres!$A$1:$I$89,3,0)*VLOOKUP('Données projet'!$B$10,Paramètres!$A$1:$I$89,5,0)</f>
        <v>2.7193891583010558E-13</v>
      </c>
      <c r="AK181" s="13">
        <f t="shared" si="164"/>
        <v>3.6362267729089988E-12</v>
      </c>
      <c r="AL181" s="20">
        <f t="shared" si="165"/>
        <v>6.8067219078872727E-12</v>
      </c>
      <c r="AM181" s="59">
        <f t="shared" si="113"/>
        <v>293.33333333334014</v>
      </c>
      <c r="AN181" s="59">
        <f ca="1">AVERAGE(OFFSET($AM$3,0,0,'Données projet'!$E$10+1,1))-AVERAGE(OFFSET($H$3,0,0,'Données projet'!$E$10+1,1))</f>
        <v>318.97291652986593</v>
      </c>
      <c r="AO181" s="59">
        <f t="shared" si="144"/>
        <v>338.19413170988122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1.5660225420323286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2.1366916740794146E-21</v>
      </c>
      <c r="AX181" s="21">
        <f t="shared" si="166"/>
        <v>1.5660225420323286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-1.915395841933787E-13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476.64466005965136</v>
      </c>
      <c r="BJ181" s="59">
        <f t="shared" si="146"/>
        <v>312.67921212138998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102.71514886258657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102.71514886258657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-3.694822225952521E-13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318.97291652986593</v>
      </c>
      <c r="T182" s="59">
        <f t="shared" si="142"/>
        <v>338.19413170988122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4.5474735088646412E-13</v>
      </c>
      <c r="AJ182" s="13">
        <f>AI182*VLOOKUP('Données projet'!$B$10,Paramètres!$A$1:$I$89,3,0)*VLOOKUP('Données projet'!$B$10,Paramètres!$A$1:$I$89,5,0)</f>
        <v>2.7193891583010558E-13</v>
      </c>
      <c r="AK182" s="13">
        <f t="shared" si="164"/>
        <v>3.6362267729089988E-12</v>
      </c>
      <c r="AL182" s="20">
        <f t="shared" si="165"/>
        <v>6.8067219078872727E-12</v>
      </c>
      <c r="AM182" s="59">
        <f t="shared" si="113"/>
        <v>293.33333333334014</v>
      </c>
      <c r="AN182" s="59">
        <f ca="1">AVERAGE(OFFSET($AM$3,0,0,'Données projet'!$E$10+1,1))-AVERAGE(OFFSET($H$3,0,0,'Données projet'!$E$10+1,1))</f>
        <v>318.97291652986593</v>
      </c>
      <c r="AO182" s="59">
        <f t="shared" si="144"/>
        <v>338.19413170988122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1.5353137951625091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1.5108691720463906E-21</v>
      </c>
      <c r="AX182" s="21">
        <f t="shared" si="166"/>
        <v>1.5353137951625091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-1.915395841933787E-13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476.64466005965136</v>
      </c>
      <c r="BJ182" s="59">
        <f t="shared" si="146"/>
        <v>312.67921212138998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100.70096744344588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100.70096744344588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-3.694822225952521E-13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318.97291652986593</v>
      </c>
      <c r="T183" s="59">
        <f t="shared" si="142"/>
        <v>338.19413170988122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4.5474735088646412E-13</v>
      </c>
      <c r="AJ183" s="13">
        <f>AI183*VLOOKUP('Données projet'!$B$10,Paramètres!$A$1:$I$89,3,0)*VLOOKUP('Données projet'!$B$10,Paramètres!$A$1:$I$89,5,0)</f>
        <v>2.7193891583010558E-13</v>
      </c>
      <c r="AK183" s="13">
        <f t="shared" si="164"/>
        <v>3.6362267729089988E-12</v>
      </c>
      <c r="AL183" s="20">
        <f t="shared" si="165"/>
        <v>6.8067219078872727E-12</v>
      </c>
      <c r="AM183" s="59">
        <f t="shared" si="113"/>
        <v>293.33333333334014</v>
      </c>
      <c r="AN183" s="59">
        <f ca="1">AVERAGE(OFFSET($AM$3,0,0,'Données projet'!$E$10+1,1))-AVERAGE(OFFSET($H$3,0,0,'Données projet'!$E$10+1,1))</f>
        <v>318.97291652986593</v>
      </c>
      <c r="AO183" s="59">
        <f t="shared" si="144"/>
        <v>338.19413170988122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1.5052072280883206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1.0683458370397073E-21</v>
      </c>
      <c r="AX183" s="21">
        <f t="shared" si="166"/>
        <v>1.5052072280883206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-1.915395841933787E-13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476.64466005965136</v>
      </c>
      <c r="BJ183" s="59">
        <f t="shared" si="146"/>
        <v>312.67921212138998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98.72628289340517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98.72628289340517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-3.694822225952521E-13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318.97291652986593</v>
      </c>
      <c r="T184" s="59">
        <f t="shared" si="142"/>
        <v>338.19413170988122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4.5474735088646412E-13</v>
      </c>
      <c r="AJ184" s="13">
        <f>AI184*VLOOKUP('Données projet'!$B$10,Paramètres!$A$1:$I$89,3,0)*VLOOKUP('Données projet'!$B$10,Paramètres!$A$1:$I$89,5,0)</f>
        <v>2.7193891583010558E-13</v>
      </c>
      <c r="AK184" s="13">
        <f t="shared" si="164"/>
        <v>3.6362267729089988E-12</v>
      </c>
      <c r="AL184" s="20">
        <f t="shared" si="165"/>
        <v>6.8067219078872727E-12</v>
      </c>
      <c r="AM184" s="59">
        <f t="shared" si="113"/>
        <v>293.33333333334014</v>
      </c>
      <c r="AN184" s="59">
        <f ca="1">AVERAGE(OFFSET($AM$3,0,0,'Données projet'!$E$10+1,1))-AVERAGE(OFFSET($H$3,0,0,'Données projet'!$E$10+1,1))</f>
        <v>318.97291652986593</v>
      </c>
      <c r="AO184" s="59">
        <f t="shared" si="144"/>
        <v>338.19413170988122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1.4756910324312644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7.5543458602319529E-22</v>
      </c>
      <c r="AX184" s="21">
        <f t="shared" si="166"/>
        <v>1.4756910324312644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-1.915395841933787E-13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476.64466005965136</v>
      </c>
      <c r="BJ184" s="59">
        <f t="shared" si="146"/>
        <v>312.67921212138998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96.790320702952116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96.790320702952116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-3.694822225952521E-13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318.97291652986593</v>
      </c>
      <c r="T185" s="59">
        <f t="shared" si="142"/>
        <v>338.19413170988122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4.5474735088646412E-13</v>
      </c>
      <c r="AJ185" s="13">
        <f>AI185*VLOOKUP('Données projet'!$B$10,Paramètres!$A$1:$I$89,3,0)*VLOOKUP('Données projet'!$B$10,Paramètres!$A$1:$I$89,5,0)</f>
        <v>2.7193891583010558E-13</v>
      </c>
      <c r="AK185" s="13">
        <f t="shared" si="164"/>
        <v>3.6362267729089988E-12</v>
      </c>
      <c r="AL185" s="20">
        <f t="shared" si="165"/>
        <v>6.8067219078872727E-12</v>
      </c>
      <c r="AM185" s="59">
        <f t="shared" si="113"/>
        <v>293.33333333334014</v>
      </c>
      <c r="AN185" s="59">
        <f ca="1">AVERAGE(OFFSET($AM$3,0,0,'Données projet'!$E$10+1,1))-AVERAGE(OFFSET($H$3,0,0,'Données projet'!$E$10+1,1))</f>
        <v>318.97291652986593</v>
      </c>
      <c r="AO185" s="59">
        <f t="shared" si="144"/>
        <v>338.19413170988122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1.4467536313679414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5.3417291851985366E-22</v>
      </c>
      <c r="AX185" s="21">
        <f t="shared" si="166"/>
        <v>1.4467536313679414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-1.915395841933787E-13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476.64466005965136</v>
      </c>
      <c r="BJ185" s="59">
        <f t="shared" si="146"/>
        <v>312.67921212138998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94.892321550233504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94.892321550233504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-3.694822225952521E-13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318.97291652986593</v>
      </c>
      <c r="T186" s="59">
        <f t="shared" si="142"/>
        <v>338.19413170988122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4.5474735088646412E-13</v>
      </c>
      <c r="AJ186" s="13">
        <f>AI186*VLOOKUP('Données projet'!$B$10,Paramètres!$A$1:$I$89,3,0)*VLOOKUP('Données projet'!$B$10,Paramètres!$A$1:$I$89,5,0)</f>
        <v>2.7193891583010558E-13</v>
      </c>
      <c r="AK186" s="13">
        <f t="shared" si="164"/>
        <v>3.6362267729089988E-12</v>
      </c>
      <c r="AL186" s="20">
        <f t="shared" si="165"/>
        <v>6.8067219078872727E-12</v>
      </c>
      <c r="AM186" s="59">
        <f t="shared" si="113"/>
        <v>293.33333333334014</v>
      </c>
      <c r="AN186" s="59">
        <f ca="1">AVERAGE(OFFSET($AM$3,0,0,'Données projet'!$E$10+1,1))-AVERAGE(OFFSET($H$3,0,0,'Données projet'!$E$10+1,1))</f>
        <v>318.97291652986593</v>
      </c>
      <c r="AO186" s="59">
        <f t="shared" si="144"/>
        <v>338.19413170988122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1.4183836750893983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3.7771729301159765E-22</v>
      </c>
      <c r="AX186" s="21">
        <f t="shared" si="166"/>
        <v>1.4183836750893983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-1.915395841933787E-13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476.64466005965136</v>
      </c>
      <c r="BJ186" s="59">
        <f t="shared" si="146"/>
        <v>312.67921212138998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93.031541003234537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93.031541003234537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-3.694822225952521E-13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318.97291652986593</v>
      </c>
      <c r="T187" s="59">
        <f t="shared" si="142"/>
        <v>338.19413170988122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4.5474735088646412E-13</v>
      </c>
      <c r="AJ187" s="13">
        <f>AI187*VLOOKUP('Données projet'!$B$10,Paramètres!$A$1:$I$89,3,0)*VLOOKUP('Données projet'!$B$10,Paramètres!$A$1:$I$89,5,0)</f>
        <v>2.7193891583010558E-13</v>
      </c>
      <c r="AK187" s="13">
        <f t="shared" si="164"/>
        <v>3.6362267729089988E-12</v>
      </c>
      <c r="AL187" s="20">
        <f t="shared" si="165"/>
        <v>6.8067219078872727E-12</v>
      </c>
      <c r="AM187" s="59">
        <f t="shared" si="113"/>
        <v>293.33333333334014</v>
      </c>
      <c r="AN187" s="59">
        <f ca="1">AVERAGE(OFFSET($AM$3,0,0,'Données projet'!$E$10+1,1))-AVERAGE(OFFSET($H$3,0,0,'Données projet'!$E$10+1,1))</f>
        <v>318.97291652986593</v>
      </c>
      <c r="AO187" s="59">
        <f t="shared" si="144"/>
        <v>338.19413170988122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1.3905700363495126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2.6708645925992683E-22</v>
      </c>
      <c r="AX187" s="21">
        <f t="shared" si="166"/>
        <v>1.3905700363495126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-1.915395841933787E-13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476.64466005965136</v>
      </c>
      <c r="BJ187" s="59">
        <f t="shared" si="146"/>
        <v>312.67921212138998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91.207249227798144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91.207249227798144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-3.694822225952521E-13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318.97291652986593</v>
      </c>
      <c r="T188" s="59">
        <f t="shared" si="142"/>
        <v>338.19413170988122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4.5474735088646412E-13</v>
      </c>
      <c r="AJ188" s="13">
        <f>AI188*VLOOKUP('Données projet'!$B$10,Paramètres!$A$1:$I$89,3,0)*VLOOKUP('Données projet'!$B$10,Paramètres!$A$1:$I$89,5,0)</f>
        <v>2.7193891583010558E-13</v>
      </c>
      <c r="AK188" s="13">
        <f t="shared" si="164"/>
        <v>3.6362267729089988E-12</v>
      </c>
      <c r="AL188" s="20">
        <f t="shared" si="165"/>
        <v>6.8067219078872727E-12</v>
      </c>
      <c r="AM188" s="59">
        <f t="shared" si="113"/>
        <v>293.33333333334014</v>
      </c>
      <c r="AN188" s="59">
        <f ca="1">AVERAGE(OFFSET($AM$3,0,0,'Données projet'!$E$10+1,1))-AVERAGE(OFFSET($H$3,0,0,'Données projet'!$E$10+1,1))</f>
        <v>318.97291652986593</v>
      </c>
      <c r="AO188" s="59">
        <f t="shared" si="144"/>
        <v>338.19413170988122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1.3633018061006716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1.8885864650579882E-22</v>
      </c>
      <c r="AX188" s="21">
        <f t="shared" si="166"/>
        <v>1.3633018061006716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-1.915395841933787E-13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476.64466005965136</v>
      </c>
      <c r="BJ188" s="59">
        <f t="shared" si="146"/>
        <v>312.67921212138998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89.418730701369952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89.418730701369952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-3.694822225952521E-13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318.97291652986593</v>
      </c>
      <c r="T189" s="59">
        <f t="shared" si="142"/>
        <v>338.19413170988122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4.5474735088646412E-13</v>
      </c>
      <c r="AJ189" s="13">
        <f>AI189*VLOOKUP('Données projet'!$B$10,Paramètres!$A$1:$I$89,3,0)*VLOOKUP('Données projet'!$B$10,Paramètres!$A$1:$I$89,5,0)</f>
        <v>2.7193891583010558E-13</v>
      </c>
      <c r="AK189" s="13">
        <f t="shared" si="164"/>
        <v>3.6362267729089988E-12</v>
      </c>
      <c r="AL189" s="20">
        <f t="shared" si="165"/>
        <v>6.8067219078872727E-12</v>
      </c>
      <c r="AM189" s="59">
        <f t="shared" si="113"/>
        <v>293.33333333334014</v>
      </c>
      <c r="AN189" s="59">
        <f ca="1">AVERAGE(OFFSET($AM$3,0,0,'Données projet'!$E$10+1,1))-AVERAGE(OFFSET($H$3,0,0,'Données projet'!$E$10+1,1))</f>
        <v>318.97291652986593</v>
      </c>
      <c r="AO189" s="59">
        <f t="shared" si="144"/>
        <v>338.19413170988122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1.3365682892150321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1.3354322962996341E-22</v>
      </c>
      <c r="AX189" s="21">
        <f t="shared" si="166"/>
        <v>1.3365682892150321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-1.915395841933787E-13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476.64466005965136</v>
      </c>
      <c r="BJ189" s="59">
        <f t="shared" si="146"/>
        <v>312.67921212138998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87.665283932356431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87.665283932356431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-3.694822225952521E-13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318.97291652986593</v>
      </c>
      <c r="T190" s="59">
        <f t="shared" si="142"/>
        <v>338.19413170988122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4.5474735088646412E-13</v>
      </c>
      <c r="AJ190" s="13">
        <f>AI190*VLOOKUP('Données projet'!$B$10,Paramètres!$A$1:$I$89,3,0)*VLOOKUP('Données projet'!$B$10,Paramètres!$A$1:$I$89,5,0)</f>
        <v>2.7193891583010558E-13</v>
      </c>
      <c r="AK190" s="13">
        <f t="shared" si="164"/>
        <v>3.6362267729089988E-12</v>
      </c>
      <c r="AL190" s="20">
        <f t="shared" si="165"/>
        <v>6.8067219078872727E-12</v>
      </c>
      <c r="AM190" s="59">
        <f t="shared" si="113"/>
        <v>293.33333333334014</v>
      </c>
      <c r="AN190" s="59">
        <f ca="1">AVERAGE(OFFSET($AM$3,0,0,'Données projet'!$E$10+1,1))-AVERAGE(OFFSET($H$3,0,0,'Données projet'!$E$10+1,1))</f>
        <v>318.97291652986593</v>
      </c>
      <c r="AO190" s="59">
        <f t="shared" si="144"/>
        <v>338.19413170988122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1.3103590002896848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9.4429323252899412E-23</v>
      </c>
      <c r="AX190" s="21">
        <f t="shared" si="166"/>
        <v>1.3103590002896848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-1.915395841933787E-13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476.64466005965136</v>
      </c>
      <c r="BJ190" s="59">
        <f t="shared" si="146"/>
        <v>312.67921212138998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85.946221184986342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85.946221184986342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-3.694822225952521E-13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318.97291652986593</v>
      </c>
      <c r="T191" s="59">
        <f t="shared" si="142"/>
        <v>338.19413170988122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4.5474735088646412E-13</v>
      </c>
      <c r="AJ191" s="13">
        <f>AI191*VLOOKUP('Données projet'!$B$10,Paramètres!$A$1:$I$89,3,0)*VLOOKUP('Données projet'!$B$10,Paramètres!$A$1:$I$89,5,0)</f>
        <v>2.7193891583010558E-13</v>
      </c>
      <c r="AK191" s="13">
        <f t="shared" si="164"/>
        <v>3.6362267729089988E-12</v>
      </c>
      <c r="AL191" s="20">
        <f t="shared" si="165"/>
        <v>6.8067219078872727E-12</v>
      </c>
      <c r="AM191" s="59">
        <f t="shared" si="113"/>
        <v>293.33333333334014</v>
      </c>
      <c r="AN191" s="59">
        <f ca="1">AVERAGE(OFFSET($AM$3,0,0,'Données projet'!$E$10+1,1))-AVERAGE(OFFSET($H$3,0,0,'Données projet'!$E$10+1,1))</f>
        <v>318.97291652986593</v>
      </c>
      <c r="AO191" s="59">
        <f t="shared" si="144"/>
        <v>338.19413170988122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1.2846636595340759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6.6771614814981707E-23</v>
      </c>
      <c r="AX191" s="21">
        <f t="shared" si="166"/>
        <v>1.2846636595340759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-1.915395841933787E-13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476.64466005965136</v>
      </c>
      <c r="BJ191" s="59">
        <f t="shared" si="146"/>
        <v>312.67921212138998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84.260868209567434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84.260868209567434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-3.694822225952521E-13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318.97291652986593</v>
      </c>
      <c r="T192" s="59">
        <f t="shared" si="142"/>
        <v>338.19413170988122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4.5474735088646412E-13</v>
      </c>
      <c r="AJ192" s="13">
        <f>AI192*VLOOKUP('Données projet'!$B$10,Paramètres!$A$1:$I$89,3,0)*VLOOKUP('Données projet'!$B$10,Paramètres!$A$1:$I$89,5,0)</f>
        <v>2.7193891583010558E-13</v>
      </c>
      <c r="AK192" s="13">
        <f t="shared" si="164"/>
        <v>3.6362267729089988E-12</v>
      </c>
      <c r="AL192" s="20">
        <f t="shared" si="165"/>
        <v>6.8067219078872727E-12</v>
      </c>
      <c r="AM192" s="59">
        <f t="shared" si="113"/>
        <v>293.33333333334014</v>
      </c>
      <c r="AN192" s="59">
        <f ca="1">AVERAGE(OFFSET($AM$3,0,0,'Données projet'!$E$10+1,1))-AVERAGE(OFFSET($H$3,0,0,'Données projet'!$E$10+1,1))</f>
        <v>318.97291652986593</v>
      </c>
      <c r="AO192" s="59">
        <f t="shared" si="144"/>
        <v>338.19413170988122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1.2594721887380742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4.7214661626449706E-23</v>
      </c>
      <c r="AX192" s="21">
        <f t="shared" si="166"/>
        <v>1.2594721887380742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-1.915395841933787E-13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476.64466005965136</v>
      </c>
      <c r="BJ192" s="59">
        <f t="shared" si="146"/>
        <v>312.67921212138998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82.608563978032677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82.608563978032677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-3.694822225952521E-13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318.97291652986593</v>
      </c>
      <c r="T193" s="59">
        <f t="shared" si="142"/>
        <v>338.19413170988122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4.5474735088646412E-13</v>
      </c>
      <c r="AJ193" s="13">
        <f>AI193*VLOOKUP('Données projet'!$B$10,Paramètres!$A$1:$I$89,3,0)*VLOOKUP('Données projet'!$B$10,Paramètres!$A$1:$I$89,5,0)</f>
        <v>2.7193891583010558E-13</v>
      </c>
      <c r="AK193" s="13">
        <f t="shared" si="164"/>
        <v>3.6362267729089988E-12</v>
      </c>
      <c r="AL193" s="20">
        <f t="shared" si="165"/>
        <v>6.8067219078872727E-12</v>
      </c>
      <c r="AM193" s="59">
        <f t="shared" si="113"/>
        <v>293.33333333334014</v>
      </c>
      <c r="AN193" s="59">
        <f ca="1">AVERAGE(OFFSET($AM$3,0,0,'Données projet'!$E$10+1,1))-AVERAGE(OFFSET($H$3,0,0,'Données projet'!$E$10+1,1))</f>
        <v>318.97291652986593</v>
      </c>
      <c r="AO193" s="59">
        <f t="shared" si="144"/>
        <v>338.19413170988122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1.234774707319102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3.3385807407490854E-23</v>
      </c>
      <c r="AX193" s="21">
        <f t="shared" si="166"/>
        <v>1.234774707319102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-1.915395841933787E-13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476.64466005965136</v>
      </c>
      <c r="BJ193" s="59">
        <f t="shared" si="146"/>
        <v>312.67921212138998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80.988660424672261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80.988660424672261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-3.694822225952521E-13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318.97291652986593</v>
      </c>
      <c r="T194" s="59">
        <f t="shared" si="142"/>
        <v>338.19413170988122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4.5474735088646412E-13</v>
      </c>
      <c r="AJ194" s="13">
        <f>AI194*VLOOKUP('Données projet'!$B$10,Paramètres!$A$1:$I$89,3,0)*VLOOKUP('Données projet'!$B$10,Paramètres!$A$1:$I$89,5,0)</f>
        <v>2.7193891583010558E-13</v>
      </c>
      <c r="AK194" s="13">
        <f t="shared" si="164"/>
        <v>3.6362267729089988E-12</v>
      </c>
      <c r="AL194" s="20">
        <f t="shared" si="165"/>
        <v>6.8067219078872727E-12</v>
      </c>
      <c r="AM194" s="59">
        <f t="shared" si="113"/>
        <v>293.33333333334014</v>
      </c>
      <c r="AN194" s="59">
        <f ca="1">AVERAGE(OFFSET($AM$3,0,0,'Données projet'!$E$10+1,1))-AVERAGE(OFFSET($H$3,0,0,'Données projet'!$E$10+1,1))</f>
        <v>318.97291652986593</v>
      </c>
      <c r="AO194" s="59">
        <f t="shared" si="144"/>
        <v>338.19413170988122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1.2105615284467797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2.3607330813224853E-23</v>
      </c>
      <c r="AX194" s="21">
        <f t="shared" si="166"/>
        <v>1.2105615284467797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-1.915395841933787E-13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476.64466005965136</v>
      </c>
      <c r="BJ194" s="59">
        <f t="shared" si="146"/>
        <v>312.67921212138998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79.400522191949634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79.400522191949634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-3.694822225952521E-13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318.97291652986593</v>
      </c>
      <c r="T195" s="59">
        <f t="shared" si="142"/>
        <v>338.19413170988122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4.5474735088646412E-13</v>
      </c>
      <c r="AJ195" s="13">
        <f>AI195*VLOOKUP('Données projet'!$B$10,Paramètres!$A$1:$I$89,3,0)*VLOOKUP('Données projet'!$B$10,Paramètres!$A$1:$I$89,5,0)</f>
        <v>2.7193891583010558E-13</v>
      </c>
      <c r="AK195" s="13">
        <f t="shared" si="164"/>
        <v>3.6362267729089988E-12</v>
      </c>
      <c r="AL195" s="20">
        <f t="shared" si="165"/>
        <v>6.8067219078872727E-12</v>
      </c>
      <c r="AM195" s="59">
        <f t="shared" si="113"/>
        <v>293.33333333334014</v>
      </c>
      <c r="AN195" s="59">
        <f ca="1">AVERAGE(OFFSET($AM$3,0,0,'Données projet'!$E$10+1,1))-AVERAGE(OFFSET($H$3,0,0,'Données projet'!$E$10+1,1))</f>
        <v>318.97291652986593</v>
      </c>
      <c r="AO195" s="59">
        <f t="shared" si="144"/>
        <v>338.19413170988122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1.1868231552435626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1.6692903703745427E-23</v>
      </c>
      <c r="AX195" s="21">
        <f t="shared" si="166"/>
        <v>1.1868231552435626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-1.915395841933787E-13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476.64466005965136</v>
      </c>
      <c r="BJ195" s="59">
        <f t="shared" si="146"/>
        <v>312.67921212138998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77.843526381302013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77.843526381302013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-3.694822225952521E-13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318.97291652986593</v>
      </c>
      <c r="T196" s="59">
        <f t="shared" si="142"/>
        <v>338.19413170988122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4.5474735088646412E-13</v>
      </c>
      <c r="AJ196" s="13">
        <f>AI196*VLOOKUP('Données projet'!$B$10,Paramètres!$A$1:$I$89,3,0)*VLOOKUP('Données projet'!$B$10,Paramètres!$A$1:$I$89,5,0)</f>
        <v>2.7193891583010558E-13</v>
      </c>
      <c r="AK196" s="13">
        <f t="shared" si="164"/>
        <v>3.6362267729089988E-12</v>
      </c>
      <c r="AL196" s="20">
        <f t="shared" si="165"/>
        <v>6.8067219078872727E-12</v>
      </c>
      <c r="AM196" s="59">
        <f t="shared" ref="AM196:AM203" si="193">AL196+(AD196+AE196)*44/12</f>
        <v>293.33333333334014</v>
      </c>
      <c r="AN196" s="59">
        <f ca="1">AVERAGE(OFFSET($AM$3,0,0,'Données projet'!$E$10+1,1))-AVERAGE(OFFSET($H$3,0,0,'Données projet'!$E$10+1,1))</f>
        <v>318.97291652986593</v>
      </c>
      <c r="AO196" s="59">
        <f t="shared" si="144"/>
        <v>338.19413170988122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1.1635502770598829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1.1803665406612426E-23</v>
      </c>
      <c r="AX196" s="21">
        <f t="shared" si="166"/>
        <v>1.1635502770598829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-1.915395841933787E-13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476.64466005965136</v>
      </c>
      <c r="BJ196" s="59">
        <f t="shared" si="146"/>
        <v>312.67921212138998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76.317062308827531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76.317062308827531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-3.694822225952521E-13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318.97291652986593</v>
      </c>
      <c r="T197" s="59">
        <f t="shared" ref="T197:T203" si="204">$T$3</f>
        <v>338.19413170988122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4.5474735088646412E-13</v>
      </c>
      <c r="AJ197" s="13">
        <f>AI197*VLOOKUP('Données projet'!$B$10,Paramètres!$A$1:$I$89,3,0)*VLOOKUP('Données projet'!$B$10,Paramètres!$A$1:$I$89,5,0)</f>
        <v>2.7193891583010558E-13</v>
      </c>
      <c r="AK197" s="13">
        <f t="shared" si="164"/>
        <v>3.6362267729089988E-12</v>
      </c>
      <c r="AL197" s="20">
        <f t="shared" si="165"/>
        <v>6.8067219078872727E-12</v>
      </c>
      <c r="AM197" s="59">
        <f t="shared" si="193"/>
        <v>293.33333333334014</v>
      </c>
      <c r="AN197" s="59">
        <f ca="1">AVERAGE(OFFSET($AM$3,0,0,'Données projet'!$E$10+1,1))-AVERAGE(OFFSET($H$3,0,0,'Données projet'!$E$10+1,1))</f>
        <v>318.97291652986593</v>
      </c>
      <c r="AO197" s="59">
        <f t="shared" ref="AO197:AO203" si="205">$AO$3</f>
        <v>338.19413170988122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1.1407337658223309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8.3464518518727134E-24</v>
      </c>
      <c r="AX197" s="21">
        <f t="shared" si="166"/>
        <v>1.1407337658223309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-1.915395841933787E-13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476.64466005965136</v>
      </c>
      <c r="BJ197" s="59">
        <f t="shared" ref="BJ197:BJ203" si="206">$BJ$3</f>
        <v>312.67921212138998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74.820531265763123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74.820531265763123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-3.694822225952521E-13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318.97291652986593</v>
      </c>
      <c r="T198" s="59">
        <f t="shared" si="204"/>
        <v>338.19413170988122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4.5474735088646412E-13</v>
      </c>
      <c r="AJ198" s="13">
        <f>AI198*VLOOKUP('Données projet'!$B$10,Paramètres!$A$1:$I$89,3,0)*VLOOKUP('Données projet'!$B$10,Paramètres!$A$1:$I$89,5,0)</f>
        <v>2.7193891583010558E-13</v>
      </c>
      <c r="AK198" s="13">
        <f t="shared" si="164"/>
        <v>3.6362267729089988E-12</v>
      </c>
      <c r="AL198" s="20">
        <f t="shared" si="165"/>
        <v>6.8067219078872727E-12</v>
      </c>
      <c r="AM198" s="59">
        <f t="shared" si="193"/>
        <v>293.33333333334014</v>
      </c>
      <c r="AN198" s="59">
        <f ca="1">AVERAGE(OFFSET($AM$3,0,0,'Données projet'!$E$10+1,1))-AVERAGE(OFFSET($H$3,0,0,'Données projet'!$E$10+1,1))</f>
        <v>318.97291652986593</v>
      </c>
      <c r="AO198" s="59">
        <f t="shared" si="205"/>
        <v>338.19413170988122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1.1183646724534497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5.9018327033062132E-24</v>
      </c>
      <c r="AX198" s="21">
        <f t="shared" si="166"/>
        <v>1.1183646724534497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-1.915395841933787E-13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476.64466005965136</v>
      </c>
      <c r="BJ198" s="59">
        <f t="shared" si="206"/>
        <v>312.67921212138998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73.353346283659391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73.353346283659391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-3.694822225952521E-13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318.97291652986593</v>
      </c>
      <c r="T199" s="59">
        <f t="shared" si="204"/>
        <v>338.19413170988122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4.5474735088646412E-13</v>
      </c>
      <c r="AJ199" s="13">
        <f>AI199*VLOOKUP('Données projet'!$B$10,Paramètres!$A$1:$I$89,3,0)*VLOOKUP('Données projet'!$B$10,Paramètres!$A$1:$I$89,5,0)</f>
        <v>2.7193891583010558E-13</v>
      </c>
      <c r="AK199" s="13">
        <f t="shared" si="164"/>
        <v>3.6362267729089988E-12</v>
      </c>
      <c r="AL199" s="20">
        <f t="shared" si="165"/>
        <v>6.8067219078872727E-12</v>
      </c>
      <c r="AM199" s="59">
        <f t="shared" si="193"/>
        <v>293.33333333334014</v>
      </c>
      <c r="AN199" s="59">
        <f ca="1">AVERAGE(OFFSET($AM$3,0,0,'Données projet'!$E$10+1,1))-AVERAGE(OFFSET($H$3,0,0,'Données projet'!$E$10+1,1))</f>
        <v>318.97291652986593</v>
      </c>
      <c r="AO199" s="59">
        <f t="shared" si="205"/>
        <v>338.19413170988122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1.0964342233617326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4.1732259259363567E-24</v>
      </c>
      <c r="AX199" s="21">
        <f t="shared" si="166"/>
        <v>1.0964342233617326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-1.915395841933787E-13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476.64466005965136</v>
      </c>
      <c r="BJ199" s="59">
        <f t="shared" si="206"/>
        <v>312.67921212138998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71.914931904160241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71.914931904160241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-3.694822225952521E-13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318.97291652986593</v>
      </c>
      <c r="T200" s="59">
        <f t="shared" si="204"/>
        <v>338.19413170988122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4.5474735088646412E-13</v>
      </c>
      <c r="AJ200" s="13">
        <f>AI200*VLOOKUP('Données projet'!$B$10,Paramètres!$A$1:$I$89,3,0)*VLOOKUP('Données projet'!$B$10,Paramètres!$A$1:$I$89,5,0)</f>
        <v>2.7193891583010558E-13</v>
      </c>
      <c r="AK200" s="13">
        <f t="shared" si="164"/>
        <v>3.6362267729089988E-12</v>
      </c>
      <c r="AL200" s="20">
        <f t="shared" si="165"/>
        <v>6.8067219078872727E-12</v>
      </c>
      <c r="AM200" s="59">
        <f t="shared" si="193"/>
        <v>293.33333333334014</v>
      </c>
      <c r="AN200" s="59">
        <f ca="1">AVERAGE(OFFSET($AM$3,0,0,'Données projet'!$E$10+1,1))-AVERAGE(OFFSET($H$3,0,0,'Données projet'!$E$10+1,1))</f>
        <v>318.97291652986593</v>
      </c>
      <c r="AO200" s="59">
        <f t="shared" si="205"/>
        <v>338.19413170988122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1.0749338170004508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2.9509163516531066E-24</v>
      </c>
      <c r="AX200" s="21">
        <f t="shared" si="166"/>
        <v>1.0749338170004508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-1.915395841933787E-13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476.64466005965136</v>
      </c>
      <c r="BJ200" s="59">
        <f t="shared" si="206"/>
        <v>312.67921212138998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70.504723953296931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70.504723953296931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-3.694822225952521E-13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318.97291652986593</v>
      </c>
      <c r="T201" s="59">
        <f t="shared" si="204"/>
        <v>338.19413170988122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4.5474735088646412E-13</v>
      </c>
      <c r="AJ201" s="13">
        <f>AI201*VLOOKUP('Données projet'!$B$10,Paramètres!$A$1:$I$89,3,0)*VLOOKUP('Données projet'!$B$10,Paramètres!$A$1:$I$89,5,0)</f>
        <v>2.7193891583010558E-13</v>
      </c>
      <c r="AK201" s="13">
        <f t="shared" si="164"/>
        <v>3.6362267729089988E-12</v>
      </c>
      <c r="AL201" s="20">
        <f t="shared" si="165"/>
        <v>6.8067219078872727E-12</v>
      </c>
      <c r="AM201" s="59">
        <f t="shared" si="193"/>
        <v>293.33333333334014</v>
      </c>
      <c r="AN201" s="59">
        <f ca="1">AVERAGE(OFFSET($AM$3,0,0,'Données projet'!$E$10+1,1))-AVERAGE(OFFSET($H$3,0,0,'Données projet'!$E$10+1,1))</f>
        <v>318.97291652986593</v>
      </c>
      <c r="AO201" s="59">
        <f t="shared" si="205"/>
        <v>338.19413170988122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1.0538550204939607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2.0866129629681784E-24</v>
      </c>
      <c r="AX201" s="21">
        <f t="shared" si="166"/>
        <v>1.0538550204939607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-1.915395841933787E-13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476.64466005965136</v>
      </c>
      <c r="BJ201" s="59">
        <f t="shared" si="206"/>
        <v>312.67921212138998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69.12216932020813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69.12216932020813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-3.694822225952521E-13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318.97291652986593</v>
      </c>
      <c r="T202" s="59">
        <f t="shared" si="204"/>
        <v>338.19413170988122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4.5474735088646412E-13</v>
      </c>
      <c r="AJ202" s="13">
        <f>AI202*VLOOKUP('Données projet'!$B$10,Paramètres!$A$1:$I$89,3,0)*VLOOKUP('Données projet'!$B$10,Paramètres!$A$1:$I$89,5,0)</f>
        <v>2.7193891583010558E-13</v>
      </c>
      <c r="AK202" s="13">
        <f t="shared" si="164"/>
        <v>3.6362267729089988E-12</v>
      </c>
      <c r="AL202" s="20">
        <f t="shared" si="165"/>
        <v>6.8067219078872727E-12</v>
      </c>
      <c r="AM202" s="59">
        <f t="shared" si="193"/>
        <v>293.33333333334014</v>
      </c>
      <c r="AN202" s="59">
        <f ca="1">AVERAGE(OFFSET($AM$3,0,0,'Données projet'!$E$10+1,1))-AVERAGE(OFFSET($H$3,0,0,'Données projet'!$E$10+1,1))</f>
        <v>318.97291652986593</v>
      </c>
      <c r="AO202" s="59">
        <f t="shared" si="205"/>
        <v>338.19413170988122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1.0331895663301667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1.4754581758265533E-24</v>
      </c>
      <c r="AX202" s="21">
        <f t="shared" si="166"/>
        <v>1.0331895663301667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-1.915395841933787E-13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476.64466005965136</v>
      </c>
      <c r="BJ202" s="59">
        <f t="shared" si="206"/>
        <v>312.67921212138998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67.766725740199149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67.766725740199149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-3.694822225952521E-13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318.97291652986593</v>
      </c>
      <c r="T203" s="59">
        <f t="shared" si="204"/>
        <v>338.19413170988122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4.5474735088646412E-13</v>
      </c>
      <c r="AJ203" s="13">
        <f>AI203*VLOOKUP('Données projet'!$B$10,Paramètres!$A$1:$I$89,3,0)*VLOOKUP('Données projet'!$B$10,Paramètres!$A$1:$I$89,5,0)</f>
        <v>2.7193891583010558E-13</v>
      </c>
      <c r="AK203" s="13">
        <f t="shared" si="164"/>
        <v>3.6362267729089988E-12</v>
      </c>
      <c r="AL203" s="20">
        <f t="shared" si="165"/>
        <v>6.8067219078872727E-12</v>
      </c>
      <c r="AM203" s="59">
        <f t="shared" si="193"/>
        <v>293.33333333334014</v>
      </c>
      <c r="AN203" s="59">
        <f ca="1">AVERAGE(OFFSET($AM$3,0,0,'Données projet'!$E$10+1,1))-AVERAGE(OFFSET($H$3,0,0,'Données projet'!$E$10+1,1))</f>
        <v>318.97291652986593</v>
      </c>
      <c r="AO203" s="59">
        <f t="shared" si="205"/>
        <v>338.19413170988122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1.0129293491178422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1.0433064814840892E-24</v>
      </c>
      <c r="AX203" s="21">
        <f t="shared" si="166"/>
        <v>1.0129293491178422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-1.915395841933787E-13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476.64466005965136</v>
      </c>
      <c r="BJ203" s="59">
        <f t="shared" si="206"/>
        <v>312.67921212138998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66.437861582055191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66.437861582055191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-3.694822225952521E-13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1.3763223570336161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1.3763223570336161</v>
      </c>
      <c r="BA205" s="81">
        <f>EXP(LN('Données projet'!B88)/'Données projet'!A88)</f>
        <v>1.2392705892426346</v>
      </c>
      <c r="BV205" s="81">
        <f>EXP(LN('Données projet'!B114)/'Données projet'!A114)</f>
        <v>1.1422113165588705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79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0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79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81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81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0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79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0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N23" sqref="N2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0" t="s">
        <v>271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6</v>
      </c>
      <c r="C6" s="145">
        <f ca="1">IF(OR('Données projet'!B9="",'Données projet'!C9="",'Données projet'!C9=0%),0,Calculateur!S3)</f>
        <v>318.97291652986593</v>
      </c>
      <c r="D6" s="145">
        <f>IF(OR('Données projet'!B9="",'Données projet'!C9="",'Données projet'!C9=0%),0,Calculateur!T3)</f>
        <v>338.19413170988122</v>
      </c>
      <c r="E6" s="145">
        <f ca="1">MIN(C6,D6)</f>
        <v>318.97291652986593</v>
      </c>
      <c r="F6" s="145">
        <f ca="1">E6*B6</f>
        <v>1913.8374991791957</v>
      </c>
      <c r="G6" s="145">
        <f ca="1">F6*(100%-'Données projet'!$C$24)*(100%-'Données projet'!$C$25)*(100%-'Données projet'!$C$26)*(100%-'Données projet'!$C$27)</f>
        <v>1240.1666994681188</v>
      </c>
      <c r="H6" s="146">
        <f>IF(OR('Données projet'!B9="",'Données projet'!C9="",'Données projet'!C9=0%),0,AVERAGE(Calculateur!$AC$3:$AC$33)*B6)</f>
        <v>42.673332695505408</v>
      </c>
      <c r="I6" s="147">
        <f>H6*(100%-'Données projet'!$C$24)*(100%-'Données projet'!$C$25)*(100%-'Données projet'!$C$26)*(100%-'Données projet'!$C$27)</f>
        <v>27.652319586687504</v>
      </c>
      <c r="J6" s="148">
        <f>IF(OR('Données projet'!B9="",'Données projet'!C9="",'Données projet'!C9=0%),0,SUM(Calculateur!$V$3:$V$33)*VLOOKUP('Données projet'!$B$9,Paramètres!$A$1:$I$89,9,0)*B6)</f>
        <v>506.21999999999991</v>
      </c>
      <c r="K6" s="149">
        <f>J6*(100%-'Données projet'!$C$24)*(100%-'Données projet'!$C$25)*(100%-'Données projet'!$C$26)*(100%-'Données projet'!$C$27)</f>
        <v>328.03055999999998</v>
      </c>
      <c r="L6" s="150">
        <f ca="1">G6+I6+K6</f>
        <v>1595.8495790548063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Pin taeda</v>
      </c>
      <c r="B7" s="152">
        <f>'Données projet'!D10</f>
        <v>5.875</v>
      </c>
      <c r="C7" s="145">
        <f ca="1">IF(OR('Données projet'!B10="",'Données projet'!C10="",'Données projet'!C10=0%),0,Calculateur!AN3)</f>
        <v>318.97291652986593</v>
      </c>
      <c r="D7" s="145">
        <f>IF(OR('Données projet'!B10="",'Données projet'!C10="",'Données projet'!C10=0%),0,Calculateur!AO3)</f>
        <v>338.19413170988122</v>
      </c>
      <c r="E7" s="145">
        <f t="shared" ref="E7:E15" ca="1" si="0">MIN(C7,D7)</f>
        <v>318.97291652986593</v>
      </c>
      <c r="F7" s="145">
        <f t="shared" ref="F7:F15" ca="1" si="1">E7*B7</f>
        <v>1873.9658846129623</v>
      </c>
      <c r="G7" s="145">
        <f ca="1">F7*(100%-'Données projet'!$C$24)*(100%-'Données projet'!$C$25)*(100%-'Données projet'!$C$26)*(100%-'Données projet'!$C$27)</f>
        <v>1214.3298932291996</v>
      </c>
      <c r="H7" s="153">
        <f>IF(OR('Données projet'!B10="",'Données projet'!C10="",'Données projet'!C10=0%),0,AVERAGE(Calculateur!$AX$3:$AX$33)*B7)</f>
        <v>41.784304931015711</v>
      </c>
      <c r="I7" s="147">
        <f>H7*(100%-'Données projet'!$C$24)*(100%-'Données projet'!$C$25)*(100%-'Données projet'!$C$26)*(100%-'Données projet'!$C$27)</f>
        <v>27.076229595298184</v>
      </c>
      <c r="J7" s="148">
        <f>IF(OR('Données projet'!B10="",'Données projet'!C10="",'Données projet'!C10=0%),0,SUM(Calculateur!$AQ$3:$AQ$33)*VLOOKUP('Données projet'!$B$10,Paramètres!$A$1:$I$89,9,0)*B7)</f>
        <v>361.25375000000003</v>
      </c>
      <c r="K7" s="149">
        <f>J7*(100%-'Données projet'!$C$24)*(100%-'Données projet'!$C$25)*(100%-'Données projet'!$C$26)*(100%-'Données projet'!$C$27)</f>
        <v>234.09243000000004</v>
      </c>
      <c r="L7" s="150">
        <f t="shared" ref="L7:L15" ca="1" si="2">G7+I7+K7</f>
        <v>1475.4985528244979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pédonculé</v>
      </c>
      <c r="B8" s="152">
        <f>'Données projet'!D11</f>
        <v>0.625</v>
      </c>
      <c r="C8" s="145">
        <f ca="1">IF(OR('Données projet'!B11="",'Données projet'!C11="",'Données projet'!C11=0%),0,Calculateur!BI3)</f>
        <v>476.64466005965136</v>
      </c>
      <c r="D8" s="145">
        <f>IF(OR('Données projet'!B11="",'Données projet'!C11="",'Données projet'!C11=0%),0,Calculateur!BJ3)</f>
        <v>312.67921212138998</v>
      </c>
      <c r="E8" s="145">
        <f t="shared" ca="1" si="0"/>
        <v>312.67921212138998</v>
      </c>
      <c r="F8" s="145">
        <f t="shared" ca="1" si="1"/>
        <v>195.42450757586874</v>
      </c>
      <c r="G8" s="145">
        <f ca="1">F8*(100%-'Données projet'!$C$24)*(100%-'Données projet'!$C$25)*(100%-'Données projet'!$C$26)*(100%-'Données projet'!$C$27)</f>
        <v>126.63508090916297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9.6875</v>
      </c>
      <c r="K8" s="149">
        <f>J8*(100%-'Données projet'!$C$24)*(100%-'Données projet'!$C$25)*(100%-'Données projet'!$C$26)*(100%-'Données projet'!$C$27)</f>
        <v>6.2775000000000007</v>
      </c>
      <c r="L8" s="150">
        <f t="shared" ca="1" si="2"/>
        <v>132.91258090916295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3983.2278913680266</v>
      </c>
      <c r="G16" s="164">
        <f t="shared" ca="1" si="3"/>
        <v>2581.1316736064809</v>
      </c>
      <c r="H16" s="165">
        <f t="shared" si="3"/>
        <v>84.45763762652112</v>
      </c>
      <c r="I16" s="165">
        <f t="shared" si="3"/>
        <v>54.728549181985684</v>
      </c>
      <c r="J16" s="166">
        <f t="shared" si="3"/>
        <v>877.16124999999988</v>
      </c>
      <c r="K16" s="166">
        <f t="shared" si="3"/>
        <v>568.4004900000001</v>
      </c>
      <c r="L16" s="167">
        <f t="shared" ca="1" si="3"/>
        <v>3204.2607127884671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82" t="s">
        <v>246</v>
      </c>
      <c r="G17" s="283"/>
      <c r="H17" s="283"/>
      <c r="I17" s="283"/>
      <c r="J17" s="283"/>
      <c r="K17" s="283"/>
      <c r="L17" s="28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69"/>
      <c r="G18" s="269"/>
      <c r="H18" s="269"/>
      <c r="I18" s="269"/>
      <c r="J18" s="269"/>
      <c r="K18" s="269"/>
      <c r="L18" s="26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pédonculé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0" t="s">
        <v>272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0" t="s">
        <v>315</v>
      </c>
      <c r="I4" s="260"/>
      <c r="K4" s="284" t="s">
        <v>253</v>
      </c>
      <c r="L4" s="285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294" t="s">
        <v>310</v>
      </c>
      <c r="S7" s="295"/>
      <c r="T7" s="295"/>
      <c r="U7" s="295"/>
      <c r="V7" s="29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6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Pin taeda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5.875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pédonculé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0.625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87" t="s">
        <v>318</v>
      </c>
      <c r="H15" s="188"/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87"/>
      <c r="H16" s="188"/>
      <c r="I16" s="189"/>
      <c r="J16" s="200"/>
      <c r="K16" s="206"/>
      <c r="L16" s="284" t="s">
        <v>254</v>
      </c>
      <c r="M16" s="285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87"/>
      <c r="J17" s="200"/>
      <c r="K17" s="206"/>
      <c r="L17" s="257" t="s">
        <v>289</v>
      </c>
      <c r="M17" s="259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87"/>
      <c r="J18" s="200"/>
      <c r="K18" s="206"/>
      <c r="L18" s="257" t="s">
        <v>255</v>
      </c>
      <c r="M18" s="259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87"/>
      <c r="H19" s="210" t="s">
        <v>178</v>
      </c>
      <c r="I19" s="210" t="s">
        <v>287</v>
      </c>
      <c r="J19" s="91"/>
      <c r="K19" s="171"/>
      <c r="L19" s="284" t="s">
        <v>288</v>
      </c>
      <c r="M19" s="285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87"/>
      <c r="H20" s="188"/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/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/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12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/>
      <c r="I23" s="189"/>
      <c r="K23" s="206"/>
      <c r="L23" s="286" t="s">
        <v>260</v>
      </c>
      <c r="M23" s="286"/>
      <c r="N23" s="286"/>
      <c r="O23" s="23"/>
      <c r="P23" s="23"/>
      <c r="Q23" s="232"/>
      <c r="R23" s="23"/>
      <c r="S23" s="36" t="s">
        <v>264</v>
      </c>
      <c r="T23" s="29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9"/>
      <c r="V23" s="29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16</v>
      </c>
      <c r="B24" s="179">
        <f>'Données projet'!D37</f>
        <v>25</v>
      </c>
      <c r="C24" s="191"/>
      <c r="D24" s="180">
        <f t="shared" ref="D24:D42" si="2">B24*C24</f>
        <v>0</v>
      </c>
      <c r="E24" s="191"/>
      <c r="F24" s="231"/>
      <c r="H24" s="188"/>
      <c r="I24" s="189"/>
      <c r="K24" s="206"/>
      <c r="O24" s="23"/>
      <c r="P24" s="23"/>
      <c r="Q24" s="232"/>
      <c r="R24" s="23"/>
      <c r="S24" s="36" t="s">
        <v>261</v>
      </c>
      <c r="T24" s="30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0"/>
      <c r="V24" s="30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20</v>
      </c>
      <c r="B25" s="179">
        <f>'Données projet'!D38</f>
        <v>33.700000000000003</v>
      </c>
      <c r="C25" s="191"/>
      <c r="D25" s="180">
        <f t="shared" si="2"/>
        <v>0</v>
      </c>
      <c r="E25" s="191"/>
      <c r="F25" s="231"/>
      <c r="H25" s="188"/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1">
        <f ca="1">T23-T24</f>
        <v>0</v>
      </c>
      <c r="U25" s="301"/>
      <c r="V25" s="30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24</v>
      </c>
      <c r="B26" s="179">
        <f>'Données projet'!D39</f>
        <v>42.9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88" t="s">
        <v>258</v>
      </c>
      <c r="M26" s="289"/>
      <c r="N26" s="289"/>
      <c r="O26" s="289"/>
      <c r="P26" s="290"/>
      <c r="Q26" s="232"/>
      <c r="R26" s="23"/>
      <c r="S26" s="184" t="s">
        <v>265</v>
      </c>
      <c r="T26" s="298" t="str">
        <f ca="1">IF(T25&lt;0,"Votre projet est additionnel","Votre projet n'est pas additionnel")</f>
        <v>Votre projet n'est pas additionnel</v>
      </c>
      <c r="U26" s="298"/>
      <c r="V26" s="29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28</v>
      </c>
      <c r="B27" s="179">
        <f>'Données projet'!D40</f>
        <v>41.4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1"/>
      <c r="M27" s="292"/>
      <c r="N27" s="292"/>
      <c r="O27" s="292"/>
      <c r="P27" s="293"/>
      <c r="Q27" s="232"/>
      <c r="R27" s="23"/>
      <c r="S27" s="297" t="s">
        <v>267</v>
      </c>
      <c r="T27" s="297"/>
      <c r="U27" s="297"/>
      <c r="V27" s="29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34</v>
      </c>
      <c r="B28" s="179">
        <f>'Données projet'!D41</f>
        <v>59.9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40</v>
      </c>
      <c r="B29" s="179">
        <f>'Données projet'!D42</f>
        <v>34.1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46</v>
      </c>
      <c r="B30" s="179">
        <f>'Données projet'!D43</f>
        <v>21.3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54</v>
      </c>
      <c r="B31" s="179">
        <f>'Données projet'!D44</f>
        <v>17.399999999999999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62</v>
      </c>
      <c r="B32" s="179">
        <f>'Données projet'!D45</f>
        <v>410.00000000000006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Pin taeda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12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16</v>
      </c>
      <c r="B55" s="179">
        <f>'Données projet'!D63</f>
        <v>25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33.700000000000003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24</v>
      </c>
      <c r="B57" s="179">
        <f>'Données projet'!D65</f>
        <v>42.9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28</v>
      </c>
      <c r="B58" s="179">
        <f>'Données projet'!D66</f>
        <v>41.4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34</v>
      </c>
      <c r="B59" s="179">
        <f>'Données projet'!D67</f>
        <v>59.9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34.1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46</v>
      </c>
      <c r="B61" s="179">
        <f>'Données projet'!D69</f>
        <v>21.3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54</v>
      </c>
      <c r="B62" s="179">
        <f>'Données projet'!D70</f>
        <v>17.399999999999999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62</v>
      </c>
      <c r="B63" s="179">
        <f>'Données projet'!D71</f>
        <v>410.00000000000006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pédonculé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20</v>
      </c>
      <c r="B85" s="179">
        <f>'Données projet'!D88</f>
        <v>6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30</v>
      </c>
      <c r="B86" s="179">
        <f>'Données projet'!D89</f>
        <v>56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40</v>
      </c>
      <c r="B87" s="179">
        <f>'Données projet'!D90</f>
        <v>56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50</v>
      </c>
      <c r="B88" s="179">
        <f>'Données projet'!D91</f>
        <v>56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60</v>
      </c>
      <c r="B89" s="179">
        <f>'Données projet'!D92</f>
        <v>56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70</v>
      </c>
      <c r="B90" s="179">
        <f>'Données projet'!D93</f>
        <v>56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80</v>
      </c>
      <c r="B91" s="179">
        <f>'Données projet'!D94</f>
        <v>56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90</v>
      </c>
      <c r="B92" s="179">
        <f>'Données projet'!D95</f>
        <v>56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100</v>
      </c>
      <c r="B93" s="179">
        <f>'Données projet'!D96</f>
        <v>55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110</v>
      </c>
      <c r="B94" s="179">
        <f>'Données projet'!D97</f>
        <v>51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120</v>
      </c>
      <c r="B95" s="179">
        <f>'Données projet'!D98</f>
        <v>47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130</v>
      </c>
      <c r="B96" s="179">
        <f>'Données projet'!D99</f>
        <v>44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str">
        <f>IF(O95+1&lt;=MIN('Données projet'!$E$9:$E$18),O95+1,"STOP")</f>
        <v>STOP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140</v>
      </c>
      <c r="B97" s="179">
        <f>'Données projet'!D100</f>
        <v>41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150</v>
      </c>
      <c r="B98" s="179">
        <f>'Données projet'!D101</f>
        <v>333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40</v>
      </c>
      <c r="B117" s="179">
        <f>'Données projet'!D115</f>
        <v>27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50</v>
      </c>
      <c r="B118" s="179">
        <f>'Données projet'!D116</f>
        <v>28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60</v>
      </c>
      <c r="B119" s="179">
        <f>'Données projet'!D117</f>
        <v>28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70</v>
      </c>
      <c r="B120" s="179">
        <f>'Données projet'!D118</f>
        <v>28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80</v>
      </c>
      <c r="B121" s="179">
        <f>'Données projet'!D119</f>
        <v>28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90</v>
      </c>
      <c r="B122" s="179">
        <f>'Données projet'!D120</f>
        <v>28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100</v>
      </c>
      <c r="B123" s="179">
        <f>'Données projet'!D121</f>
        <v>28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110</v>
      </c>
      <c r="B124" s="179">
        <f>'Données projet'!D122</f>
        <v>27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120</v>
      </c>
      <c r="B125" s="179">
        <f>'Données projet'!D123</f>
        <v>25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130</v>
      </c>
      <c r="B126" s="179">
        <f>'Données projet'!D124</f>
        <v>21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140</v>
      </c>
      <c r="B127" s="179">
        <f>'Données projet'!D125</f>
        <v>17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150</v>
      </c>
      <c r="B128" s="179">
        <f>'Données projet'!D126</f>
        <v>223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2024-10-28T12:43:45Z</cp:lastPrinted>
  <dcterms:created xsi:type="dcterms:W3CDTF">2021-02-01T08:22:39Z</dcterms:created>
  <dcterms:modified xsi:type="dcterms:W3CDTF">2025-02-11T15:31:21Z</dcterms:modified>
</cp:coreProperties>
</file>