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BAVEREZ (Bouclans) - 16283212 LE/"/>
    </mc:Choice>
  </mc:AlternateContent>
  <xr:revisionPtr revIDLastSave="82" documentId="11_A338086FB9F5BCB3E8B934A0CBE13DB2AF048424" xr6:coauthVersionLast="47" xr6:coauthVersionMax="47" xr10:uidLastSave="{5510471D-E950-43FE-9570-D0F3F5A37ABB}"/>
  <bookViews>
    <workbookView xWindow="-28920" yWindow="7515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6" l="1"/>
  <c r="C10" i="1"/>
  <c r="C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HH38" i="2"/>
  <c r="EA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I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HH201" i="2" l="1"/>
  <c r="EA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AH151" i="2" a="1"/>
  <c r="AH151" i="2" s="1"/>
  <c r="BC18" i="2" a="1"/>
  <c r="BC18" i="2" s="1"/>
  <c r="BC151" i="2" a="1"/>
  <c r="BC151" i="2" s="1"/>
  <c r="BC31" i="2" a="1"/>
  <c r="BC31" i="2" s="1"/>
  <c r="BC164" i="2" a="1"/>
  <c r="BC164" i="2" s="1"/>
  <c r="BC82" i="2" a="1"/>
  <c r="BC82" i="2" s="1"/>
  <c r="BC185" i="2" a="1"/>
  <c r="BC185" i="2" s="1"/>
  <c r="BC32" i="2" a="1"/>
  <c r="BC32" i="2" s="1"/>
  <c r="BC68" i="2" a="1"/>
  <c r="BC68" i="2" s="1"/>
  <c r="BC38" i="2" a="1"/>
  <c r="BC38" i="2" s="1"/>
  <c r="BC143" i="2" a="1"/>
  <c r="BC143" i="2" s="1"/>
  <c r="BC55" i="2" a="1"/>
  <c r="BC55" i="2" s="1"/>
  <c r="BC83" i="2" a="1"/>
  <c r="BC83" i="2" s="1"/>
  <c r="BC84" i="2" a="1"/>
  <c r="BC84" i="2" s="1"/>
  <c r="BC130" i="2" a="1"/>
  <c r="BC130" i="2" s="1"/>
  <c r="BC7" i="2" a="1"/>
  <c r="BC7" i="2" s="1"/>
  <c r="BC192" i="2" a="1"/>
  <c r="BC192" i="2" s="1"/>
  <c r="AH62" i="2" a="1"/>
  <c r="AH62" i="2" s="1"/>
  <c r="AH199" i="2" a="1"/>
  <c r="AH199" i="2" s="1"/>
  <c r="AH166" i="2" a="1"/>
  <c r="AH166" i="2" s="1"/>
  <c r="BC47" i="2" a="1"/>
  <c r="BC47" i="2" s="1"/>
  <c r="BC117" i="2" a="1"/>
  <c r="BC117" i="2" s="1"/>
  <c r="BC58" i="2" a="1"/>
  <c r="BC58" i="2" s="1"/>
  <c r="BC181" i="2" a="1"/>
  <c r="BC181" i="2" s="1"/>
  <c r="BC34" i="2" a="1"/>
  <c r="BC34" i="2" s="1"/>
  <c r="BC65" i="2" a="1"/>
  <c r="BC65" i="2" s="1"/>
  <c r="BC114" i="2" a="1"/>
  <c r="BC114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<sst xmlns="http://schemas.openxmlformats.org/spreadsheetml/2006/main" count="1175" uniqueCount="327">
  <si>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</si>
  <si>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</si>
  <si>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</si>
  <si>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</si>
  <si>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</si>
  <si>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</si>
  <si>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</si>
  <si>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</si>
  <si>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</si>
  <si>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</si>
  <si>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</si>
  <si>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</si>
  <si>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</si>
  <si>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</si>
  <si>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</si>
  <si>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</si>
  <si>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</si>
  <si>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</si>
  <si>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</si>
  <si>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</si>
  <si>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</si>
  <si>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</si>
  <si>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</si>
  <si>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</si>
  <si>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</si>
  <si>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</si>
  <si>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</si>
  <si>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</si>
  <si>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</si>
  <si>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</si>
  <si>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</si>
  <si>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</si>
  <si>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</si>
  <si>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</si>
  <si>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</si>
  <si>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</si>
  <si>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</si>
  <si>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</si>
  <si>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</si>
  <si>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</si>
  <si>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</si>
  <si>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</si>
  <si>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</si>
  <si>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</si>
  <si>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</si>
  <si>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</si>
  <si>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</si>
  <si>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</si>
  <si>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</si>
  <si>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</si>
  <si>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</si>
  <si>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</si>
  <si>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</si>
  <si>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</si>
  <si>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</si>
  <si>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</si>
  <si>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</si>
  <si>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</si>
  <si>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</si>
  <si>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</si>
  <si>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</si>
  <si>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</si>
  <si>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</si>
  <si>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</si>
  <si>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</si>
  <si>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</si>
  <si>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</si>
  <si>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</si>
  <si>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</si>
  <si>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</si>
  <si>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</si>
  <si>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</si>
  <si>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</si>
  <si>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</si>
  <si>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</si>
  <si>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</si>
  <si>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</si>
  <si>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</si>
  <si>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</si>
  <si>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</si>
  <si>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</si>
  <si>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</si>
  <si>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</si>
  <si>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</si>
  <si>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</si>
  <si>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</si>
  <si>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</si>
  <si>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</si>
  <si>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</si>
  <si>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</si>
  <si>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</si>
  <si>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</si>
  <si>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</si>
  <si>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</si>
  <si>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</si>
  <si>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</si>
  <si>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</si>
  <si>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</si>
  <si>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</si>
  <si>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</si>
  <si>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</si>
  <si>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</si>
  <si>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</si>
  <si>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</si>
  <si>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</si>
  <si>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</si>
  <si>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</si>
  <si>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</si>
  <si>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</si>
  <si>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</si>
  <si>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</si>
  <si>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</si>
  <si>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</si>
  <si>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</si>
  <si>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</si>
  <si>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</si>
  <si>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</si>
  <si>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</si>
  <si>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</si>
  <si>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</si>
  <si>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</si>
  <si>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</si>
  <si>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</si>
  <si>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</si>
  <si>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</si>
  <si>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</si>
  <si>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</si>
  <si>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</si>
  <si>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</si>
  <si>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</si>
  <si>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</si>
  <si>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</si>
  <si>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</si>
  <si>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</si>
  <si>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</si>
  <si>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</si>
  <si>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</si>
  <si>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</si>
  <si>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</si>
  <si>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</si>
  <si>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</si>
  <si>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</si>
  <si>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</si>
  <si>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</si>
  <si>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</si>
  <si>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</si>
  <si>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</si>
  <si>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</si>
  <si>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</si>
  <si>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</si>
  <si>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</si>
  <si>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</si>
  <si>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</si>
  <si>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</si>
  <si>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</si>
  <si>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</si>
  <si>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</si>
  <si>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</si>
  <si>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</si>
  <si>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</si>
  <si>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</si>
  <si>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</si>
  <si>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</si>
  <si>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</si>
  <si>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</si>
  <si>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</si>
  <si>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</si>
  <si>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</si>
  <si>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</si>
  <si>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</si>
  <si>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</si>
  <si>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</si>
  <si>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</si>
  <si>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</si>
  <si>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</si>
  <si>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</si>
  <si>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</si>
  <si>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</si>
  <si>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</si>
  <si>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</si>
  <si>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</si>
  <si>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</si>
  <si>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</si>
  <si>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</si>
  <si>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</si>
  <si>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</si>
  <si>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</si>
  <si>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</si>
  <si>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</si>
  <si>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</si>
  <si>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</si>
  <si>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</si>
  <si>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</si>
  <si>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</si>
  <si>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</si>
  <si>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</si>
  <si>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</si>
  <si>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</si>
  <si>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</si>
  <si>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</si>
  <si>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</si>
  <si>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</si>
  <si>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</si>
  <si>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</si>
  <si>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</si>
  <si>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</si>
  <si>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</si>
  <si>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</si>
  <si>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</si>
  <si>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</si>
  <si>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</si>
  <si>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</si>
  <si>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</si>
  <si>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</si>
  <si>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</si>
  <si>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</si>
  <si>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</si>
  <si>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</si>
  <si>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</si>
  <si>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</si>
  <si>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</si>
  <si>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</si>
  <si>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</si>
  <si>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</si>
  <si>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</si>
  <si>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</si>
  <si>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</si>
  <si>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</si>
  <si>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</si>
  <si>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</si>
  <si>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</si>
  <si>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</si>
  <si>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</si>
  <si>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</si>
  <si>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</si>
  <si>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</si>
  <si>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</si>
  <si>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</si>
  <si>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</si>
  <si>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</si>
  <si>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</si>
  <si>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</si>
  <si>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</si>
  <si>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</si>
  <si>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</si>
  <si>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</si>
  <si>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</si>
  <si>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</si>
  <si>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</si>
  <si>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</si>
  <si>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</si>
  <si>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</si>
  <si>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</si>
  <si>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</si>
  <si>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</si>
  <si>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</si>
  <si>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</si>
  <si>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</si>
  <si>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</si>
  <si>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</si>
  <si>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</si>
  <si>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</si>
  <si>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</si>
  <si>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</si>
  <si>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</si>
  <si>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</si>
  <si>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</si>
  <si>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</si>
  <si>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</si>
  <si>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</si>
  <si>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</si>
  <si>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</si>
  <si>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</si>
  <si>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</si>
  <si>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</si>
  <si>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</si>
  <si>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</si>
  <si>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</si>
  <si>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</si>
  <si>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</si>
  <si>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</si>
  <si>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</si>
  <si>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</si>
  <si>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</si>
  <si>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</si>
  <si>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</si>
  <si>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</si>
  <si>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</si>
  <si>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</si>
  <si>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</si>
  <si>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</si>
  <si>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</si>
  <si>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</si>
  <si>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</si>
  <si>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</si>
  <si>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</si>
  <si>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</si>
  <si>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</si>
  <si>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</si>
  <si>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</si>
  <si>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</si>
  <si>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</si>
  <si>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</si>
  <si>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</si>
  <si>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</si>
  <si>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</si>
  <si>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</si>
  <si>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</si>
  <si>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</si>
  <si>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</si>
  <si>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</si>
  <si>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</si>
  <si>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</si>
  <si>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</si>
  <si>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</si>
  <si>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</si>
  <si>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</si>
  <si>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</si>
  <si>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</si>
  <si>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</si>
  <si>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</si>
  <si>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</si>
  <si>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</si>
  <si>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</si>
  <si>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</si>
  <si>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UK For. Com._F10</t>
  </si>
  <si>
    <t>ONF_N.E Fr._F2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</si>
</sst>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1.1479655194098737E-11</c:v>
                </c:pt>
                <c:pt idx="163">
                  <c:v>1.1479655194098737E-11</c:v>
                </c:pt>
                <c:pt idx="164">
                  <c:v>1.1479655194098737E-11</c:v>
                </c:pt>
                <c:pt idx="165">
                  <c:v>1.1479655194098737E-11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6640625" customWidth="1"/>
    <col min="2" max="13" width="15.8632812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K67" sqref="K67"/>
    </sheetView>
  </sheetViews>
  <sheetFormatPr baseColWidth="10" defaultColWidth="11.46484375" defaultRowHeight="14.25" x14ac:dyDescent="0.45"/>
  <cols>
    <col min="1" max="1" width="13.66406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66406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3.03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f>1200/4800</f>
        <v>0.25</v>
      </c>
      <c r="D9" s="33">
        <f t="shared" ref="D9:D18" si="0">C9*$C$5</f>
        <v>0.75749999999999995</v>
      </c>
      <c r="E9" s="34">
        <v>161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18</v>
      </c>
      <c r="C10" s="32">
        <f>2400/4800</f>
        <v>0.5</v>
      </c>
      <c r="D10" s="33">
        <f t="shared" si="0"/>
        <v>1.5149999999999999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23</v>
      </c>
      <c r="C11" s="32">
        <v>0.25</v>
      </c>
      <c r="D11" s="33">
        <f t="shared" si="0"/>
        <v>0.75749999999999995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3.03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44</v>
      </c>
      <c r="B36" s="60">
        <v>201.77</v>
      </c>
      <c r="C36" s="60">
        <v>1</v>
      </c>
      <c r="D36" s="60">
        <v>76.680000000000007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4.5856818181818184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51</v>
      </c>
      <c r="B37" s="60">
        <v>192.85</v>
      </c>
      <c r="C37" s="60">
        <v>2</v>
      </c>
      <c r="D37" s="60">
        <v>48.769999999999982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9.6799999999999979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59</v>
      </c>
      <c r="B38" s="60">
        <v>217.3</v>
      </c>
      <c r="C38" s="60">
        <v>3</v>
      </c>
      <c r="D38" s="60">
        <v>52.75</v>
      </c>
      <c r="E38" s="51">
        <v>0.35</v>
      </c>
      <c r="F38" s="51">
        <v>0.2</v>
      </c>
      <c r="G38" s="51">
        <v>0.1</v>
      </c>
      <c r="H38" s="51">
        <v>0.35</v>
      </c>
      <c r="I38" s="53">
        <f t="shared" si="1"/>
        <v>9.1524999999999999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67</v>
      </c>
      <c r="B39" s="60">
        <v>233.08</v>
      </c>
      <c r="C39" s="60">
        <v>4</v>
      </c>
      <c r="D39" s="60">
        <v>44.170000000000016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8.5662500000000001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75</v>
      </c>
      <c r="B40" s="60">
        <v>254.89</v>
      </c>
      <c r="C40" s="60">
        <v>5</v>
      </c>
      <c r="D40" s="60">
        <v>43.289999999999992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8.2474999999999987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283.77</v>
      </c>
      <c r="C41" s="60">
        <v>6</v>
      </c>
      <c r="D41" s="60">
        <v>49.669999999999987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8.0188888888888883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93</v>
      </c>
      <c r="B42" s="60">
        <v>303.37</v>
      </c>
      <c r="C42" s="60">
        <v>7</v>
      </c>
      <c r="D42" s="60">
        <v>42.910000000000025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7.6966666666666681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103</v>
      </c>
      <c r="B43" s="60">
        <v>337.71</v>
      </c>
      <c r="C43" s="60">
        <v>8</v>
      </c>
      <c r="D43" s="60">
        <v>56.789999999999964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7.7249999999999996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113</v>
      </c>
      <c r="B44" s="60">
        <v>356.05</v>
      </c>
      <c r="C44" s="60">
        <v>9</v>
      </c>
      <c r="D44" s="60">
        <v>45.660000000000025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7.5129999999999999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125</v>
      </c>
      <c r="B45" s="60">
        <v>404.61</v>
      </c>
      <c r="C45" s="60">
        <v>10</v>
      </c>
      <c r="D45" s="60">
        <v>70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7.8516666666666692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137</v>
      </c>
      <c r="B46" s="60">
        <v>428.03</v>
      </c>
      <c r="C46" s="60">
        <v>11</v>
      </c>
      <c r="D46" s="60">
        <v>74.669999999999959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7.7849999999999966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149</v>
      </c>
      <c r="B47" s="60">
        <v>444.56</v>
      </c>
      <c r="C47" s="60">
        <v>12</v>
      </c>
      <c r="D47" s="60">
        <v>176.67000000000002</v>
      </c>
      <c r="E47" s="51">
        <v>0.45</v>
      </c>
      <c r="F47" s="51">
        <v>0.05</v>
      </c>
      <c r="G47" s="51">
        <v>0.05</v>
      </c>
      <c r="H47" s="51">
        <v>0.45</v>
      </c>
      <c r="I47" s="49">
        <f t="shared" si="1"/>
        <v>7.5999999999999988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153</v>
      </c>
      <c r="B48" s="60">
        <v>286.3</v>
      </c>
      <c r="C48" s="60">
        <v>13</v>
      </c>
      <c r="D48" s="60">
        <v>102.89000000000001</v>
      </c>
      <c r="E48" s="51">
        <v>0.45</v>
      </c>
      <c r="F48" s="51">
        <v>0.05</v>
      </c>
      <c r="G48" s="51">
        <v>0.05</v>
      </c>
      <c r="H48" s="51">
        <v>0.45</v>
      </c>
      <c r="I48" s="49">
        <f t="shared" si="1"/>
        <v>4.6025000000000063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157</v>
      </c>
      <c r="B49" s="60">
        <v>194.52</v>
      </c>
      <c r="C49" s="60">
        <v>14</v>
      </c>
      <c r="D49" s="60">
        <v>67.13000000000001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2.7775000000000034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161</v>
      </c>
      <c r="B50" s="50">
        <v>134.26</v>
      </c>
      <c r="C50" s="50">
        <v>15</v>
      </c>
      <c r="D50" s="50">
        <v>134.26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1.7174999999999976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21</v>
      </c>
      <c r="B62" s="60">
        <v>195.31</v>
      </c>
      <c r="C62" s="60">
        <v>1</v>
      </c>
      <c r="D62" s="60">
        <v>64.599999999999994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9.300476190476191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28</v>
      </c>
      <c r="B63" s="60">
        <v>282.01</v>
      </c>
      <c r="C63" s="60">
        <v>2</v>
      </c>
      <c r="D63" s="60">
        <v>67.639999999999986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21.61428571428571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35</v>
      </c>
      <c r="B64" s="60">
        <v>377.23</v>
      </c>
      <c r="C64" s="60">
        <v>3</v>
      </c>
      <c r="D64" s="60">
        <v>86.700000000000045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23.265714285714289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42</v>
      </c>
      <c r="B65" s="60">
        <v>450.49</v>
      </c>
      <c r="C65" s="60">
        <v>4</v>
      </c>
      <c r="D65" s="60">
        <v>100.04000000000002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22.851428571428578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49</v>
      </c>
      <c r="B66" s="60">
        <v>504.24</v>
      </c>
      <c r="C66" s="60">
        <v>5</v>
      </c>
      <c r="D66" s="60">
        <v>112.69999999999999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21.970000000000002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56</v>
      </c>
      <c r="B67" s="60">
        <v>534.03</v>
      </c>
      <c r="C67" s="60">
        <v>6</v>
      </c>
      <c r="D67" s="60">
        <v>94.669999999999959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20.355714285714278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63</v>
      </c>
      <c r="B68" s="60">
        <v>569.67999999999995</v>
      </c>
      <c r="C68" s="60">
        <v>7</v>
      </c>
      <c r="D68" s="60">
        <v>99.599999999999966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18.617142857142849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70</v>
      </c>
      <c r="B69" s="50">
        <v>586.86</v>
      </c>
      <c r="C69" s="50">
        <v>8</v>
      </c>
      <c r="D69" s="50">
        <v>586.86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16.682857142857149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15</v>
      </c>
      <c r="B88" s="60">
        <v>65</v>
      </c>
      <c r="C88" s="60">
        <v>1</v>
      </c>
      <c r="D88" s="60">
        <v>32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20</v>
      </c>
      <c r="B89" s="60">
        <v>102</v>
      </c>
      <c r="C89" s="60">
        <v>2</v>
      </c>
      <c r="D89" s="60">
        <v>35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25</v>
      </c>
      <c r="B90" s="60">
        <v>141</v>
      </c>
      <c r="C90" s="60">
        <v>3</v>
      </c>
      <c r="D90" s="60">
        <v>35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177</v>
      </c>
      <c r="C91" s="60">
        <v>4</v>
      </c>
      <c r="D91" s="60">
        <v>35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35</v>
      </c>
      <c r="B92" s="60">
        <v>206</v>
      </c>
      <c r="C92" s="60">
        <v>5</v>
      </c>
      <c r="D92" s="60">
        <v>35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40</v>
      </c>
      <c r="B93" s="60">
        <v>228</v>
      </c>
      <c r="C93" s="60">
        <v>6</v>
      </c>
      <c r="D93" s="60">
        <v>35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45</v>
      </c>
      <c r="B94" s="60">
        <v>242</v>
      </c>
      <c r="C94" s="60">
        <v>7</v>
      </c>
      <c r="D94" s="60">
        <v>24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50</v>
      </c>
      <c r="B95" s="60">
        <v>261</v>
      </c>
      <c r="C95" s="60">
        <v>8</v>
      </c>
      <c r="D95" s="60">
        <v>19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55</v>
      </c>
      <c r="B96" s="60">
        <v>279</v>
      </c>
      <c r="C96" s="60">
        <v>9</v>
      </c>
      <c r="D96" s="60">
        <v>16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60</v>
      </c>
      <c r="B97" s="60">
        <v>294</v>
      </c>
      <c r="C97" s="60">
        <v>10</v>
      </c>
      <c r="D97" s="60">
        <v>14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65</v>
      </c>
      <c r="B98" s="60">
        <v>306</v>
      </c>
      <c r="C98" s="60">
        <v>11</v>
      </c>
      <c r="D98" s="60">
        <v>13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70</v>
      </c>
      <c r="B99" s="60">
        <v>316</v>
      </c>
      <c r="C99" s="60">
        <v>12</v>
      </c>
      <c r="D99" s="60">
        <v>13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75</v>
      </c>
      <c r="B100" s="60">
        <v>324</v>
      </c>
      <c r="C100" s="60">
        <v>13</v>
      </c>
      <c r="D100" s="60">
        <v>12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80</v>
      </c>
      <c r="B101" s="60">
        <v>330</v>
      </c>
      <c r="C101" s="60">
        <v>14</v>
      </c>
      <c r="D101" s="60">
        <v>330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6640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6640625" style="4" bestFit="1" customWidth="1"/>
    <col min="25" max="25" width="14.53125" style="4" bestFit="1" customWidth="1"/>
    <col min="26" max="26" width="12.46484375" style="4" bestFit="1" customWidth="1"/>
    <col min="27" max="27" width="9.6640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6640625" style="4" bestFit="1" customWidth="1"/>
    <col min="46" max="46" width="8.46484375" style="4" bestFit="1" customWidth="1"/>
    <col min="47" max="47" width="9.46484375" style="4" bestFit="1" customWidth="1"/>
    <col min="48" max="48" width="9.6640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6640625" style="4" bestFit="1" customWidth="1"/>
    <col min="67" max="67" width="8.46484375" style="4" bestFit="1" customWidth="1"/>
    <col min="68" max="68" width="9.46484375" style="4" bestFit="1" customWidth="1"/>
    <col min="69" max="69" width="9.6640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6640625" style="4" bestFit="1" customWidth="1"/>
    <col min="88" max="88" width="8.46484375" style="4" bestFit="1" customWidth="1"/>
    <col min="89" max="89" width="9.46484375" style="4" bestFit="1" customWidth="1"/>
    <col min="90" max="90" width="9.6640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6640625" style="4" bestFit="1" customWidth="1"/>
    <col min="109" max="109" width="8.46484375" style="4" bestFit="1" customWidth="1"/>
    <col min="110" max="110" width="9.46484375" style="4" bestFit="1" customWidth="1"/>
    <col min="111" max="111" width="9.6640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6640625" style="4" bestFit="1" customWidth="1"/>
    <col min="130" max="130" width="8.46484375" style="4" bestFit="1" customWidth="1"/>
    <col min="131" max="131" width="9.46484375" style="4" bestFit="1" customWidth="1"/>
    <col min="132" max="132" width="9.6640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6640625" style="4" bestFit="1" customWidth="1"/>
    <col min="151" max="151" width="8.46484375" style="4" bestFit="1" customWidth="1"/>
    <col min="152" max="152" width="9.46484375" style="4" bestFit="1" customWidth="1"/>
    <col min="153" max="153" width="9.6640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6640625" style="4" bestFit="1" customWidth="1"/>
    <col min="172" max="172" width="8.1328125" style="4" bestFit="1" customWidth="1"/>
    <col min="173" max="173" width="9.46484375" style="4" bestFit="1" customWidth="1"/>
    <col min="174" max="174" width="9.6640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6640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6640625" style="4" bestFit="1" customWidth="1"/>
    <col min="214" max="214" width="8.46484375" style="4" bestFit="1" customWidth="1"/>
    <col min="215" max="215" width="9.46484375" style="4" bestFit="1" customWidth="1"/>
    <col min="216" max="216" width="9.6640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Douglas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Erable sycomore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298.01613436147056</v>
      </c>
      <c r="T3" s="59">
        <f>IF('Données projet'!E9&gt;30,$R$33-$H$33,LOOKUP('Données projet'!$E$9,$A$3:$A$203,R3:R203)-LOOKUP('Données projet'!$E$9,$A$3:$A$203,$H$3:$H$203))</f>
        <v>212.70221374431253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287.413090017863</v>
      </c>
      <c r="AO3" s="59">
        <f>IF('Données projet'!E10&gt;30,$AM$33-$H$33,LOOKUP('Données projet'!$E$10,$A$3:$A$203,AM3:AM203)-LOOKUP('Données projet'!$E$10,$A$3:$A$203,$H$3:$H$203))</f>
        <v>258.48456031927117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243.33915530322201</v>
      </c>
      <c r="BJ3" s="59">
        <f>IF('Données projet'!E11&gt;30,$BH$33-$H$33,LOOKUP('Données projet'!$E$11,$A$3:$A$203,BH3:BH203)-LOOKUP('Données projet'!$E$11,$A$3:$A$203,$H$3:$H$203))</f>
        <v>247.73814704672577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4.5856818181818184</v>
      </c>
      <c r="N4" s="13">
        <f>IF('Données projet'!$A$36&gt;35,N3+M4-V3,IF(A4&lt;'Données projet'!$A$36,$K$205^A4,IF(A4='Données projet'!$A$36,'Données projet'!$B$36,N3+M4-V3)))</f>
        <v>4.5856818181818184</v>
      </c>
      <c r="O4" s="13">
        <f>N4*VLOOKUP('Données projet'!$B$9,Paramètres!$A$1:$I$89,3,0)*VLOOKUP('Données projet'!$B$9,Paramètres!$A$1:$I$89,5,0)</f>
        <v>4.1491249090909088</v>
      </c>
      <c r="P4" s="13">
        <f>EXP(-1.0587+0.8836*LN(O4)+0.284)</f>
        <v>1.6202365934641478</v>
      </c>
      <c r="Q4" s="20">
        <f t="shared" ref="Q4:Q34" si="2">(O4+P4)*0.475*44/12</f>
        <v>10.048304616950057</v>
      </c>
      <c r="R4" s="59">
        <f t="shared" si="0"/>
        <v>303.38163795028339</v>
      </c>
      <c r="S4" s="59">
        <f ca="1">AVERAGE(OFFSET($R$3,0,0,'Données projet'!$E$9+1,1))-AVERAGE(OFFSET($H$3,0,0,'Données projet'!$E$9+1,1))</f>
        <v>298.01613436147056</v>
      </c>
      <c r="T4" s="59">
        <f>$T$3</f>
        <v>212.70221374431253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9.300476190476191</v>
      </c>
      <c r="AI4" s="13">
        <f>IF('Données projet'!$A$62&gt;35,AI3+AH4-AQ3,IF(A4&lt;'Données projet'!$A$62,$AF$205^A4,IF(A4='Données projet'!$A$62,'Données projet'!$B$62,AI3+AH4-AQ3)))</f>
        <v>1.2855297099408214</v>
      </c>
      <c r="AJ4" s="13">
        <f>AI4*VLOOKUP('Données projet'!$B$10,Paramètres!$A$1:$I$89,3,0)*VLOOKUP('Données projet'!$B$10,Paramètres!$A$1:$I$89,5,0)</f>
        <v>0.71861110785691917</v>
      </c>
      <c r="AK4" s="13">
        <f>EXP(-1.0587+0.8836*LN(AJ4)+0.284)</f>
        <v>0.34415184160564588</v>
      </c>
      <c r="AL4" s="20">
        <f t="shared" ref="AL4:AL67" si="4">(AJ4+AK4)*0.475*44/12</f>
        <v>1.8509788036473005</v>
      </c>
      <c r="AM4" s="59">
        <f t="shared" ref="AM4:AM67" si="5">AL4+(AD4+AE4)*44/12</f>
        <v>295.18431213698062</v>
      </c>
      <c r="AN4" s="59">
        <f ca="1">AVERAGE(OFFSET($AM$3,0,0,'Données projet'!$E$10+1,1))-AVERAGE(OFFSET($H$3,0,0,'Données projet'!$E$10+1,1))</f>
        <v>287.413090017863</v>
      </c>
      <c r="AO4" s="59">
        <f>$AO$3</f>
        <v>258.48456031927117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1.0508861416292423</v>
      </c>
      <c r="BF4" s="13">
        <f>EXP(-1.0587+0.8836*LN(BE4)+0.284)</f>
        <v>0.48150261531866312</v>
      </c>
      <c r="BG4" s="20">
        <f t="shared" ref="BG4:BG67" si="7">(BE4+BF4)*0.475*44/12</f>
        <v>2.6689104183509347</v>
      </c>
      <c r="BH4" s="59">
        <f t="shared" ref="BH4:BH67" si="8">BG4+(AY4+AZ4)*44/12</f>
        <v>296.00224375168426</v>
      </c>
      <c r="BI4" s="59">
        <f ca="1">AVERAGE(OFFSET($BH$3,0,0,'Données projet'!$E$11+1,1))-AVERAGE(OFFSET($H$3,0,0,'Données projet'!$E$11+1,1))</f>
        <v>243.33915530322201</v>
      </c>
      <c r="BJ4" s="59">
        <f>$BJ$3</f>
        <v>247.73814704672577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4.5856818181818184</v>
      </c>
      <c r="N5" s="13">
        <f>IF('Données projet'!$A$36&gt;35,N4+M5-V4,IF(A5&lt;'Données projet'!$A$36,$K$205^A5,IF(A5='Données projet'!$A$36,'Données projet'!$B$36,N4+M5-V4)))</f>
        <v>9.1713636363636368</v>
      </c>
      <c r="O5" s="13">
        <f>N5*VLOOKUP('Données projet'!$B$9,Paramètres!$A$1:$I$89,3,0)*VLOOKUP('Données projet'!$B$9,Paramètres!$A$1:$I$89,5,0)</f>
        <v>8.2982498181818176</v>
      </c>
      <c r="P5" s="13">
        <f t="shared" ref="P5:P68" si="33">EXP(-1.0587+0.8836*LN(O5)+0.284)</f>
        <v>2.9892933828641128</v>
      </c>
      <c r="Q5" s="20">
        <f t="shared" si="2"/>
        <v>19.659137741821663</v>
      </c>
      <c r="R5" s="59">
        <f t="shared" si="0"/>
        <v>312.99247107515498</v>
      </c>
      <c r="S5" s="59">
        <f ca="1">AVERAGE(OFFSET($R$3,0,0,'Données projet'!$E$9+1,1))-AVERAGE(OFFSET($H$3,0,0,'Données projet'!$E$9+1,1))</f>
        <v>298.01613436147056</v>
      </c>
      <c r="T5" s="59">
        <f t="shared" ref="T5:T68" si="34">$T$3</f>
        <v>212.70221374431253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9.300476190476191</v>
      </c>
      <c r="AI5" s="13">
        <f>IF('Données projet'!$A$62&gt;35,AI4+AH5-AQ4,IF(A5&lt;'Données projet'!$A$62,$AF$205^A5,IF(A5='Données projet'!$A$62,'Données projet'!$B$62,AI4+AH5-AQ4)))</f>
        <v>1.6525866351405323</v>
      </c>
      <c r="AJ5" s="13">
        <f>AI5*VLOOKUP('Données projet'!$B$10,Paramètres!$A$1:$I$89,3,0)*VLOOKUP('Données projet'!$B$10,Paramètres!$A$1:$I$89,5,0)</f>
        <v>0.92379592904355756</v>
      </c>
      <c r="AK5" s="13">
        <f t="shared" ref="AK5:AK68" si="35">EXP(-1.0587+0.8836*LN(AJ5)+0.284)</f>
        <v>0.42967002528896309</v>
      </c>
      <c r="AL5" s="20">
        <f t="shared" si="4"/>
        <v>2.35728653712914</v>
      </c>
      <c r="AM5" s="59">
        <f t="shared" si="5"/>
        <v>295.69061987046246</v>
      </c>
      <c r="AN5" s="59">
        <f ca="1">AVERAGE(OFFSET($AM$3,0,0,'Données projet'!$E$10+1,1))-AVERAGE(OFFSET($H$3,0,0,'Données projet'!$E$10+1,1))</f>
        <v>287.413090017863</v>
      </c>
      <c r="AO5" s="59">
        <f t="shared" ref="AO5:AO68" si="36">$AO$3</f>
        <v>258.48456031927117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1.3880865795228707</v>
      </c>
      <c r="BF5" s="13">
        <f t="shared" ref="BF5:BF68" si="37">EXP(-1.0587+0.8836*LN(BE5)+0.284)</f>
        <v>0.61573144482258502</v>
      </c>
      <c r="BG5" s="20">
        <f t="shared" si="7"/>
        <v>3.4899830590683352</v>
      </c>
      <c r="BH5" s="59">
        <f t="shared" si="8"/>
        <v>296.82331639240164</v>
      </c>
      <c r="BI5" s="59">
        <f ca="1">AVERAGE(OFFSET($BH$3,0,0,'Données projet'!$E$11+1,1))-AVERAGE(OFFSET($H$3,0,0,'Données projet'!$E$11+1,1))</f>
        <v>243.33915530322201</v>
      </c>
      <c r="BJ5" s="59">
        <f t="shared" ref="BJ5:BJ68" si="38">$BJ$3</f>
        <v>247.73814704672577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4.5856818181818184</v>
      </c>
      <c r="N6" s="13">
        <f>IF('Données projet'!$A$36&gt;35,N5+M6-V5,IF(A6&lt;'Données projet'!$A$36,$K$205^A6,IF(A6='Données projet'!$A$36,'Données projet'!$B$36,N5+M6-V5)))</f>
        <v>13.757045454545455</v>
      </c>
      <c r="O6" s="13">
        <f>N6*VLOOKUP('Données projet'!$B$9,Paramètres!$A$1:$I$89,3,0)*VLOOKUP('Données projet'!$B$9,Paramètres!$A$1:$I$89,5,0)</f>
        <v>12.447374727272727</v>
      </c>
      <c r="P6" s="13">
        <f t="shared" si="33"/>
        <v>4.2772317039887771</v>
      </c>
      <c r="Q6" s="20">
        <f t="shared" si="2"/>
        <v>29.128689534447123</v>
      </c>
      <c r="R6" s="59">
        <f t="shared" si="0"/>
        <v>322.46202286778043</v>
      </c>
      <c r="S6" s="59">
        <f ca="1">AVERAGE(OFFSET($R$3,0,0,'Données projet'!$E$9+1,1))-AVERAGE(OFFSET($H$3,0,0,'Données projet'!$E$9+1,1))</f>
        <v>298.01613436147056</v>
      </c>
      <c r="T6" s="59">
        <f t="shared" si="34"/>
        <v>212.70221374431253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9.300476190476191</v>
      </c>
      <c r="AI6" s="13">
        <f>IF('Données projet'!$A$62&gt;35,AI5+AH6-AQ5,IF(A6&lt;'Données projet'!$A$62,$AF$205^A6,IF(A6='Données projet'!$A$62,'Données projet'!$B$62,AI5+AH6-AQ5)))</f>
        <v>2.1244492177242864</v>
      </c>
      <c r="AJ6" s="13">
        <f>AI6*VLOOKUP('Données projet'!$B$10,Paramètres!$A$1:$I$89,3,0)*VLOOKUP('Données projet'!$B$10,Paramètres!$A$1:$I$89,5,0)</f>
        <v>1.1875671127078762</v>
      </c>
      <c r="AK6" s="13">
        <f t="shared" si="35"/>
        <v>0.53643859573869412</v>
      </c>
      <c r="AL6" s="20">
        <f t="shared" si="4"/>
        <v>3.0026432755444432</v>
      </c>
      <c r="AM6" s="59">
        <f t="shared" si="5"/>
        <v>296.33597660887779</v>
      </c>
      <c r="AN6" s="59">
        <f ca="1">AVERAGE(OFFSET($AM$3,0,0,'Données projet'!$E$10+1,1))-AVERAGE(OFFSET($H$3,0,0,'Données projet'!$E$10+1,1))</f>
        <v>287.413090017863</v>
      </c>
      <c r="AO6" s="59">
        <f t="shared" si="36"/>
        <v>258.48456031927117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1.833485356714583</v>
      </c>
      <c r="BF6" s="13">
        <f t="shared" si="37"/>
        <v>0.78737934142351296</v>
      </c>
      <c r="BG6" s="20">
        <f t="shared" si="7"/>
        <v>4.5646726825905164</v>
      </c>
      <c r="BH6" s="59">
        <f t="shared" si="8"/>
        <v>297.89800601592384</v>
      </c>
      <c r="BI6" s="59">
        <f ca="1">AVERAGE(OFFSET($BH$3,0,0,'Données projet'!$E$11+1,1))-AVERAGE(OFFSET($H$3,0,0,'Données projet'!$E$11+1,1))</f>
        <v>243.33915530322201</v>
      </c>
      <c r="BJ6" s="59">
        <f t="shared" si="38"/>
        <v>247.73814704672577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4.5856818181818184</v>
      </c>
      <c r="N7" s="13">
        <f>IF('Données projet'!$A$36&gt;35,N6+M7-V6,IF(A7&lt;'Données projet'!$A$36,$K$205^A7,IF(A7='Données projet'!$A$36,'Données projet'!$B$36,N6+M7-V6)))</f>
        <v>18.342727272727274</v>
      </c>
      <c r="O7" s="13">
        <f>N7*VLOOKUP('Données projet'!$B$9,Paramètres!$A$1:$I$89,3,0)*VLOOKUP('Données projet'!$B$9,Paramètres!$A$1:$I$89,5,0)</f>
        <v>16.596499636363635</v>
      </c>
      <c r="P7" s="13">
        <f t="shared" si="33"/>
        <v>5.5151667138499949</v>
      </c>
      <c r="Q7" s="20">
        <f t="shared" si="2"/>
        <v>38.511152226622073</v>
      </c>
      <c r="R7" s="59">
        <f t="shared" si="0"/>
        <v>331.84448555995539</v>
      </c>
      <c r="S7" s="59">
        <f ca="1">AVERAGE(OFFSET($R$3,0,0,'Données projet'!$E$9+1,1))-AVERAGE(OFFSET($H$3,0,0,'Données projet'!$E$9+1,1))</f>
        <v>298.01613436147056</v>
      </c>
      <c r="T7" s="59">
        <f t="shared" si="34"/>
        <v>212.70221374431253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9.300476190476191</v>
      </c>
      <c r="AI7" s="13">
        <f>IF('Données projet'!$A$62&gt;35,AI6+AH7-AQ6,IF(A7&lt;'Données projet'!$A$62,$AF$205^A7,IF(A7='Données projet'!$A$62,'Données projet'!$B$62,AI6+AH7-AQ6)))</f>
        <v>2.7310425866451067</v>
      </c>
      <c r="AJ7" s="13">
        <f>AI7*VLOOKUP('Données projet'!$B$10,Paramètres!$A$1:$I$89,3,0)*VLOOKUP('Données projet'!$B$10,Paramètres!$A$1:$I$89,5,0)</f>
        <v>1.5266528059346147</v>
      </c>
      <c r="AK7" s="13">
        <f t="shared" si="35"/>
        <v>0.66973805492848271</v>
      </c>
      <c r="AL7" s="20">
        <f t="shared" si="4"/>
        <v>3.8253807493365612</v>
      </c>
      <c r="AM7" s="59">
        <f t="shared" si="5"/>
        <v>297.15871408266986</v>
      </c>
      <c r="AN7" s="59">
        <f ca="1">AVERAGE(OFFSET($AM$3,0,0,'Données projet'!$E$10+1,1))-AVERAGE(OFFSET($H$3,0,0,'Données projet'!$E$10+1,1))</f>
        <v>287.413090017863</v>
      </c>
      <c r="AO7" s="59">
        <f t="shared" si="36"/>
        <v>258.48456031927117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2.4218003421964593</v>
      </c>
      <c r="BF7" s="13">
        <f t="shared" si="37"/>
        <v>1.0068776453006392</v>
      </c>
      <c r="BG7" s="20">
        <f t="shared" si="7"/>
        <v>5.9716141615574472</v>
      </c>
      <c r="BH7" s="59">
        <f t="shared" si="8"/>
        <v>299.30494749489077</v>
      </c>
      <c r="BI7" s="59">
        <f ca="1">AVERAGE(OFFSET($BH$3,0,0,'Données projet'!$E$11+1,1))-AVERAGE(OFFSET($H$3,0,0,'Données projet'!$E$11+1,1))</f>
        <v>243.33915530322201</v>
      </c>
      <c r="BJ7" s="59">
        <f t="shared" si="38"/>
        <v>247.73814704672577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4.5856818181818184</v>
      </c>
      <c r="N8" s="13">
        <f>IF('Données projet'!$A$36&gt;35,N7+M8-V7,IF(A8&lt;'Données projet'!$A$36,$K$205^A8,IF(A8='Données projet'!$A$36,'Données projet'!$B$36,N7+M8-V7)))</f>
        <v>22.928409090909092</v>
      </c>
      <c r="O8" s="13">
        <f>N8*VLOOKUP('Données projet'!$B$9,Paramètres!$A$1:$I$89,3,0)*VLOOKUP('Données projet'!$B$9,Paramètres!$A$1:$I$89,5,0)</f>
        <v>20.745624545454547</v>
      </c>
      <c r="P8" s="13">
        <f t="shared" si="33"/>
        <v>6.7172008216278272</v>
      </c>
      <c r="Q8" s="20">
        <f t="shared" si="2"/>
        <v>47.831087514335131</v>
      </c>
      <c r="R8" s="59">
        <f t="shared" si="0"/>
        <v>341.16442084766845</v>
      </c>
      <c r="S8" s="59">
        <f ca="1">AVERAGE(OFFSET($R$3,0,0,'Données projet'!$E$9+1,1))-AVERAGE(OFFSET($H$3,0,0,'Données projet'!$E$9+1,1))</f>
        <v>298.01613436147056</v>
      </c>
      <c r="T8" s="59">
        <f t="shared" si="34"/>
        <v>212.70221374431253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9.300476190476191</v>
      </c>
      <c r="AI8" s="13">
        <f>IF('Données projet'!$A$62&gt;35,AI7+AH8-AQ7,IF(A8&lt;'Données projet'!$A$62,$AF$205^A8,IF(A8='Données projet'!$A$62,'Données projet'!$B$62,AI7+AH8-AQ7)))</f>
        <v>3.5108363842459145</v>
      </c>
      <c r="AJ8" s="13">
        <f>AI8*VLOOKUP('Données projet'!$B$10,Paramètres!$A$1:$I$89,3,0)*VLOOKUP('Données projet'!$B$10,Paramètres!$A$1:$I$89,5,0)</f>
        <v>1.9625575387934662</v>
      </c>
      <c r="AK8" s="13">
        <f t="shared" si="35"/>
        <v>0.83616105511893679</v>
      </c>
      <c r="AL8" s="20">
        <f t="shared" si="4"/>
        <v>4.8744348843974343</v>
      </c>
      <c r="AM8" s="59">
        <f t="shared" si="5"/>
        <v>298.20776821773075</v>
      </c>
      <c r="AN8" s="59">
        <f ca="1">AVERAGE(OFFSET($AM$3,0,0,'Données projet'!$E$10+1,1))-AVERAGE(OFFSET($H$3,0,0,'Données projet'!$E$10+1,1))</f>
        <v>287.413090017863</v>
      </c>
      <c r="AO8" s="59">
        <f t="shared" si="36"/>
        <v>258.48456031927117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3.1988894135334531</v>
      </c>
      <c r="BF8" s="13">
        <f t="shared" si="37"/>
        <v>1.2875656488183871</v>
      </c>
      <c r="BG8" s="20">
        <f t="shared" si="7"/>
        <v>7.8139092335961218</v>
      </c>
      <c r="BH8" s="59">
        <f t="shared" si="8"/>
        <v>301.14724256692944</v>
      </c>
      <c r="BI8" s="59">
        <f ca="1">AVERAGE(OFFSET($BH$3,0,0,'Données projet'!$E$11+1,1))-AVERAGE(OFFSET($H$3,0,0,'Données projet'!$E$11+1,1))</f>
        <v>243.33915530322201</v>
      </c>
      <c r="BJ8" s="59">
        <f t="shared" si="38"/>
        <v>247.73814704672577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4.5856818181818184</v>
      </c>
      <c r="N9" s="13">
        <f>IF('Données projet'!$A$36&gt;35,N8+M9-V8,IF(A9&lt;'Données projet'!$A$36,$K$205^A9,IF(A9='Données projet'!$A$36,'Données projet'!$B$36,N8+M9-V8)))</f>
        <v>27.51409090909091</v>
      </c>
      <c r="O9" s="13">
        <f>N9*VLOOKUP('Données projet'!$B$9,Paramètres!$A$1:$I$89,3,0)*VLOOKUP('Données projet'!$B$9,Paramètres!$A$1:$I$89,5,0)</f>
        <v>24.894749454545455</v>
      </c>
      <c r="P9" s="13">
        <f t="shared" si="33"/>
        <v>7.8913786303106157</v>
      </c>
      <c r="Q9" s="20">
        <f t="shared" si="2"/>
        <v>57.102506414457658</v>
      </c>
      <c r="R9" s="59">
        <f t="shared" si="0"/>
        <v>350.43583974779096</v>
      </c>
      <c r="S9" s="59">
        <f ca="1">AVERAGE(OFFSET($R$3,0,0,'Données projet'!$E$9+1,1))-AVERAGE(OFFSET($H$3,0,0,'Données projet'!$E$9+1,1))</f>
        <v>298.01613436147056</v>
      </c>
      <c r="T9" s="59">
        <f t="shared" si="34"/>
        <v>212.70221374431253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9.300476190476191</v>
      </c>
      <c r="AI9" s="13">
        <f>IF('Données projet'!$A$62&gt;35,AI8+AH9-AQ8,IF(A9&lt;'Données projet'!$A$62,$AF$205^A9,IF(A9='Données projet'!$A$62,'Données projet'!$B$62,AI8+AH9-AQ8)))</f>
        <v>4.5132844786893322</v>
      </c>
      <c r="AJ9" s="13">
        <f>AI9*VLOOKUP('Données projet'!$B$10,Paramètres!$A$1:$I$89,3,0)*VLOOKUP('Données projet'!$B$10,Paramètres!$A$1:$I$89,5,0)</f>
        <v>2.5229260235873365</v>
      </c>
      <c r="AK9" s="13">
        <f t="shared" si="35"/>
        <v>1.0439384546728099</v>
      </c>
      <c r="AL9" s="20">
        <f t="shared" si="4"/>
        <v>6.2122889663030882</v>
      </c>
      <c r="AM9" s="59">
        <f t="shared" si="5"/>
        <v>299.54562229963642</v>
      </c>
      <c r="AN9" s="59">
        <f ca="1">AVERAGE(OFFSET($AM$3,0,0,'Données projet'!$E$10+1,1))-AVERAGE(OFFSET($H$3,0,0,'Données projet'!$E$10+1,1))</f>
        <v>287.413090017863</v>
      </c>
      <c r="AO9" s="59">
        <f t="shared" si="36"/>
        <v>258.48456031927117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4.2253249789929628</v>
      </c>
      <c r="BF9" s="13">
        <f t="shared" si="37"/>
        <v>1.6465012484432624</v>
      </c>
      <c r="BG9" s="20">
        <f t="shared" si="7"/>
        <v>10.226764012784757</v>
      </c>
      <c r="BH9" s="59">
        <f t="shared" si="8"/>
        <v>303.56009734611808</v>
      </c>
      <c r="BI9" s="59">
        <f ca="1">AVERAGE(OFFSET($BH$3,0,0,'Données projet'!$E$11+1,1))-AVERAGE(OFFSET($H$3,0,0,'Données projet'!$E$11+1,1))</f>
        <v>243.33915530322201</v>
      </c>
      <c r="BJ9" s="59">
        <f t="shared" si="38"/>
        <v>247.73814704672577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4.5856818181818184</v>
      </c>
      <c r="N10" s="13">
        <f>IF('Données projet'!$A$36&gt;35,N9+M10-V9,IF(A10&lt;'Données projet'!$A$36,$K$205^A10,IF(A10='Données projet'!$A$36,'Données projet'!$B$36,N9+M10-V9)))</f>
        <v>32.099772727272729</v>
      </c>
      <c r="O10" s="13">
        <f>N10*VLOOKUP('Données projet'!$B$9,Paramètres!$A$1:$I$89,3,0)*VLOOKUP('Données projet'!$B$9,Paramètres!$A$1:$I$89,5,0)</f>
        <v>29.043874363636363</v>
      </c>
      <c r="P10" s="13">
        <f t="shared" si="33"/>
        <v>9.0428861843958348</v>
      </c>
      <c r="Q10" s="20">
        <f t="shared" si="2"/>
        <v>66.334441287822742</v>
      </c>
      <c r="R10" s="59">
        <f t="shared" si="0"/>
        <v>359.66777462115607</v>
      </c>
      <c r="S10" s="59">
        <f ca="1">AVERAGE(OFFSET($R$3,0,0,'Données projet'!$E$9+1,1))-AVERAGE(OFFSET($H$3,0,0,'Données projet'!$E$9+1,1))</f>
        <v>298.01613436147056</v>
      </c>
      <c r="T10" s="59">
        <f t="shared" si="34"/>
        <v>212.70221374431253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9.300476190476191</v>
      </c>
      <c r="AI10" s="13">
        <f>IF('Données projet'!$A$62&gt;35,AI9+AH10-AQ9,IF(A10&lt;'Données projet'!$A$62,$AF$205^A10,IF(A10='Données projet'!$A$62,'Données projet'!$B$62,AI9+AH10-AQ9)))</f>
        <v>5.8019612867699086</v>
      </c>
      <c r="AJ10" s="13">
        <f>AI10*VLOOKUP('Données projet'!$B$10,Paramètres!$A$1:$I$89,3,0)*VLOOKUP('Données projet'!$B$10,Paramètres!$A$1:$I$89,5,0)</f>
        <v>3.2432963593043791</v>
      </c>
      <c r="AK10" s="13">
        <f t="shared" si="35"/>
        <v>1.3033463953779079</v>
      </c>
      <c r="AL10" s="20">
        <f t="shared" si="4"/>
        <v>7.9187361310716495</v>
      </c>
      <c r="AM10" s="59">
        <f t="shared" si="5"/>
        <v>301.25206946440494</v>
      </c>
      <c r="AN10" s="59">
        <f ca="1">AVERAGE(OFFSET($AM$3,0,0,'Données projet'!$E$10+1,1))-AVERAGE(OFFSET($H$3,0,0,'Données projet'!$E$10+1,1))</f>
        <v>287.413090017863</v>
      </c>
      <c r="AO10" s="59">
        <f t="shared" si="36"/>
        <v>258.48456031927117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5.5811154654393826</v>
      </c>
      <c r="BF10" s="13">
        <f t="shared" si="37"/>
        <v>2.1054975826771263</v>
      </c>
      <c r="BG10" s="20">
        <f t="shared" si="7"/>
        <v>13.387517725469587</v>
      </c>
      <c r="BH10" s="59">
        <f t="shared" si="8"/>
        <v>306.72085105880291</v>
      </c>
      <c r="BI10" s="59">
        <f ca="1">AVERAGE(OFFSET($BH$3,0,0,'Données projet'!$E$11+1,1))-AVERAGE(OFFSET($H$3,0,0,'Données projet'!$E$11+1,1))</f>
        <v>243.33915530322201</v>
      </c>
      <c r="BJ10" s="59">
        <f t="shared" si="38"/>
        <v>247.73814704672577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4.5856818181818184</v>
      </c>
      <c r="N11" s="13">
        <f>IF('Données projet'!$A$36&gt;35,N10+M11-V10,IF(A11&lt;'Données projet'!$A$36,$K$205^A11,IF(A11='Données projet'!$A$36,'Données projet'!$B$36,N10+M11-V10)))</f>
        <v>36.685454545454547</v>
      </c>
      <c r="O11" s="13">
        <f>N11*VLOOKUP('Données projet'!$B$9,Paramètres!$A$1:$I$89,3,0)*VLOOKUP('Données projet'!$B$9,Paramètres!$A$1:$I$89,5,0)</f>
        <v>33.19299927272727</v>
      </c>
      <c r="P11" s="13">
        <f t="shared" si="33"/>
        <v>10.175335768620887</v>
      </c>
      <c r="Q11" s="20">
        <f t="shared" si="2"/>
        <v>75.53318353034804</v>
      </c>
      <c r="R11" s="59">
        <f t="shared" si="0"/>
        <v>368.86651686368134</v>
      </c>
      <c r="S11" s="59">
        <f ca="1">AVERAGE(OFFSET($R$3,0,0,'Données projet'!$E$9+1,1))-AVERAGE(OFFSET($H$3,0,0,'Données projet'!$E$9+1,1))</f>
        <v>298.01613436147056</v>
      </c>
      <c r="T11" s="59">
        <f t="shared" si="34"/>
        <v>212.70221374431253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9.300476190476191</v>
      </c>
      <c r="AI11" s="13">
        <f>IF('Données projet'!$A$62&gt;35,AI10+AH11-AQ10,IF(A11&lt;'Données projet'!$A$62,$AF$205^A11,IF(A11='Données projet'!$A$62,'Données projet'!$B$62,AI10+AH11-AQ10)))</f>
        <v>7.4585936100691947</v>
      </c>
      <c r="AJ11" s="13">
        <f>AI11*VLOOKUP('Données projet'!$B$10,Paramètres!$A$1:$I$89,3,0)*VLOOKUP('Données projet'!$B$10,Paramètres!$A$1:$I$89,5,0)</f>
        <v>4.1693538280286795</v>
      </c>
      <c r="AK11" s="13">
        <f t="shared" si="35"/>
        <v>1.6272145342868833</v>
      </c>
      <c r="AL11" s="20">
        <f t="shared" si="4"/>
        <v>10.095689897699605</v>
      </c>
      <c r="AM11" s="59">
        <f t="shared" si="5"/>
        <v>303.42902323103294</v>
      </c>
      <c r="AN11" s="59">
        <f ca="1">AVERAGE(OFFSET($AM$3,0,0,'Données projet'!$E$10+1,1))-AVERAGE(OFFSET($H$3,0,0,'Données projet'!$E$10+1,1))</f>
        <v>287.413090017863</v>
      </c>
      <c r="AO11" s="59">
        <f t="shared" si="36"/>
        <v>258.48456031927117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7.3719418017381662</v>
      </c>
      <c r="BF11" s="13">
        <f t="shared" si="37"/>
        <v>2.6924486542908248</v>
      </c>
      <c r="BG11" s="20">
        <f t="shared" si="7"/>
        <v>17.528813377583827</v>
      </c>
      <c r="BH11" s="59">
        <f t="shared" si="8"/>
        <v>310.86214671091716</v>
      </c>
      <c r="BI11" s="59">
        <f ca="1">AVERAGE(OFFSET($BH$3,0,0,'Données projet'!$E$11+1,1))-AVERAGE(OFFSET($H$3,0,0,'Données projet'!$E$11+1,1))</f>
        <v>243.33915530322201</v>
      </c>
      <c r="BJ11" s="59">
        <f t="shared" si="38"/>
        <v>247.73814704672577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4.5856818181818184</v>
      </c>
      <c r="N12" s="13">
        <f>IF('Données projet'!$A$36&gt;35,N11+M12-V11,IF(A12&lt;'Données projet'!$A$36,$K$205^A12,IF(A12='Données projet'!$A$36,'Données projet'!$B$36,N11+M12-V11)))</f>
        <v>41.271136363636366</v>
      </c>
      <c r="O12" s="13">
        <f>N12*VLOOKUP('Données projet'!$B$9,Paramètres!$A$1:$I$89,3,0)*VLOOKUP('Données projet'!$B$9,Paramètres!$A$1:$I$89,5,0)</f>
        <v>37.342124181818185</v>
      </c>
      <c r="P12" s="13">
        <f t="shared" si="33"/>
        <v>11.291382458219708</v>
      </c>
      <c r="Q12" s="20">
        <f t="shared" si="2"/>
        <v>84.70335739806599</v>
      </c>
      <c r="R12" s="59">
        <f t="shared" si="0"/>
        <v>378.03669073139929</v>
      </c>
      <c r="S12" s="59">
        <f ca="1">AVERAGE(OFFSET($R$3,0,0,'Données projet'!$E$9+1,1))-AVERAGE(OFFSET($H$3,0,0,'Données projet'!$E$9+1,1))</f>
        <v>298.01613436147056</v>
      </c>
      <c r="T12" s="59">
        <f t="shared" si="34"/>
        <v>212.70221374431253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9.300476190476191</v>
      </c>
      <c r="AI12" s="13">
        <f>IF('Données projet'!$A$62&gt;35,AI11+AH12-AQ11,IF(A12&lt;'Données projet'!$A$62,$AF$205^A12,IF(A12='Données projet'!$A$62,'Données projet'!$B$62,AI11+AH12-AQ11)))</f>
        <v>9.5882436801187154</v>
      </c>
      <c r="AJ12" s="13">
        <f>AI12*VLOOKUP('Données projet'!$B$10,Paramètres!$A$1:$I$89,3,0)*VLOOKUP('Données projet'!$B$10,Paramètres!$A$1:$I$89,5,0)</f>
        <v>5.3598282171863616</v>
      </c>
      <c r="AK12" s="13">
        <f t="shared" si="35"/>
        <v>2.0315605659282445</v>
      </c>
      <c r="AL12" s="20">
        <f t="shared" si="4"/>
        <v>12.873335463924604</v>
      </c>
      <c r="AM12" s="59">
        <f t="shared" si="5"/>
        <v>306.20666879725792</v>
      </c>
      <c r="AN12" s="59">
        <f ca="1">AVERAGE(OFFSET($AM$3,0,0,'Données projet'!$E$10+1,1))-AVERAGE(OFFSET($H$3,0,0,'Données projet'!$E$10+1,1))</f>
        <v>287.413090017863</v>
      </c>
      <c r="AO12" s="59">
        <f t="shared" si="36"/>
        <v>258.48456031927117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9.737395018029094</v>
      </c>
      <c r="BF12" s="13">
        <f t="shared" si="37"/>
        <v>3.4430244972188757</v>
      </c>
      <c r="BG12" s="20">
        <f t="shared" si="7"/>
        <v>22.955897322390214</v>
      </c>
      <c r="BH12" s="59">
        <f t="shared" si="8"/>
        <v>316.28923065572354</v>
      </c>
      <c r="BI12" s="59">
        <f ca="1">AVERAGE(OFFSET($BH$3,0,0,'Données projet'!$E$11+1,1))-AVERAGE(OFFSET($H$3,0,0,'Données projet'!$E$11+1,1))</f>
        <v>243.33915530322201</v>
      </c>
      <c r="BJ12" s="59">
        <f t="shared" si="38"/>
        <v>247.73814704672577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4.5856818181818184</v>
      </c>
      <c r="N13" s="13">
        <f>IF('Données projet'!$A$36&gt;35,N12+M13-V12,IF(A13&lt;'Données projet'!$A$36,$K$205^A13,IF(A13='Données projet'!$A$36,'Données projet'!$B$36,N12+M13-V12)))</f>
        <v>45.856818181818184</v>
      </c>
      <c r="O13" s="13">
        <f>N13*VLOOKUP('Données projet'!$B$9,Paramètres!$A$1:$I$89,3,0)*VLOOKUP('Données projet'!$B$9,Paramètres!$A$1:$I$89,5,0)</f>
        <v>41.491249090909093</v>
      </c>
      <c r="P13" s="13">
        <f t="shared" si="33"/>
        <v>12.393056698299885</v>
      </c>
      <c r="Q13" s="20">
        <f t="shared" si="2"/>
        <v>93.848499249538975</v>
      </c>
      <c r="R13" s="59">
        <f t="shared" si="0"/>
        <v>387.18183258287229</v>
      </c>
      <c r="S13" s="59">
        <f ca="1">AVERAGE(OFFSET($R$3,0,0,'Données projet'!$E$9+1,1))-AVERAGE(OFFSET($H$3,0,0,'Données projet'!$E$9+1,1))</f>
        <v>298.01613436147056</v>
      </c>
      <c r="T13" s="59">
        <f t="shared" si="34"/>
        <v>212.70221374431253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9.300476190476191</v>
      </c>
      <c r="AI13" s="13">
        <f>IF('Données projet'!$A$62&gt;35,AI12+AH13-AQ12,IF(A13&lt;'Données projet'!$A$62,$AF$205^A13,IF(A13='Données projet'!$A$62,'Données projet'!$B$62,AI12+AH13-AQ12)))</f>
        <v>12.325972116944925</v>
      </c>
      <c r="AJ13" s="13">
        <f>AI13*VLOOKUP('Données projet'!$B$10,Paramètres!$A$1:$I$89,3,0)*VLOOKUP('Données projet'!$B$10,Paramètres!$A$1:$I$89,5,0)</f>
        <v>6.8902184133722137</v>
      </c>
      <c r="AK13" s="13">
        <f t="shared" si="35"/>
        <v>2.5363824167434852</v>
      </c>
      <c r="AL13" s="20">
        <f t="shared" si="4"/>
        <v>16.417996445784841</v>
      </c>
      <c r="AM13" s="59">
        <f t="shared" si="5"/>
        <v>309.75132977911818</v>
      </c>
      <c r="AN13" s="59">
        <f ca="1">AVERAGE(OFFSET($AM$3,0,0,'Données projet'!$E$10+1,1))-AVERAGE(OFFSET($H$3,0,0,'Données projet'!$E$10+1,1))</f>
        <v>287.413090017863</v>
      </c>
      <c r="AO13" s="59">
        <f t="shared" si="36"/>
        <v>258.48456031927117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12.861857063871796</v>
      </c>
      <c r="BF13" s="13">
        <f t="shared" si="37"/>
        <v>4.4028389063455258</v>
      </c>
      <c r="BG13" s="20">
        <f t="shared" si="7"/>
        <v>30.069345481461834</v>
      </c>
      <c r="BH13" s="59">
        <f t="shared" si="8"/>
        <v>323.40267881479514</v>
      </c>
      <c r="BI13" s="59">
        <f ca="1">AVERAGE(OFFSET($BH$3,0,0,'Données projet'!$E$11+1,1))-AVERAGE(OFFSET($H$3,0,0,'Données projet'!$E$11+1,1))</f>
        <v>243.33915530322201</v>
      </c>
      <c r="BJ13" s="59">
        <f t="shared" si="38"/>
        <v>247.73814704672577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4.5856818181818184</v>
      </c>
      <c r="N14" s="13">
        <f>IF('Données projet'!$A$36&gt;35,N13+M14-V13,IF(A14&lt;'Données projet'!$A$36,$K$205^A14,IF(A14='Données projet'!$A$36,'Données projet'!$B$36,N13+M14-V13)))</f>
        <v>50.442500000000003</v>
      </c>
      <c r="O14" s="13">
        <f>N14*VLOOKUP('Données projet'!$B$9,Paramètres!$A$1:$I$89,3,0)*VLOOKUP('Données projet'!$B$9,Paramètres!$A$1:$I$89,5,0)</f>
        <v>45.640374000000001</v>
      </c>
      <c r="P14" s="13">
        <f t="shared" si="33"/>
        <v>13.481959345661139</v>
      </c>
      <c r="Q14" s="20">
        <f t="shared" si="2"/>
        <v>102.97139724369315</v>
      </c>
      <c r="R14" s="59">
        <f t="shared" si="0"/>
        <v>396.30473057702648</v>
      </c>
      <c r="S14" s="59">
        <f ca="1">AVERAGE(OFFSET($R$3,0,0,'Données projet'!$E$9+1,1))-AVERAGE(OFFSET($H$3,0,0,'Données projet'!$E$9+1,1))</f>
        <v>298.01613436147056</v>
      </c>
      <c r="T14" s="59">
        <f t="shared" si="34"/>
        <v>212.70221374431253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9.300476190476191</v>
      </c>
      <c r="AI14" s="13">
        <f>IF('Données projet'!$A$62&gt;35,AI13+AH14-AQ13,IF(A14&lt;'Données projet'!$A$62,$AF$205^A14,IF(A14='Données projet'!$A$62,'Données projet'!$B$62,AI13+AH14-AQ13)))</f>
        <v>15.845403360234862</v>
      </c>
      <c r="AJ14" s="13">
        <f>AI14*VLOOKUP('Données projet'!$B$10,Paramètres!$A$1:$I$89,3,0)*VLOOKUP('Données projet'!$B$10,Paramètres!$A$1:$I$89,5,0)</f>
        <v>8.8575804783712879</v>
      </c>
      <c r="AK14" s="13">
        <f t="shared" si="35"/>
        <v>3.1666472916725947</v>
      </c>
      <c r="AL14" s="20">
        <f t="shared" si="4"/>
        <v>20.942196699493092</v>
      </c>
      <c r="AM14" s="59">
        <f t="shared" si="5"/>
        <v>314.2755300328264</v>
      </c>
      <c r="AN14" s="59">
        <f ca="1">AVERAGE(OFFSET($AM$3,0,0,'Données projet'!$E$10+1,1))-AVERAGE(OFFSET($H$3,0,0,'Données projet'!$E$10+1,1))</f>
        <v>287.413090017863</v>
      </c>
      <c r="AO14" s="59">
        <f t="shared" si="36"/>
        <v>258.48456031927117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16.988872981446764</v>
      </c>
      <c r="BF14" s="13">
        <f t="shared" si="37"/>
        <v>5.6302214668783828</v>
      </c>
      <c r="BG14" s="20">
        <f t="shared" si="7"/>
        <v>39.394922830832961</v>
      </c>
      <c r="BH14" s="59">
        <f t="shared" si="8"/>
        <v>332.72825616416628</v>
      </c>
      <c r="BI14" s="59">
        <f ca="1">AVERAGE(OFFSET($BH$3,0,0,'Données projet'!$E$11+1,1))-AVERAGE(OFFSET($H$3,0,0,'Données projet'!$E$11+1,1))</f>
        <v>243.33915530322201</v>
      </c>
      <c r="BJ14" s="59">
        <f t="shared" si="38"/>
        <v>247.73814704672577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4.5856818181818184</v>
      </c>
      <c r="N15" s="13">
        <f>IF('Données projet'!$A$36&gt;35,N14+M15-V14,IF(A15&lt;'Données projet'!$A$36,$K$205^A15,IF(A15='Données projet'!$A$36,'Données projet'!$B$36,N14+M15-V14)))</f>
        <v>55.028181818181821</v>
      </c>
      <c r="O15" s="13">
        <f>N15*VLOOKUP('Données projet'!$B$9,Paramètres!$A$1:$I$89,3,0)*VLOOKUP('Données projet'!$B$9,Paramètres!$A$1:$I$89,5,0)</f>
        <v>49.789498909090909</v>
      </c>
      <c r="P15" s="13">
        <f t="shared" si="33"/>
        <v>14.559383497706923</v>
      </c>
      <c r="Q15" s="20">
        <f t="shared" si="2"/>
        <v>112.07430352517288</v>
      </c>
      <c r="R15" s="59">
        <f t="shared" si="0"/>
        <v>405.40763685850618</v>
      </c>
      <c r="S15" s="59">
        <f ca="1">AVERAGE(OFFSET($R$3,0,0,'Données projet'!$E$9+1,1))-AVERAGE(OFFSET($H$3,0,0,'Données projet'!$E$9+1,1))</f>
        <v>298.01613436147056</v>
      </c>
      <c r="T15" s="59">
        <f t="shared" si="34"/>
        <v>212.70221374431253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9.300476190476191</v>
      </c>
      <c r="AI15" s="13">
        <f>IF('Données projet'!$A$62&gt;35,AI14+AH15-AQ14,IF(A15&lt;'Données projet'!$A$62,$AF$205^A15,IF(A15='Données projet'!$A$62,'Données projet'!$B$62,AI14+AH15-AQ14)))</f>
        <v>20.369736785578038</v>
      </c>
      <c r="AJ15" s="13">
        <f>AI15*VLOOKUP('Données projet'!$B$10,Paramètres!$A$1:$I$89,3,0)*VLOOKUP('Données projet'!$B$10,Paramètres!$A$1:$I$89,5,0)</f>
        <v>11.386682863138123</v>
      </c>
      <c r="AK15" s="13">
        <f t="shared" si="35"/>
        <v>3.9535264886168462</v>
      </c>
      <c r="AL15" s="20">
        <f t="shared" si="4"/>
        <v>26.717531287639904</v>
      </c>
      <c r="AM15" s="59">
        <f t="shared" si="5"/>
        <v>320.05086462097324</v>
      </c>
      <c r="AN15" s="59">
        <f ca="1">AVERAGE(OFFSET($AM$3,0,0,'Données projet'!$E$10+1,1))-AVERAGE(OFFSET($H$3,0,0,'Données projet'!$E$10+1,1))</f>
        <v>287.413090017863</v>
      </c>
      <c r="AO15" s="59">
        <f t="shared" si="36"/>
        <v>258.48456031927117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22.440134713551878</v>
      </c>
      <c r="BF15" s="13">
        <f t="shared" si="37"/>
        <v>7.1997623443392129</v>
      </c>
      <c r="BG15" s="20">
        <f t="shared" si="7"/>
        <v>51.622820709160315</v>
      </c>
      <c r="BH15" s="59">
        <f t="shared" si="8"/>
        <v>344.95615404249361</v>
      </c>
      <c r="BI15" s="59">
        <f ca="1">AVERAGE(OFFSET($BH$3,0,0,'Données projet'!$E$11+1,1))-AVERAGE(OFFSET($H$3,0,0,'Données projet'!$E$11+1,1))</f>
        <v>243.33915530322201</v>
      </c>
      <c r="BJ15" s="59">
        <f t="shared" si="38"/>
        <v>247.73814704672577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4.5856818181818184</v>
      </c>
      <c r="N16" s="13">
        <f>IF('Données projet'!$A$36&gt;35,N15+M16-V15,IF(A16&lt;'Données projet'!$A$36,$K$205^A16,IF(A16='Données projet'!$A$36,'Données projet'!$B$36,N15+M16-V15)))</f>
        <v>59.613863636363639</v>
      </c>
      <c r="O16" s="13">
        <f>N16*VLOOKUP('Données projet'!$B$9,Paramètres!$A$1:$I$89,3,0)*VLOOKUP('Données projet'!$B$9,Paramètres!$A$1:$I$89,5,0)</f>
        <v>53.938623818181817</v>
      </c>
      <c r="P16" s="13">
        <f t="shared" si="33"/>
        <v>15.62639444596179</v>
      </c>
      <c r="Q16" s="20">
        <f t="shared" si="2"/>
        <v>121.15907347671678</v>
      </c>
      <c r="R16" s="59">
        <f t="shared" si="0"/>
        <v>414.49240681005011</v>
      </c>
      <c r="S16" s="59">
        <f ca="1">AVERAGE(OFFSET($R$3,0,0,'Données projet'!$E$9+1,1))-AVERAGE(OFFSET($H$3,0,0,'Données projet'!$E$9+1,1))</f>
        <v>298.01613436147056</v>
      </c>
      <c r="T16" s="59">
        <f t="shared" si="34"/>
        <v>212.70221374431253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9.300476190476191</v>
      </c>
      <c r="AI16" s="13">
        <f>IF('Données projet'!$A$62&gt;35,AI15+AH16-AQ15,IF(A16&lt;'Données projet'!$A$62,$AF$205^A16,IF(A16='Données projet'!$A$62,'Données projet'!$B$62,AI15+AH16-AQ15)))</f>
        <v>26.185901821535015</v>
      </c>
      <c r="AJ16" s="13">
        <f>AI16*VLOOKUP('Données projet'!$B$10,Paramètres!$A$1:$I$89,3,0)*VLOOKUP('Données projet'!$B$10,Paramètres!$A$1:$I$89,5,0)</f>
        <v>14.637919118238074</v>
      </c>
      <c r="AK16" s="13">
        <f t="shared" si="35"/>
        <v>4.935937051561945</v>
      </c>
      <c r="AL16" s="20">
        <f t="shared" si="4"/>
        <v>34.091132829068357</v>
      </c>
      <c r="AM16" s="59">
        <f t="shared" si="5"/>
        <v>327.4244661624017</v>
      </c>
      <c r="AN16" s="59">
        <f ca="1">AVERAGE(OFFSET($AM$3,0,0,'Données projet'!$E$10+1,1))-AVERAGE(OFFSET($H$3,0,0,'Données projet'!$E$10+1,1))</f>
        <v>287.413090017863</v>
      </c>
      <c r="AO16" s="59">
        <f t="shared" si="36"/>
        <v>258.48456031927117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29.640556293068066</v>
      </c>
      <c r="BF16" s="13">
        <f t="shared" si="37"/>
        <v>9.2068452582035114</v>
      </c>
      <c r="BG16" s="20">
        <f t="shared" si="7"/>
        <v>67.659224368464649</v>
      </c>
      <c r="BH16" s="59">
        <f t="shared" si="8"/>
        <v>360.99255770179798</v>
      </c>
      <c r="BI16" s="59">
        <f ca="1">AVERAGE(OFFSET($BH$3,0,0,'Données projet'!$E$11+1,1))-AVERAGE(OFFSET($H$3,0,0,'Données projet'!$E$11+1,1))</f>
        <v>243.33915530322201</v>
      </c>
      <c r="BJ16" s="59">
        <f t="shared" si="38"/>
        <v>247.73814704672577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4.5856818181818184</v>
      </c>
      <c r="N17" s="13">
        <f>IF('Données projet'!$A$36&gt;35,N16+M17-V16,IF(A17&lt;'Données projet'!$A$36,$K$205^A17,IF(A17='Données projet'!$A$36,'Données projet'!$B$36,N16+M17-V16)))</f>
        <v>64.199545454545458</v>
      </c>
      <c r="O17" s="13">
        <f>N17*VLOOKUP('Données projet'!$B$9,Paramètres!$A$1:$I$89,3,0)*VLOOKUP('Données projet'!$B$9,Paramètres!$A$1:$I$89,5,0)</f>
        <v>58.087748727272725</v>
      </c>
      <c r="P17" s="13">
        <f t="shared" si="33"/>
        <v>16.683884280882914</v>
      </c>
      <c r="Q17" s="20">
        <f t="shared" si="2"/>
        <v>130.22726082253777</v>
      </c>
      <c r="R17" s="59">
        <f t="shared" si="0"/>
        <v>423.56059415587106</v>
      </c>
      <c r="S17" s="59">
        <f ca="1">AVERAGE(OFFSET($R$3,0,0,'Données projet'!$E$9+1,1))-AVERAGE(OFFSET($H$3,0,0,'Données projet'!$E$9+1,1))</f>
        <v>298.01613436147056</v>
      </c>
      <c r="T17" s="59">
        <f t="shared" si="34"/>
        <v>212.70221374431253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9.300476190476191</v>
      </c>
      <c r="AI17" s="13">
        <f>IF('Données projet'!$A$62&gt;35,AI16+AH17-AQ16,IF(A17&lt;'Données projet'!$A$62,$AF$205^A17,IF(A17='Données projet'!$A$62,'Données projet'!$B$62,AI16+AH17-AQ16)))</f>
        <v>33.662754773176729</v>
      </c>
      <c r="AJ17" s="13">
        <f>AI17*VLOOKUP('Données projet'!$B$10,Paramètres!$A$1:$I$89,3,0)*VLOOKUP('Données projet'!$B$10,Paramètres!$A$1:$I$89,5,0)</f>
        <v>18.817479918205791</v>
      </c>
      <c r="AK17" s="13">
        <f t="shared" si="35"/>
        <v>6.1624665086044912</v>
      </c>
      <c r="AL17" s="20">
        <f t="shared" si="4"/>
        <v>43.50674002669458</v>
      </c>
      <c r="AM17" s="59">
        <f t="shared" si="5"/>
        <v>336.84007336002787</v>
      </c>
      <c r="AN17" s="59">
        <f ca="1">AVERAGE(OFFSET($AM$3,0,0,'Données projet'!$E$10+1,1))-AVERAGE(OFFSET($H$3,0,0,'Données projet'!$E$10+1,1))</f>
        <v>287.413090017863</v>
      </c>
      <c r="AO17" s="59">
        <f t="shared" si="36"/>
        <v>258.48456031927117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39.151394970546335</v>
      </c>
      <c r="BF17" s="13">
        <f t="shared" si="37"/>
        <v>11.773444115853561</v>
      </c>
      <c r="BG17" s="20">
        <f t="shared" si="7"/>
        <v>88.69409474214649</v>
      </c>
      <c r="BH17" s="59">
        <f t="shared" si="8"/>
        <v>382.0274280754798</v>
      </c>
      <c r="BI17" s="59">
        <f ca="1">AVERAGE(OFFSET($BH$3,0,0,'Données projet'!$E$11+1,1))-AVERAGE(OFFSET($H$3,0,0,'Données projet'!$E$11+1,1))</f>
        <v>243.33915530322201</v>
      </c>
      <c r="BJ17" s="59">
        <f t="shared" si="38"/>
        <v>247.73814704672577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4.5856818181818184</v>
      </c>
      <c r="N18" s="13">
        <f>IF('Données projet'!$A$36&gt;35,N17+M18-V17,IF(A18&lt;'Données projet'!$A$36,$K$205^A18,IF(A18='Données projet'!$A$36,'Données projet'!$B$36,N17+M18-V17)))</f>
        <v>68.785227272727269</v>
      </c>
      <c r="O18" s="13">
        <f>N18*VLOOKUP('Données projet'!$B$9,Paramètres!$A$1:$I$89,3,0)*VLOOKUP('Données projet'!$B$9,Paramètres!$A$1:$I$89,5,0)</f>
        <v>62.236873636363626</v>
      </c>
      <c r="P18" s="13">
        <f t="shared" si="33"/>
        <v>17.732610429997528</v>
      </c>
      <c r="Q18" s="20">
        <f t="shared" si="2"/>
        <v>139.28018474891235</v>
      </c>
      <c r="R18" s="59">
        <f t="shared" si="0"/>
        <v>432.61351808224566</v>
      </c>
      <c r="S18" s="59">
        <f ca="1">AVERAGE(OFFSET($R$3,0,0,'Données projet'!$E$9+1,1))-AVERAGE(OFFSET($H$3,0,0,'Données projet'!$E$9+1,1))</f>
        <v>298.01613436147056</v>
      </c>
      <c r="T18" s="59">
        <f t="shared" si="34"/>
        <v>212.70221374431253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9.300476190476191</v>
      </c>
      <c r="AI18" s="13">
        <f>IF('Données projet'!$A$62&gt;35,AI17+AH18-AQ17,IF(A18&lt;'Données projet'!$A$62,$AF$205^A18,IF(A18='Données projet'!$A$62,'Données projet'!$B$62,AI17+AH18-AQ17)))</f>
        <v>43.274471379370887</v>
      </c>
      <c r="AJ18" s="13">
        <f>AI18*VLOOKUP('Données projet'!$B$10,Paramètres!$A$1:$I$89,3,0)*VLOOKUP('Données projet'!$B$10,Paramètres!$A$1:$I$89,5,0)</f>
        <v>24.190429501068326</v>
      </c>
      <c r="AK18" s="13">
        <f t="shared" si="35"/>
        <v>7.6937758875297604</v>
      </c>
      <c r="AL18" s="20">
        <f t="shared" si="4"/>
        <v>55.531657718475003</v>
      </c>
      <c r="AM18" s="59">
        <f t="shared" si="5"/>
        <v>348.86499105180832</v>
      </c>
      <c r="AN18" s="59">
        <f ca="1">AVERAGE(OFFSET($AM$3,0,0,'Données projet'!$E$10+1,1))-AVERAGE(OFFSET($H$3,0,0,'Données projet'!$E$10+1,1))</f>
        <v>287.413090017863</v>
      </c>
      <c r="AO18" s="59">
        <f t="shared" si="36"/>
        <v>258.48456031927117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243.33915530322201</v>
      </c>
      <c r="BJ18" s="59">
        <f t="shared" si="38"/>
        <v>247.73814704672577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3.7144488588845932</v>
      </c>
      <c r="BR18" s="21">
        <f>EXP(-LN(2)/2)*BR17+(1-EXP(-LN(2)/2))/(LN(2)/2)*BL18*BO18*VLOOKUP('Données projet'!$B$11,Paramètres!$A$1:$I$89,3,0)*0.475*44/12</f>
        <v>6.0053601060803743</v>
      </c>
      <c r="BS18" s="22">
        <f t="shared" si="9"/>
        <v>9.719808964964967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4.5856818181818184</v>
      </c>
      <c r="N19" s="13">
        <f>IF('Données projet'!$A$36&gt;35,N18+M19-V18,IF(A19&lt;'Données projet'!$A$36,$K$205^A19,IF(A19='Données projet'!$A$36,'Données projet'!$B$36,N18+M19-V18)))</f>
        <v>73.370909090909095</v>
      </c>
      <c r="O19" s="13">
        <f>N19*VLOOKUP('Données projet'!$B$9,Paramètres!$A$1:$I$89,3,0)*VLOOKUP('Données projet'!$B$9,Paramètres!$A$1:$I$89,5,0)</f>
        <v>66.385998545454541</v>
      </c>
      <c r="P19" s="13">
        <f t="shared" si="33"/>
        <v>18.773223617006281</v>
      </c>
      <c r="Q19" s="20">
        <f t="shared" si="2"/>
        <v>148.31897859961927</v>
      </c>
      <c r="R19" s="59">
        <f t="shared" si="0"/>
        <v>441.65231193295256</v>
      </c>
      <c r="S19" s="59">
        <f ca="1">AVERAGE(OFFSET($R$3,0,0,'Données projet'!$E$9+1,1))-AVERAGE(OFFSET($H$3,0,0,'Données projet'!$E$9+1,1))</f>
        <v>298.01613436147056</v>
      </c>
      <c r="T19" s="59">
        <f t="shared" si="34"/>
        <v>212.70221374431253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9.300476190476191</v>
      </c>
      <c r="AI19" s="13">
        <f>IF('Données projet'!$A$62&gt;35,AI18+AH19-AQ18,IF(A19&lt;'Données projet'!$A$62,$AF$205^A19,IF(A19='Données projet'!$A$62,'Données projet'!$B$62,AI18+AH19-AQ18)))</f>
        <v>55.630618640165025</v>
      </c>
      <c r="AJ19" s="13">
        <f>AI19*VLOOKUP('Données projet'!$B$10,Paramètres!$A$1:$I$89,3,0)*VLOOKUP('Données projet'!$B$10,Paramètres!$A$1:$I$89,5,0)</f>
        <v>31.097515819852248</v>
      </c>
      <c r="AK19" s="13">
        <f t="shared" si="35"/>
        <v>9.6055998559802376</v>
      </c>
      <c r="AL19" s="20">
        <f t="shared" si="4"/>
        <v>70.891259802074913</v>
      </c>
      <c r="AM19" s="59">
        <f t="shared" si="5"/>
        <v>364.22459313540821</v>
      </c>
      <c r="AN19" s="59">
        <f ca="1">AVERAGE(OFFSET($AM$3,0,0,'Données projet'!$E$10+1,1))-AVERAGE(OFFSET($H$3,0,0,'Données projet'!$E$10+1,1))</f>
        <v>287.413090017863</v>
      </c>
      <c r="AO19" s="59">
        <f t="shared" si="36"/>
        <v>258.48456031927117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243.33915530322201</v>
      </c>
      <c r="BJ19" s="59">
        <f t="shared" si="38"/>
        <v>247.73814704672577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3.6128770595040178</v>
      </c>
      <c r="BR19" s="21">
        <f>EXP(-LN(2)/2)*BR18+(1-EXP(-LN(2)/2))/(LN(2)/2)*BL19*BO19*VLOOKUP('Données projet'!$B$11,Paramètres!$A$1:$I$89,3,0)*0.475*44/12</f>
        <v>4.2464308544765972</v>
      </c>
      <c r="BS19" s="22">
        <f t="shared" si="9"/>
        <v>7.859307913980615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4.5856818181818184</v>
      </c>
      <c r="N20" s="13">
        <f>IF('Données projet'!$A$36&gt;35,N19+M20-V19,IF(A20&lt;'Données projet'!$A$36,$K$205^A20,IF(A20='Données projet'!$A$36,'Données projet'!$B$36,N19+M20-V19)))</f>
        <v>77.95659090909092</v>
      </c>
      <c r="O20" s="13">
        <f>N20*VLOOKUP('Données projet'!$B$9,Paramètres!$A$1:$I$89,3,0)*VLOOKUP('Données projet'!$B$9,Paramètres!$A$1:$I$89,5,0)</f>
        <v>70.53512345454547</v>
      </c>
      <c r="P20" s="13">
        <f t="shared" si="33"/>
        <v>19.806288627769469</v>
      </c>
      <c r="Q20" s="20">
        <f t="shared" si="2"/>
        <v>157.3446260433652</v>
      </c>
      <c r="R20" s="59">
        <f t="shared" si="0"/>
        <v>450.67795937669848</v>
      </c>
      <c r="S20" s="59">
        <f ca="1">AVERAGE(OFFSET($R$3,0,0,'Données projet'!$E$9+1,1))-AVERAGE(OFFSET($H$3,0,0,'Données projet'!$E$9+1,1))</f>
        <v>298.01613436147056</v>
      </c>
      <c r="T20" s="59">
        <f t="shared" si="34"/>
        <v>212.70221374431253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9.300476190476191</v>
      </c>
      <c r="AI20" s="13">
        <f>IF('Données projet'!$A$62&gt;35,AI19+AH20-AQ19,IF(A20&lt;'Données projet'!$A$62,$AF$205^A20,IF(A20='Données projet'!$A$62,'Données projet'!$B$62,AI19+AH20-AQ19)))</f>
        <v>71.514813044319794</v>
      </c>
      <c r="AJ20" s="13">
        <f>AI20*VLOOKUP('Données projet'!$B$10,Paramètres!$A$1:$I$89,3,0)*VLOOKUP('Données projet'!$B$10,Paramètres!$A$1:$I$89,5,0)</f>
        <v>39.976780491774768</v>
      </c>
      <c r="AK20" s="13">
        <f t="shared" si="35"/>
        <v>11.992492365518064</v>
      </c>
      <c r="AL20" s="20">
        <f t="shared" si="4"/>
        <v>90.513150226451685</v>
      </c>
      <c r="AM20" s="59">
        <f t="shared" si="5"/>
        <v>383.84648355978499</v>
      </c>
      <c r="AN20" s="59">
        <f ca="1">AVERAGE(OFFSET($AM$3,0,0,'Données projet'!$E$10+1,1))-AVERAGE(OFFSET($H$3,0,0,'Données projet'!$E$10+1,1))</f>
        <v>287.413090017863</v>
      </c>
      <c r="AO20" s="59">
        <f t="shared" si="36"/>
        <v>258.48456031927117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243.33915530322201</v>
      </c>
      <c r="BJ20" s="59">
        <f t="shared" si="38"/>
        <v>247.73814704672577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3.514082746318933</v>
      </c>
      <c r="BR20" s="21">
        <f>EXP(-LN(2)/2)*BR19+(1-EXP(-LN(2)/2))/(LN(2)/2)*BL20*BO20*VLOOKUP('Données projet'!$B$11,Paramètres!$A$1:$I$89,3,0)*0.475*44/12</f>
        <v>3.0026800530401876</v>
      </c>
      <c r="BS20" s="22">
        <f t="shared" si="9"/>
        <v>6.5167627993591211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4.5856818181818184</v>
      </c>
      <c r="N21" s="13">
        <f>IF('Données projet'!$A$36&gt;35,N20+M21-V20,IF(A21&lt;'Données projet'!$A$36,$K$205^A21,IF(A21='Données projet'!$A$36,'Données projet'!$B$36,N20+M21-V20)))</f>
        <v>82.542272727272746</v>
      </c>
      <c r="O21" s="13">
        <f>N21*VLOOKUP('Données projet'!$B$9,Paramètres!$A$1:$I$89,3,0)*VLOOKUP('Données projet'!$B$9,Paramètres!$A$1:$I$89,5,0)</f>
        <v>74.684248363636371</v>
      </c>
      <c r="P21" s="13">
        <f t="shared" si="33"/>
        <v>20.832300049203276</v>
      </c>
      <c r="Q21" s="20">
        <f t="shared" si="2"/>
        <v>166.35798848569573</v>
      </c>
      <c r="R21" s="59">
        <f t="shared" si="0"/>
        <v>459.69132181902904</v>
      </c>
      <c r="S21" s="59">
        <f ca="1">AVERAGE(OFFSET($R$3,0,0,'Données projet'!$E$9+1,1))-AVERAGE(OFFSET($H$3,0,0,'Données projet'!$E$9+1,1))</f>
        <v>298.01613436147056</v>
      </c>
      <c r="T21" s="59">
        <f t="shared" si="34"/>
        <v>212.70221374431253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9.300476190476191</v>
      </c>
      <c r="AI21" s="13">
        <f>IF('Données projet'!$A$62&gt;35,AI20+AH21-AQ20,IF(A21&lt;'Données projet'!$A$62,$AF$205^A21,IF(A21='Données projet'!$A$62,'Données projet'!$B$62,AI20+AH21-AQ20)))</f>
        <v>91.934416869336488</v>
      </c>
      <c r="AJ21" s="13">
        <f>AI21*VLOOKUP('Données projet'!$B$10,Paramètres!$A$1:$I$89,3,0)*VLOOKUP('Données projet'!$B$10,Paramètres!$A$1:$I$89,5,0)</f>
        <v>51.391339029959099</v>
      </c>
      <c r="AK21" s="13">
        <f t="shared" si="35"/>
        <v>14.972503049611195</v>
      </c>
      <c r="AL21" s="20">
        <f t="shared" si="4"/>
        <v>115.58369162191825</v>
      </c>
      <c r="AM21" s="59">
        <f t="shared" si="5"/>
        <v>408.91702495525158</v>
      </c>
      <c r="AN21" s="59">
        <f ca="1">AVERAGE(OFFSET($AM$3,0,0,'Données projet'!$E$10+1,1))-AVERAGE(OFFSET($H$3,0,0,'Données projet'!$E$10+1,1))</f>
        <v>287.413090017863</v>
      </c>
      <c r="AO21" s="59">
        <f t="shared" si="36"/>
        <v>258.48456031927117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243.33915530322201</v>
      </c>
      <c r="BJ21" s="59">
        <f t="shared" si="38"/>
        <v>247.73814704672577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3.4179899688232616</v>
      </c>
      <c r="BR21" s="21">
        <f>EXP(-LN(2)/2)*BR20+(1-EXP(-LN(2)/2))/(LN(2)/2)*BL21*BO21*VLOOKUP('Données projet'!$B$11,Paramètres!$A$1:$I$89,3,0)*0.475*44/12</f>
        <v>2.123215427238299</v>
      </c>
      <c r="BS21" s="22">
        <f t="shared" si="9"/>
        <v>5.5412053960615602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4.5856818181818184</v>
      </c>
      <c r="N22" s="13">
        <f>IF('Données projet'!$A$36&gt;35,N21+M22-V21,IF(A22&lt;'Données projet'!$A$36,$K$205^A22,IF(A22='Données projet'!$A$36,'Données projet'!$B$36,N21+M22-V21)))</f>
        <v>87.127954545454571</v>
      </c>
      <c r="O22" s="13">
        <f>N22*VLOOKUP('Données projet'!$B$9,Paramètres!$A$1:$I$89,3,0)*VLOOKUP('Données projet'!$B$9,Paramètres!$A$1:$I$89,5,0)</f>
        <v>78.833373272727286</v>
      </c>
      <c r="P22" s="13">
        <f t="shared" si="33"/>
        <v>21.851694410372286</v>
      </c>
      <c r="Q22" s="20">
        <f t="shared" si="2"/>
        <v>175.35982621473178</v>
      </c>
      <c r="R22" s="59">
        <f t="shared" si="0"/>
        <v>468.69315954806507</v>
      </c>
      <c r="S22" s="59">
        <f ca="1">AVERAGE(OFFSET($R$3,0,0,'Données projet'!$E$9+1,1))-AVERAGE(OFFSET($H$3,0,0,'Données projet'!$E$9+1,1))</f>
        <v>298.01613436147056</v>
      </c>
      <c r="T22" s="59">
        <f t="shared" si="34"/>
        <v>212.70221374431253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9.300476190476191</v>
      </c>
      <c r="AI22" s="13">
        <f>IF('Données projet'!$A$62&gt;35,AI21+AH22-AQ21,IF(A22&lt;'Données projet'!$A$62,$AF$205^A22,IF(A22='Données projet'!$A$62,'Données projet'!$B$62,AI21+AH22-AQ21)))</f>
        <v>118.18442425161669</v>
      </c>
      <c r="AJ22" s="13">
        <f>AI22*VLOOKUP('Données projet'!$B$10,Paramètres!$A$1:$I$89,3,0)*VLOOKUP('Données projet'!$B$10,Paramètres!$A$1:$I$89,5,0)</f>
        <v>66.065093156653731</v>
      </c>
      <c r="AK22" s="13">
        <f t="shared" si="35"/>
        <v>18.693015658295351</v>
      </c>
      <c r="AL22" s="20">
        <f t="shared" si="4"/>
        <v>147.62037285270299</v>
      </c>
      <c r="AM22" s="59">
        <f t="shared" si="5"/>
        <v>440.9537061860363</v>
      </c>
      <c r="AN22" s="59">
        <f ca="1">AVERAGE(OFFSET($AM$3,0,0,'Données projet'!$E$10+1,1))-AVERAGE(OFFSET($H$3,0,0,'Données projet'!$E$10+1,1))</f>
        <v>287.413090017863</v>
      </c>
      <c r="AO22" s="59">
        <f t="shared" si="36"/>
        <v>258.48456031927117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243.33915530322201</v>
      </c>
      <c r="BJ22" s="59">
        <f t="shared" si="38"/>
        <v>247.73814704672577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3.3245248533815088</v>
      </c>
      <c r="BR22" s="21">
        <f>EXP(-LN(2)/2)*BR21+(1-EXP(-LN(2)/2))/(LN(2)/2)*BL22*BO22*VLOOKUP('Données projet'!$B$11,Paramètres!$A$1:$I$89,3,0)*0.475*44/12</f>
        <v>1.501340026520094</v>
      </c>
      <c r="BS22" s="22">
        <f t="shared" si="9"/>
        <v>4.8258648799016033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4.5856818181818184</v>
      </c>
      <c r="N23" s="13">
        <f>IF('Données projet'!$A$36&gt;35,N22+M23-V22,IF(A23&lt;'Données projet'!$A$36,$K$205^A23,IF(A23='Données projet'!$A$36,'Données projet'!$B$36,N22+M23-V22)))</f>
        <v>91.713636363636397</v>
      </c>
      <c r="O23" s="13">
        <f>N23*VLOOKUP('Données projet'!$B$9,Paramètres!$A$1:$I$89,3,0)*VLOOKUP('Données projet'!$B$9,Paramètres!$A$1:$I$89,5,0)</f>
        <v>82.982498181818215</v>
      </c>
      <c r="P23" s="13">
        <f t="shared" si="33"/>
        <v>22.86485969464519</v>
      </c>
      <c r="Q23" s="20">
        <f t="shared" si="2"/>
        <v>184.35081496817375</v>
      </c>
      <c r="R23" s="59">
        <f t="shared" si="0"/>
        <v>477.68414830150709</v>
      </c>
      <c r="S23" s="59">
        <f ca="1">AVERAGE(OFFSET($R$3,0,0,'Données projet'!$E$9+1,1))-AVERAGE(OFFSET($H$3,0,0,'Données projet'!$E$9+1,1))</f>
        <v>298.01613436147056</v>
      </c>
      <c r="T23" s="59">
        <f t="shared" si="34"/>
        <v>212.70221374431253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9.300476190476191</v>
      </c>
      <c r="AI23" s="13">
        <f>IF('Données projet'!$A$62&gt;35,AI22+AH23-AQ22,IF(A23&lt;'Données projet'!$A$62,$AF$205^A23,IF(A23='Données projet'!$A$62,'Données projet'!$B$62,AI22+AH23-AQ22)))</f>
        <v>151.92958862770377</v>
      </c>
      <c r="AJ23" s="13">
        <f>AI23*VLOOKUP('Données projet'!$B$10,Paramètres!$A$1:$I$89,3,0)*VLOOKUP('Données projet'!$B$10,Paramètres!$A$1:$I$89,5,0)</f>
        <v>84.928640042886414</v>
      </c>
      <c r="AK23" s="13">
        <f t="shared" si="35"/>
        <v>23.338037283642365</v>
      </c>
      <c r="AL23" s="20">
        <f t="shared" si="4"/>
        <v>188.56446301037093</v>
      </c>
      <c r="AM23" s="59">
        <f t="shared" si="5"/>
        <v>481.89779634370427</v>
      </c>
      <c r="AN23" s="59">
        <f ca="1">AVERAGE(OFFSET($AM$3,0,0,'Données projet'!$E$10+1,1))-AVERAGE(OFFSET($H$3,0,0,'Données projet'!$E$10+1,1))</f>
        <v>287.413090017863</v>
      </c>
      <c r="AO23" s="59">
        <f t="shared" si="36"/>
        <v>258.48456031927117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243.33915530322201</v>
      </c>
      <c r="BJ23" s="59">
        <f t="shared" si="38"/>
        <v>247.73814704672577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7.2962939858416513</v>
      </c>
      <c r="BR23" s="21">
        <f>EXP(-LN(2)/2)*BR22+(1-EXP(-LN(2)/2))/(LN(2)/2)*BL23*BO23*VLOOKUP('Données projet'!$B$11,Paramètres!$A$1:$I$89,3,0)*0.475*44/12</f>
        <v>7.6299703296445607</v>
      </c>
      <c r="BS23" s="22">
        <f t="shared" si="9"/>
        <v>14.926264315486211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4.5856818181818184</v>
      </c>
      <c r="N24" s="13">
        <f>IF('Données projet'!$A$36&gt;35,N23+M24-V23,IF(A24&lt;'Données projet'!$A$36,$K$205^A24,IF(A24='Données projet'!$A$36,'Données projet'!$B$36,N23+M24-V23)))</f>
        <v>96.299318181818222</v>
      </c>
      <c r="O24" s="13">
        <f>N24*VLOOKUP('Données projet'!$B$9,Paramètres!$A$1:$I$89,3,0)*VLOOKUP('Données projet'!$B$9,Paramètres!$A$1:$I$89,5,0)</f>
        <v>87.13162309090913</v>
      </c>
      <c r="P24" s="13">
        <f t="shared" si="33"/>
        <v>23.872142895355385</v>
      </c>
      <c r="Q24" s="20">
        <f t="shared" si="2"/>
        <v>193.33155909274402</v>
      </c>
      <c r="R24" s="59">
        <f t="shared" si="0"/>
        <v>486.66489242607736</v>
      </c>
      <c r="S24" s="59">
        <f ca="1">AVERAGE(OFFSET($R$3,0,0,'Données projet'!$E$9+1,1))-AVERAGE(OFFSET($H$3,0,0,'Données projet'!$E$9+1,1))</f>
        <v>298.01613436147056</v>
      </c>
      <c r="T24" s="59">
        <f t="shared" si="34"/>
        <v>212.70221374431253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195.31</v>
      </c>
      <c r="AG24" s="12">
        <f>VLOOKUP(A24,'Données projet'!$A$61:$I$81,9,0)</f>
        <v>9.300476190476191</v>
      </c>
      <c r="AH24" s="12">
        <f t="array" ref="AH24">INDEX(AG:AG,MIN(IF(ISNUMBER(AG24:AG220),ROW(AG24:AG220),"")))</f>
        <v>9.300476190476191</v>
      </c>
      <c r="AI24" s="13">
        <f>IF('Données projet'!$A$62&gt;35,AI23+AH24-AQ23,IF(A24&lt;'Données projet'!$A$62,$AF$205^A24,IF(A24='Données projet'!$A$62,'Données projet'!$B$62,AI23+AH24-AQ23)))</f>
        <v>195.31</v>
      </c>
      <c r="AJ24" s="13">
        <f>AI24*VLOOKUP('Données projet'!$B$10,Paramètres!$A$1:$I$89,3,0)*VLOOKUP('Données projet'!$B$10,Paramètres!$A$1:$I$89,5,0)</f>
        <v>109.17829</v>
      </c>
      <c r="AK24" s="13">
        <f t="shared" si="35"/>
        <v>29.137298882589644</v>
      </c>
      <c r="AL24" s="20">
        <f t="shared" si="4"/>
        <v>240.89965063717693</v>
      </c>
      <c r="AM24" s="59">
        <f t="shared" si="5"/>
        <v>534.2329839705103</v>
      </c>
      <c r="AN24" s="59">
        <f ca="1">AVERAGE(OFFSET($AM$3,0,0,'Données projet'!$E$10+1,1))-AVERAGE(OFFSET($H$3,0,0,'Données projet'!$E$10+1,1))</f>
        <v>287.413090017863</v>
      </c>
      <c r="AO24" s="59">
        <f t="shared" si="36"/>
        <v>258.48456031927117</v>
      </c>
      <c r="AP24" s="15">
        <f>IF(ISNA(VLOOKUP(A24,'Données projet'!$A$61:$I$81,3,0)),0,VLOOKUP(A24,'Données projet'!$A$61:$I$81,3,0))</f>
        <v>1</v>
      </c>
      <c r="AQ24" s="15">
        <f>IF(ISNA(VLOOKUP(A24,'Données projet'!$A$61:$I$81,4,0)),0,VLOOKUP(A24,'Données projet'!$A$61:$I$81,4,0))</f>
        <v>64.599999999999994</v>
      </c>
      <c r="AR24" s="16">
        <f>IF(ISNA(VLOOKUP(A24,'Données projet'!$A$61:$I$81,5,0)),0%,VLOOKUP(A24,'Données projet'!$A$61:$I$81,5,0)*VLOOKUP('Données projet'!$B$10,Paramètres!$A$1:$I$89,7,0))</f>
        <v>0.13750000000000001</v>
      </c>
      <c r="AS24" s="16">
        <f>IF(ISNA(VLOOKUP(A24,'Données projet'!$A$61:$I$81,6,0)),0%,VLOOKUP(A24,'Données projet'!$A$61:$I$81,6,0)*VLOOKUP('Données projet'!$B$10,Paramètres!$A$1:$I$89,7,0))</f>
        <v>0.20350000000000001</v>
      </c>
      <c r="AT24" s="16">
        <f>IF(ISNA(VLOOKUP(A24,'Données projet'!$A$61:$I$81,7,0)),0%,VLOOKUP(A24,'Données projet'!$A$61:$I$81,7,0))</f>
        <v>0.38</v>
      </c>
      <c r="AU24" s="21">
        <f>EXP(-LN(2)/35)*AU23+(1-EXP(-LN(2)/35))/(LN(2)/35)*AQ24*AR24*VLOOKUP('Données projet'!$B$10,Paramètres!$A$1:$I$89,3,0)*0.475*44/12</f>
        <v>6.5868137054719185</v>
      </c>
      <c r="AV24" s="21">
        <f>EXP(-LN(2)/25)*AV23+(1-EXP(-LN(2)/25))/(LN(2)/25)*Calculateur!AQ24*Calculateur!AS24*VLOOKUP('Données projet'!$B$10,Paramètres!$A$1:$I$89,3,0)*0.475*44/12</f>
        <v>9.7101007870082245</v>
      </c>
      <c r="AW24" s="21">
        <f>EXP(-LN(2)/2)*AW23+(1-EXP(-LN(2)/2))/(LN(2)/2)*AQ24*AT24*VLOOKUP('Données projet'!$B$10,Paramètres!$A$1:$I$89,3,0)*0.475*44/12</f>
        <v>15.536867487780944</v>
      </c>
      <c r="AX24" s="21">
        <f t="shared" si="6"/>
        <v>31.833781980261087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243.33915530322201</v>
      </c>
      <c r="BJ24" s="59">
        <f t="shared" si="38"/>
        <v>247.73814704672577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7.0967764431033862</v>
      </c>
      <c r="BR24" s="21">
        <f>EXP(-LN(2)/2)*BR23+(1-EXP(-LN(2)/2))/(LN(2)/2)*BL24*BO24*VLOOKUP('Données projet'!$B$11,Paramètres!$A$1:$I$89,3,0)*0.475*44/12</f>
        <v>5.3952037603438265</v>
      </c>
      <c r="BS24" s="22">
        <f t="shared" si="9"/>
        <v>12.491980203447213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4.5856818181818184</v>
      </c>
      <c r="N25" s="13">
        <f>IF('Données projet'!$A$36&gt;35,N24+M25-V24,IF(A25&lt;'Données projet'!$A$36,$K$205^A25,IF(A25='Données projet'!$A$36,'Données projet'!$B$36,N24+M25-V24)))</f>
        <v>100.88500000000005</v>
      </c>
      <c r="O25" s="13">
        <f>N25*VLOOKUP('Données projet'!$B$9,Paramètres!$A$1:$I$89,3,0)*VLOOKUP('Données projet'!$B$9,Paramètres!$A$1:$I$89,5,0)</f>
        <v>91.280748000000031</v>
      </c>
      <c r="P25" s="13">
        <f t="shared" si="33"/>
        <v>24.873856091511385</v>
      </c>
      <c r="Q25" s="20">
        <f t="shared" si="2"/>
        <v>202.30260212604904</v>
      </c>
      <c r="R25" s="59">
        <f t="shared" si="0"/>
        <v>495.63593545938238</v>
      </c>
      <c r="S25" s="59">
        <f ca="1">AVERAGE(OFFSET($R$3,0,0,'Données projet'!$E$9+1,1))-AVERAGE(OFFSET($H$3,0,0,'Données projet'!$E$9+1,1))</f>
        <v>298.01613436147056</v>
      </c>
      <c r="T25" s="59">
        <f t="shared" si="34"/>
        <v>212.70221374431253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21.61428571428571</v>
      </c>
      <c r="AI25" s="13">
        <f>IF('Données projet'!$A$62&gt;35,AI24+AH25-AQ24,IF(A25&lt;'Données projet'!$A$62,$AF$205^A25,IF(A25='Données projet'!$A$62,'Données projet'!$B$62,AI24+AH25-AQ24)))</f>
        <v>152.32428571428571</v>
      </c>
      <c r="AJ25" s="13">
        <f>AI25*VLOOKUP('Données projet'!$B$10,Paramètres!$A$1:$I$89,3,0)*VLOOKUP('Données projet'!$B$10,Paramètres!$A$1:$I$89,5,0)</f>
        <v>85.149275714285707</v>
      </c>
      <c r="AK25" s="13">
        <f t="shared" si="35"/>
        <v>23.391601652187223</v>
      </c>
      <c r="AL25" s="20">
        <f t="shared" si="4"/>
        <v>189.04202807994034</v>
      </c>
      <c r="AM25" s="59">
        <f t="shared" si="5"/>
        <v>482.37536141327365</v>
      </c>
      <c r="AN25" s="59">
        <f ca="1">AVERAGE(OFFSET($AM$3,0,0,'Données projet'!$E$10+1,1))-AVERAGE(OFFSET($H$3,0,0,'Données projet'!$E$10+1,1))</f>
        <v>287.413090017863</v>
      </c>
      <c r="AO25" s="59">
        <f t="shared" si="36"/>
        <v>258.48456031927117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6.457650306267273</v>
      </c>
      <c r="AV25" s="21">
        <f>EXP(-LN(2)/25)*AV24+(1-EXP(-LN(2)/25))/(LN(2)/25)*Calculateur!AQ25*Calculateur!AS25*VLOOKUP('Données projet'!$B$10,Paramètres!$A$1:$I$89,3,0)*0.475*44/12</f>
        <v>9.4445775703554773</v>
      </c>
      <c r="AW25" s="21">
        <f>EXP(-LN(2)/2)*AW24+(1-EXP(-LN(2)/2))/(LN(2)/2)*AQ25*AT25*VLOOKUP('Données projet'!$B$10,Paramètres!$A$1:$I$89,3,0)*0.475*44/12</f>
        <v>10.986224359006705</v>
      </c>
      <c r="AX25" s="21">
        <f t="shared" si="6"/>
        <v>26.888452235629455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243.33915530322201</v>
      </c>
      <c r="BJ25" s="59">
        <f t="shared" si="38"/>
        <v>247.73814704672577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6.9027147180634705</v>
      </c>
      <c r="BR25" s="21">
        <f>EXP(-LN(2)/2)*BR24+(1-EXP(-LN(2)/2))/(LN(2)/2)*BL25*BO25*VLOOKUP('Données projet'!$B$11,Paramètres!$A$1:$I$89,3,0)*0.475*44/12</f>
        <v>3.8149851648222808</v>
      </c>
      <c r="BS25" s="22">
        <f t="shared" si="9"/>
        <v>10.717699882885752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4.5856818181818184</v>
      </c>
      <c r="N26" s="13">
        <f>IF('Données projet'!$A$36&gt;35,N25+M26-V25,IF(A26&lt;'Données projet'!$A$36,$K$205^A26,IF(A26='Données projet'!$A$36,'Données projet'!$B$36,N25+M26-V25)))</f>
        <v>105.47068181818187</v>
      </c>
      <c r="O26" s="13">
        <f>N26*VLOOKUP('Données projet'!$B$9,Paramètres!$A$1:$I$89,3,0)*VLOOKUP('Données projet'!$B$9,Paramètres!$A$1:$I$89,5,0)</f>
        <v>95.429872909090946</v>
      </c>
      <c r="P26" s="13">
        <f t="shared" si="33"/>
        <v>25.870281387606134</v>
      </c>
      <c r="Q26" s="20">
        <f t="shared" si="2"/>
        <v>211.26443540008074</v>
      </c>
      <c r="R26" s="59">
        <f t="shared" si="0"/>
        <v>504.59776873341406</v>
      </c>
      <c r="S26" s="59">
        <f ca="1">AVERAGE(OFFSET($R$3,0,0,'Données projet'!$E$9+1,1))-AVERAGE(OFFSET($H$3,0,0,'Données projet'!$E$9+1,1))</f>
        <v>298.01613436147056</v>
      </c>
      <c r="T26" s="59">
        <f t="shared" si="34"/>
        <v>212.70221374431253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21.61428571428571</v>
      </c>
      <c r="AI26" s="13">
        <f>IF('Données projet'!$A$62&gt;35,AI25+AH26-AQ25,IF(A26&lt;'Données projet'!$A$62,$AF$205^A26,IF(A26='Données projet'!$A$62,'Données projet'!$B$62,AI25+AH26-AQ25)))</f>
        <v>173.93857142857141</v>
      </c>
      <c r="AJ26" s="13">
        <f>AI26*VLOOKUP('Données projet'!$B$10,Paramètres!$A$1:$I$89,3,0)*VLOOKUP('Données projet'!$B$10,Paramètres!$A$1:$I$89,5,0)</f>
        <v>97.231661428571414</v>
      </c>
      <c r="AK26" s="13">
        <f t="shared" si="35"/>
        <v>26.301405349792162</v>
      </c>
      <c r="AL26" s="20">
        <f t="shared" si="4"/>
        <v>215.15342463898321</v>
      </c>
      <c r="AM26" s="59">
        <f t="shared" si="5"/>
        <v>508.48675797231652</v>
      </c>
      <c r="AN26" s="59">
        <f ca="1">AVERAGE(OFFSET($AM$3,0,0,'Données projet'!$E$10+1,1))-AVERAGE(OFFSET($H$3,0,0,'Données projet'!$E$10+1,1))</f>
        <v>287.413090017863</v>
      </c>
      <c r="AO26" s="59">
        <f t="shared" si="36"/>
        <v>258.48456031927117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6.3310197225391365</v>
      </c>
      <c r="AV26" s="21">
        <f>EXP(-LN(2)/25)*AV25+(1-EXP(-LN(2)/25))/(LN(2)/25)*Calculateur!AQ26*Calculateur!AS26*VLOOKUP('Données projet'!$B$10,Paramètres!$A$1:$I$89,3,0)*0.475*44/12</f>
        <v>9.1863151000253573</v>
      </c>
      <c r="AW26" s="21">
        <f>EXP(-LN(2)/2)*AW25+(1-EXP(-LN(2)/2))/(LN(2)/2)*AQ26*AT26*VLOOKUP('Données projet'!$B$10,Paramètres!$A$1:$I$89,3,0)*0.475*44/12</f>
        <v>7.7684337438904736</v>
      </c>
      <c r="AX26" s="21">
        <f t="shared" si="6"/>
        <v>23.285768566454966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243.33915530322201</v>
      </c>
      <c r="BJ26" s="59">
        <f t="shared" si="38"/>
        <v>247.73814704672577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6.7139596211000345</v>
      </c>
      <c r="BR26" s="21">
        <f>EXP(-LN(2)/2)*BR25+(1-EXP(-LN(2)/2))/(LN(2)/2)*BL26*BO26*VLOOKUP('Données projet'!$B$11,Paramètres!$A$1:$I$89,3,0)*0.475*44/12</f>
        <v>2.6976018801719137</v>
      </c>
      <c r="BS26" s="22">
        <f t="shared" si="9"/>
        <v>9.4115615012719473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4.5856818181818184</v>
      </c>
      <c r="N27" s="13">
        <f>IF('Données projet'!$A$36&gt;35,N26+M27-V26,IF(A27&lt;'Données projet'!$A$36,$K$205^A27,IF(A27='Données projet'!$A$36,'Données projet'!$B$36,N26+M27-V26)))</f>
        <v>110.0563636363637</v>
      </c>
      <c r="O27" s="13">
        <f>N27*VLOOKUP('Données projet'!$B$9,Paramètres!$A$1:$I$89,3,0)*VLOOKUP('Données projet'!$B$9,Paramètres!$A$1:$I$89,5,0)</f>
        <v>99.578997818181875</v>
      </c>
      <c r="P27" s="13">
        <f t="shared" si="33"/>
        <v>26.861674970087829</v>
      </c>
      <c r="Q27" s="20">
        <f t="shared" si="2"/>
        <v>220.21750510623642</v>
      </c>
      <c r="R27" s="59">
        <f t="shared" si="0"/>
        <v>513.5508384395697</v>
      </c>
      <c r="S27" s="59">
        <f ca="1">AVERAGE(OFFSET($R$3,0,0,'Données projet'!$E$9+1,1))-AVERAGE(OFFSET($H$3,0,0,'Données projet'!$E$9+1,1))</f>
        <v>298.01613436147056</v>
      </c>
      <c r="T27" s="59">
        <f t="shared" si="34"/>
        <v>212.70221374431253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21.61428571428571</v>
      </c>
      <c r="AI27" s="13">
        <f>IF('Données projet'!$A$62&gt;35,AI26+AH27-AQ26,IF(A27&lt;'Données projet'!$A$62,$AF$205^A27,IF(A27='Données projet'!$A$62,'Données projet'!$B$62,AI26+AH27-AQ26)))</f>
        <v>195.55285714285711</v>
      </c>
      <c r="AJ27" s="13">
        <f>AI27*VLOOKUP('Données projet'!$B$10,Paramètres!$A$1:$I$89,3,0)*VLOOKUP('Données projet'!$B$10,Paramètres!$A$1:$I$89,5,0)</f>
        <v>109.31404714285712</v>
      </c>
      <c r="AK27" s="13">
        <f t="shared" si="35"/>
        <v>29.169309937147133</v>
      </c>
      <c r="AL27" s="20">
        <f t="shared" si="4"/>
        <v>241.19184691434074</v>
      </c>
      <c r="AM27" s="59">
        <f t="shared" si="5"/>
        <v>534.52518024767403</v>
      </c>
      <c r="AN27" s="59">
        <f ca="1">AVERAGE(OFFSET($AM$3,0,0,'Données projet'!$E$10+1,1))-AVERAGE(OFFSET($H$3,0,0,'Données projet'!$E$10+1,1))</f>
        <v>287.413090017863</v>
      </c>
      <c r="AO27" s="59">
        <f t="shared" si="36"/>
        <v>258.48456031927117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6.2068722873208797</v>
      </c>
      <c r="AV27" s="21">
        <f>EXP(-LN(2)/25)*AV26+(1-EXP(-LN(2)/25))/(LN(2)/25)*Calculateur!AQ27*Calculateur!AS27*VLOOKUP('Données projet'!$B$10,Paramètres!$A$1:$I$89,3,0)*0.475*44/12</f>
        <v>8.9351148305278478</v>
      </c>
      <c r="AW27" s="21">
        <f>EXP(-LN(2)/2)*AW26+(1-EXP(-LN(2)/2))/(LN(2)/2)*AQ27*AT27*VLOOKUP('Données projet'!$B$10,Paramètres!$A$1:$I$89,3,0)*0.475*44/12</f>
        <v>5.4931121795033535</v>
      </c>
      <c r="AX27" s="21">
        <f t="shared" si="6"/>
        <v>20.635099297352081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243.33915530322201</v>
      </c>
      <c r="BJ27" s="59">
        <f t="shared" si="38"/>
        <v>247.73814704672577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6.5303660421892626</v>
      </c>
      <c r="BR27" s="21">
        <f>EXP(-LN(2)/2)*BR26+(1-EXP(-LN(2)/2))/(LN(2)/2)*BL27*BO27*VLOOKUP('Données projet'!$B$11,Paramètres!$A$1:$I$89,3,0)*0.475*44/12</f>
        <v>1.9074925824111406</v>
      </c>
      <c r="BS27" s="22">
        <f t="shared" si="9"/>
        <v>8.4378586246004037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4.5856818181818184</v>
      </c>
      <c r="N28" s="13">
        <f>IF('Données projet'!$A$36&gt;35,N27+M28-V27,IF(A28&lt;'Données projet'!$A$36,$K$205^A28,IF(A28='Données projet'!$A$36,'Données projet'!$B$36,N27+M28-V27)))</f>
        <v>114.64204545454552</v>
      </c>
      <c r="O28" s="13">
        <f>N28*VLOOKUP('Données projet'!$B$9,Paramètres!$A$1:$I$89,3,0)*VLOOKUP('Données projet'!$B$9,Paramètres!$A$1:$I$89,5,0)</f>
        <v>103.72812272727279</v>
      </c>
      <c r="P28" s="13">
        <f t="shared" si="33"/>
        <v>27.848270468701784</v>
      </c>
      <c r="Q28" s="20">
        <f t="shared" si="2"/>
        <v>229.16221814965567</v>
      </c>
      <c r="R28" s="59">
        <f t="shared" si="0"/>
        <v>522.49555148298896</v>
      </c>
      <c r="S28" s="59">
        <f ca="1">AVERAGE(OFFSET($R$3,0,0,'Données projet'!$E$9+1,1))-AVERAGE(OFFSET($H$3,0,0,'Données projet'!$E$9+1,1))</f>
        <v>298.01613436147056</v>
      </c>
      <c r="T28" s="59">
        <f t="shared" si="34"/>
        <v>212.70221374431253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21.61428571428571</v>
      </c>
      <c r="AI28" s="13">
        <f>IF('Données projet'!$A$62&gt;35,AI27+AH28-AQ27,IF(A28&lt;'Données projet'!$A$62,$AF$205^A28,IF(A28='Données projet'!$A$62,'Données projet'!$B$62,AI27+AH28-AQ27)))</f>
        <v>217.16714285714281</v>
      </c>
      <c r="AJ28" s="13">
        <f>AI28*VLOOKUP('Données projet'!$B$10,Paramètres!$A$1:$I$89,3,0)*VLOOKUP('Données projet'!$B$10,Paramètres!$A$1:$I$89,5,0)</f>
        <v>121.39643285714283</v>
      </c>
      <c r="AK28" s="13">
        <f t="shared" si="35"/>
        <v>32.00047469196349</v>
      </c>
      <c r="AL28" s="20">
        <f t="shared" si="4"/>
        <v>267.16628064802683</v>
      </c>
      <c r="AM28" s="59">
        <f t="shared" si="5"/>
        <v>560.4996139813602</v>
      </c>
      <c r="AN28" s="59">
        <f ca="1">AVERAGE(OFFSET($AM$3,0,0,'Données projet'!$E$10+1,1))-AVERAGE(OFFSET($H$3,0,0,'Données projet'!$E$10+1,1))</f>
        <v>287.413090017863</v>
      </c>
      <c r="AO28" s="59">
        <f t="shared" si="36"/>
        <v>258.48456031927117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6.0851593075847941</v>
      </c>
      <c r="AV28" s="21">
        <f>EXP(-LN(2)/25)*AV27+(1-EXP(-LN(2)/25))/(LN(2)/25)*Calculateur!AQ28*Calculateur!AS28*VLOOKUP('Données projet'!$B$10,Paramètres!$A$1:$I$89,3,0)*0.475*44/12</f>
        <v>8.6907836456097964</v>
      </c>
      <c r="AW28" s="21">
        <f>EXP(-LN(2)/2)*AW27+(1-EXP(-LN(2)/2))/(LN(2)/2)*AQ28*AT28*VLOOKUP('Données projet'!$B$10,Paramètres!$A$1:$I$89,3,0)*0.475*44/12</f>
        <v>3.8842168719452372</v>
      </c>
      <c r="AX28" s="21">
        <f t="shared" si="6"/>
        <v>18.660159825139829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243.33915530322201</v>
      </c>
      <c r="BJ28" s="59">
        <f t="shared" si="38"/>
        <v>247.73814704672577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10.414471278753595</v>
      </c>
      <c r="BR28" s="21">
        <f>EXP(-LN(2)/2)*BR27+(1-EXP(-LN(2)/2))/(LN(2)/2)*BL28*BO28*VLOOKUP('Données projet'!$B$11,Paramètres!$A$1:$I$89,3,0)*0.475*44/12</f>
        <v>7.917163556111368</v>
      </c>
      <c r="BS28" s="22">
        <f t="shared" si="9"/>
        <v>18.331634834864964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4.5856818181818184</v>
      </c>
      <c r="N29" s="13">
        <f>IF('Données projet'!$A$36&gt;35,N28+M29-V28,IF(A29&lt;'Données projet'!$A$36,$K$205^A29,IF(A29='Données projet'!$A$36,'Données projet'!$B$36,N28+M29-V28)))</f>
        <v>119.22772727272735</v>
      </c>
      <c r="O29" s="13">
        <f>N29*VLOOKUP('Données projet'!$B$9,Paramètres!$A$1:$I$89,3,0)*VLOOKUP('Données projet'!$B$9,Paramètres!$A$1:$I$89,5,0)</f>
        <v>107.87724763636369</v>
      </c>
      <c r="P29" s="13">
        <f t="shared" si="33"/>
        <v>28.830281764878382</v>
      </c>
      <c r="Q29" s="20">
        <f t="shared" si="2"/>
        <v>238.09894704049665</v>
      </c>
      <c r="R29" s="59">
        <f t="shared" si="0"/>
        <v>531.43228037382994</v>
      </c>
      <c r="S29" s="59">
        <f ca="1">AVERAGE(OFFSET($R$3,0,0,'Données projet'!$E$9+1,1))-AVERAGE(OFFSET($H$3,0,0,'Données projet'!$E$9+1,1))</f>
        <v>298.01613436147056</v>
      </c>
      <c r="T29" s="59">
        <f t="shared" si="34"/>
        <v>212.70221374431253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21.61428571428571</v>
      </c>
      <c r="AI29" s="13">
        <f>IF('Données projet'!$A$62&gt;35,AI28+AH29-AQ28,IF(A29&lt;'Données projet'!$A$62,$AF$205^A29,IF(A29='Données projet'!$A$62,'Données projet'!$B$62,AI28+AH29-AQ28)))</f>
        <v>238.78142857142851</v>
      </c>
      <c r="AJ29" s="13">
        <f>AI29*VLOOKUP('Données projet'!$B$10,Paramètres!$A$1:$I$89,3,0)*VLOOKUP('Données projet'!$B$10,Paramètres!$A$1:$I$89,5,0)</f>
        <v>133.47881857142855</v>
      </c>
      <c r="AK29" s="13">
        <f t="shared" si="35"/>
        <v>34.798972504515248</v>
      </c>
      <c r="AL29" s="20">
        <f t="shared" si="4"/>
        <v>293.08381945726882</v>
      </c>
      <c r="AM29" s="59">
        <f t="shared" si="5"/>
        <v>586.41715279060213</v>
      </c>
      <c r="AN29" s="59">
        <f ca="1">AVERAGE(OFFSET($AM$3,0,0,'Données projet'!$E$10+1,1))-AVERAGE(OFFSET($H$3,0,0,'Données projet'!$E$10+1,1))</f>
        <v>287.413090017863</v>
      </c>
      <c r="AO29" s="59">
        <f t="shared" si="36"/>
        <v>258.48456031927117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5.9658330451437456</v>
      </c>
      <c r="AV29" s="21">
        <f>EXP(-LN(2)/25)*AV28+(1-EXP(-LN(2)/25))/(LN(2)/25)*Calculateur!AQ29*Calculateur!AS29*VLOOKUP('Données projet'!$B$10,Paramètres!$A$1:$I$89,3,0)*0.475*44/12</f>
        <v>8.453133709792148</v>
      </c>
      <c r="AW29" s="21">
        <f>EXP(-LN(2)/2)*AW28+(1-EXP(-LN(2)/2))/(LN(2)/2)*AQ29*AT29*VLOOKUP('Données projet'!$B$10,Paramètres!$A$1:$I$89,3,0)*0.475*44/12</f>
        <v>2.7465560897516772</v>
      </c>
      <c r="AX29" s="21">
        <f t="shared" si="6"/>
        <v>17.165522844687573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243.33915530322201</v>
      </c>
      <c r="BJ29" s="59">
        <f t="shared" si="38"/>
        <v>247.73814704672577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10.129687013962837</v>
      </c>
      <c r="BR29" s="21">
        <f>EXP(-LN(2)/2)*BR28+(1-EXP(-LN(2)/2))/(LN(2)/2)*BL29*BO29*VLOOKUP('Données projet'!$B$11,Paramètres!$A$1:$I$89,3,0)*0.475*44/12</f>
        <v>5.5982800382893503</v>
      </c>
      <c r="BS29" s="22">
        <f t="shared" si="9"/>
        <v>15.727967052252186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4.5856818181818184</v>
      </c>
      <c r="N30" s="13">
        <f>IF('Données projet'!$A$36&gt;35,N29+M30-V29,IF(A30&lt;'Données projet'!$A$36,$K$205^A30,IF(A30='Données projet'!$A$36,'Données projet'!$B$36,N29+M30-V29)))</f>
        <v>123.81340909090918</v>
      </c>
      <c r="O30" s="13">
        <f>N30*VLOOKUP('Données projet'!$B$9,Paramètres!$A$1:$I$89,3,0)*VLOOKUP('Données projet'!$B$9,Paramètres!$A$1:$I$89,5,0)</f>
        <v>112.02637254545461</v>
      </c>
      <c r="P30" s="13">
        <f t="shared" si="33"/>
        <v>29.807905355909242</v>
      </c>
      <c r="Q30" s="20">
        <f t="shared" si="2"/>
        <v>247.02803401154202</v>
      </c>
      <c r="R30" s="59">
        <f t="shared" si="0"/>
        <v>540.36136734487536</v>
      </c>
      <c r="S30" s="59">
        <f ca="1">AVERAGE(OFFSET($R$3,0,0,'Données projet'!$E$9+1,1))-AVERAGE(OFFSET($H$3,0,0,'Données projet'!$E$9+1,1))</f>
        <v>298.01613436147056</v>
      </c>
      <c r="T30" s="59">
        <f t="shared" si="34"/>
        <v>212.70221374431253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21.61428571428571</v>
      </c>
      <c r="AI30" s="13">
        <f>IF('Données projet'!$A$62&gt;35,AI29+AH30-AQ29,IF(A30&lt;'Données projet'!$A$62,$AF$205^A30,IF(A30='Données projet'!$A$62,'Données projet'!$B$62,AI29+AH30-AQ29)))</f>
        <v>260.39571428571423</v>
      </c>
      <c r="AJ30" s="13">
        <f>AI30*VLOOKUP('Données projet'!$B$10,Paramètres!$A$1:$I$89,3,0)*VLOOKUP('Données projet'!$B$10,Paramètres!$A$1:$I$89,5,0)</f>
        <v>145.56120428571427</v>
      </c>
      <c r="AK30" s="13">
        <f t="shared" si="35"/>
        <v>37.568096638366988</v>
      </c>
      <c r="AL30" s="20">
        <f t="shared" si="4"/>
        <v>318.95019910944154</v>
      </c>
      <c r="AM30" s="59">
        <f t="shared" si="5"/>
        <v>612.28353244277491</v>
      </c>
      <c r="AN30" s="59">
        <f ca="1">AVERAGE(OFFSET($AM$3,0,0,'Données projet'!$E$10+1,1))-AVERAGE(OFFSET($H$3,0,0,'Données projet'!$E$10+1,1))</f>
        <v>287.413090017863</v>
      </c>
      <c r="AO30" s="59">
        <f t="shared" si="36"/>
        <v>258.48456031927117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5.8488466979273328</v>
      </c>
      <c r="AV30" s="21">
        <f>EXP(-LN(2)/25)*AV29+(1-EXP(-LN(2)/25))/(LN(2)/25)*Calculateur!AQ30*Calculateur!AS30*VLOOKUP('Données projet'!$B$10,Paramètres!$A$1:$I$89,3,0)*0.475*44/12</f>
        <v>8.2219823239669001</v>
      </c>
      <c r="AW30" s="21">
        <f>EXP(-LN(2)/2)*AW29+(1-EXP(-LN(2)/2))/(LN(2)/2)*AQ30*AT30*VLOOKUP('Données projet'!$B$10,Paramètres!$A$1:$I$89,3,0)*0.475*44/12</f>
        <v>1.9421084359726188</v>
      </c>
      <c r="AX30" s="21">
        <f t="shared" si="6"/>
        <v>16.012937457866851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243.33915530322201</v>
      </c>
      <c r="BJ30" s="59">
        <f t="shared" si="38"/>
        <v>247.73814704672577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9.8526901898689339</v>
      </c>
      <c r="BR30" s="21">
        <f>EXP(-LN(2)/2)*BR29+(1-EXP(-LN(2)/2))/(LN(2)/2)*BL30*BO30*VLOOKUP('Données projet'!$B$11,Paramètres!$A$1:$I$89,3,0)*0.475*44/12</f>
        <v>3.9585817780556849</v>
      </c>
      <c r="BS30" s="22">
        <f t="shared" si="9"/>
        <v>13.811271967924618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4.5856818181818184</v>
      </c>
      <c r="N31" s="13">
        <f>IF('Données projet'!$A$36&gt;35,N30+M31-V30,IF(A31&lt;'Données projet'!$A$36,$K$205^A31,IF(A31='Données projet'!$A$36,'Données projet'!$B$36,N30+M31-V30)))</f>
        <v>128.399090909091</v>
      </c>
      <c r="O31" s="13">
        <f>N31*VLOOKUP('Données projet'!$B$9,Paramètres!$A$1:$I$89,3,0)*VLOOKUP('Données projet'!$B$9,Paramètres!$A$1:$I$89,5,0)</f>
        <v>116.17549745454552</v>
      </c>
      <c r="P31" s="13">
        <f t="shared" si="33"/>
        <v>30.781322359028373</v>
      </c>
      <c r="Q31" s="20">
        <f t="shared" si="2"/>
        <v>255.94979450864125</v>
      </c>
      <c r="R31" s="59">
        <f t="shared" si="0"/>
        <v>549.28312784197453</v>
      </c>
      <c r="S31" s="59">
        <f ca="1">AVERAGE(OFFSET($R$3,0,0,'Données projet'!$E$9+1,1))-AVERAGE(OFFSET($H$3,0,0,'Données projet'!$E$9+1,1))</f>
        <v>298.01613436147056</v>
      </c>
      <c r="T31" s="59">
        <f t="shared" si="34"/>
        <v>212.70221374431253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282.01</v>
      </c>
      <c r="AG31" s="12">
        <f>VLOOKUP(A31,'Données projet'!$A$61:$I$81,9,0)</f>
        <v>21.61428571428571</v>
      </c>
      <c r="AH31" s="12">
        <f t="array" ref="AH31">INDEX(AG:AG,MIN(IF(ISNUMBER(AG31:AG227),ROW(AG31:AG227),"")))</f>
        <v>21.61428571428571</v>
      </c>
      <c r="AI31" s="13">
        <f>IF('Données projet'!$A$62&gt;35,AI30+AH31-AQ30,IF(A31&lt;'Données projet'!$A$62,$AF$205^A31,IF(A31='Données projet'!$A$62,'Données projet'!$B$62,AI30+AH31-AQ30)))</f>
        <v>282.00999999999993</v>
      </c>
      <c r="AJ31" s="13">
        <f>AI31*VLOOKUP('Données projet'!$B$10,Paramètres!$A$1:$I$89,3,0)*VLOOKUP('Données projet'!$B$10,Paramètres!$A$1:$I$89,5,0)</f>
        <v>157.64358999999996</v>
      </c>
      <c r="AK31" s="13">
        <f t="shared" si="35"/>
        <v>40.310562469543989</v>
      </c>
      <c r="AL31" s="20">
        <f t="shared" si="4"/>
        <v>344.77014888445569</v>
      </c>
      <c r="AM31" s="59">
        <f t="shared" si="5"/>
        <v>638.10348221778895</v>
      </c>
      <c r="AN31" s="59">
        <f ca="1">AVERAGE(OFFSET($AM$3,0,0,'Données projet'!$E$10+1,1))-AVERAGE(OFFSET($H$3,0,0,'Données projet'!$E$10+1,1))</f>
        <v>287.413090017863</v>
      </c>
      <c r="AO31" s="59">
        <f t="shared" si="36"/>
        <v>258.48456031927117</v>
      </c>
      <c r="AP31" s="15">
        <f>IF(ISNA(VLOOKUP(A31,'Données projet'!$A$61:$I$81,3,0)),0,VLOOKUP(A31,'Données projet'!$A$61:$I$81,3,0))</f>
        <v>2</v>
      </c>
      <c r="AQ31" s="15">
        <f>IF(ISNA(VLOOKUP(A31,'Données projet'!$A$61:$I$81,4,0)),0,VLOOKUP(A31,'Données projet'!$A$61:$I$81,4,0))</f>
        <v>67.639999999999986</v>
      </c>
      <c r="AR31" s="16">
        <f>IF(ISNA(VLOOKUP(A31,'Données projet'!$A$61:$I$81,5,0)),0%,VLOOKUP(A31,'Données projet'!$A$61:$I$81,5,0)*VLOOKUP('Données projet'!$B$10,Paramètres!$A$1:$I$89,7,0))</f>
        <v>0.13750000000000001</v>
      </c>
      <c r="AS31" s="16">
        <f>IF(ISNA(VLOOKUP(A31,'Données projet'!$A$61:$I$81,6,0)),0%,VLOOKUP(A31,'Données projet'!$A$61:$I$81,6,0)*VLOOKUP('Données projet'!$B$10,Paramètres!$A$1:$I$89,7,0))</f>
        <v>0.20350000000000001</v>
      </c>
      <c r="AT31" s="16">
        <f>IF(ISNA(VLOOKUP(A31,'Données projet'!$A$61:$I$81,7,0)),0%,VLOOKUP(A31,'Données projet'!$A$61:$I$81,7,0))</f>
        <v>0.38</v>
      </c>
      <c r="AU31" s="21">
        <f>EXP(-LN(2)/35)*AU30+(1-EXP(-LN(2)/35))/(LN(2)/35)*AQ31*AR31*VLOOKUP('Données projet'!$B$10,Paramètres!$A$1:$I$89,3,0)*0.475*44/12</f>
        <v>12.630935790884042</v>
      </c>
      <c r="AV31" s="21">
        <f>EXP(-LN(2)/25)*AV30+(1-EXP(-LN(2)/25))/(LN(2)/25)*Calculateur!AQ31*Calculateur!AS31*VLOOKUP('Données projet'!$B$10,Paramètres!$A$1:$I$89,3,0)*0.475*44/12</f>
        <v>18.164198491339612</v>
      </c>
      <c r="AW31" s="21">
        <f>EXP(-LN(2)/2)*AW30+(1-EXP(-LN(2)/2))/(LN(2)/2)*AQ31*AT31*VLOOKUP('Données projet'!$B$10,Paramètres!$A$1:$I$89,3,0)*0.475*44/12</f>
        <v>17.641292237964119</v>
      </c>
      <c r="AX31" s="21">
        <f t="shared" si="6"/>
        <v>48.436426520187773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243.33915530322201</v>
      </c>
      <c r="BJ31" s="59">
        <f t="shared" si="38"/>
        <v>247.73814704672577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9.5832678584965088</v>
      </c>
      <c r="BR31" s="21">
        <f>EXP(-LN(2)/2)*BR30+(1-EXP(-LN(2)/2))/(LN(2)/2)*BL31*BO31*VLOOKUP('Données projet'!$B$11,Paramètres!$A$1:$I$89,3,0)*0.475*44/12</f>
        <v>2.7991400191446756</v>
      </c>
      <c r="BS31" s="22">
        <f t="shared" si="9"/>
        <v>12.382407877641185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4.5856818181818184</v>
      </c>
      <c r="N32" s="13">
        <f>IF('Données projet'!$A$36&gt;35,N31+M32-V31,IF(A32&lt;'Données projet'!$A$36,$K$205^A32,IF(A32='Données projet'!$A$36,'Données projet'!$B$36,N31+M32-V31)))</f>
        <v>132.98477272727283</v>
      </c>
      <c r="O32" s="13">
        <f>N32*VLOOKUP('Données projet'!$B$9,Paramètres!$A$1:$I$89,3,0)*VLOOKUP('Données projet'!$B$9,Paramètres!$A$1:$I$89,5,0)</f>
        <v>120.32462236363645</v>
      </c>
      <c r="P32" s="13">
        <f t="shared" si="33"/>
        <v>31.750700221151241</v>
      </c>
      <c r="Q32" s="20">
        <f t="shared" si="2"/>
        <v>264.86452016850518</v>
      </c>
      <c r="R32" s="59">
        <f t="shared" si="0"/>
        <v>558.19785350183849</v>
      </c>
      <c r="S32" s="59">
        <f ca="1">AVERAGE(OFFSET($R$3,0,0,'Données projet'!$E$9+1,1))-AVERAGE(OFFSET($H$3,0,0,'Données projet'!$E$9+1,1))</f>
        <v>298.01613436147056</v>
      </c>
      <c r="T32" s="59">
        <f t="shared" si="34"/>
        <v>212.70221374431253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23.265714285714289</v>
      </c>
      <c r="AI32" s="13">
        <f>IF('Données projet'!$A$62&gt;35,AI31+AH32-AQ31,IF(A32&lt;'Données projet'!$A$62,$AF$205^A32,IF(A32='Données projet'!$A$62,'Données projet'!$B$62,AI31+AH32-AQ31)))</f>
        <v>237.63571428571424</v>
      </c>
      <c r="AJ32" s="13">
        <f>AI32*VLOOKUP('Données projet'!$B$10,Paramètres!$A$1:$I$89,3,0)*VLOOKUP('Données projet'!$B$10,Paramètres!$A$1:$I$89,5,0)</f>
        <v>132.83836428571425</v>
      </c>
      <c r="AK32" s="13">
        <f t="shared" si="35"/>
        <v>34.651395262904387</v>
      </c>
      <c r="AL32" s="20">
        <f t="shared" si="4"/>
        <v>291.71133121384406</v>
      </c>
      <c r="AM32" s="59">
        <f t="shared" si="5"/>
        <v>585.04466454717738</v>
      </c>
      <c r="AN32" s="59">
        <f ca="1">AVERAGE(OFFSET($AM$3,0,0,'Données projet'!$E$10+1,1))-AVERAGE(OFFSET($H$3,0,0,'Données projet'!$E$10+1,1))</f>
        <v>287.413090017863</v>
      </c>
      <c r="AO32" s="59">
        <f t="shared" si="36"/>
        <v>258.48456031927117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12.38325084413492</v>
      </c>
      <c r="AV32" s="21">
        <f>EXP(-LN(2)/25)*AV31+(1-EXP(-LN(2)/25))/(LN(2)/25)*Calculateur!AQ32*Calculateur!AS32*VLOOKUP('Données projet'!$B$10,Paramètres!$A$1:$I$89,3,0)*0.475*44/12</f>
        <v>17.667497528380245</v>
      </c>
      <c r="AW32" s="21">
        <f>EXP(-LN(2)/2)*AW31+(1-EXP(-LN(2)/2))/(LN(2)/2)*AQ32*AT32*VLOOKUP('Données projet'!$B$10,Paramètres!$A$1:$I$89,3,0)*0.475*44/12</f>
        <v>12.474277370358035</v>
      </c>
      <c r="AX32" s="21">
        <f t="shared" si="6"/>
        <v>42.525025742873197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243.33915530322201</v>
      </c>
      <c r="BJ32" s="59">
        <f t="shared" si="38"/>
        <v>247.73814704672577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9.321212894943768</v>
      </c>
      <c r="BR32" s="21">
        <f>EXP(-LN(2)/2)*BR31+(1-EXP(-LN(2)/2))/(LN(2)/2)*BL32*BO32*VLOOKUP('Données projet'!$B$11,Paramètres!$A$1:$I$89,3,0)*0.475*44/12</f>
        <v>1.9792908890278427</v>
      </c>
      <c r="BS32" s="22">
        <f t="shared" si="9"/>
        <v>11.30050378397161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4.5856818181818184</v>
      </c>
      <c r="N33" s="13">
        <f>IF('Données projet'!$A$36&gt;35,N32+M33-V32,IF(A33&lt;'Données projet'!$A$36,$K$205^A33,IF(A33='Données projet'!$A$36,'Données projet'!$B$36,N32+M33-V32)))</f>
        <v>137.57045454545465</v>
      </c>
      <c r="O33" s="13">
        <f>N33*VLOOKUP('Données projet'!$B$9,Paramètres!$A$1:$I$89,3,0)*VLOOKUP('Données projet'!$B$9,Paramètres!$A$1:$I$89,5,0)</f>
        <v>124.47374727272737</v>
      </c>
      <c r="P33" s="13">
        <f t="shared" si="33"/>
        <v>32.716194186162085</v>
      </c>
      <c r="Q33" s="20">
        <f t="shared" si="2"/>
        <v>273.77248137423243</v>
      </c>
      <c r="R33" s="59">
        <f t="shared" si="0"/>
        <v>567.10581470756574</v>
      </c>
      <c r="S33" s="59">
        <f ca="1">AVERAGE(OFFSET($R$3,0,0,'Données projet'!$E$9+1,1))-AVERAGE(OFFSET($H$3,0,0,'Données projet'!$E$9+1,1))</f>
        <v>298.01613436147056</v>
      </c>
      <c r="T33" s="59">
        <f t="shared" si="34"/>
        <v>212.70221374431253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23.265714285714289</v>
      </c>
      <c r="AI33" s="13">
        <f>IF('Données projet'!$A$62&gt;35,AI32+AH33-AQ32,IF(A33&lt;'Données projet'!$A$62,$AF$205^A33,IF(A33='Données projet'!$A$62,'Données projet'!$B$62,AI32+AH33-AQ32)))</f>
        <v>260.90142857142854</v>
      </c>
      <c r="AJ33" s="13">
        <f>AI33*VLOOKUP('Données projet'!$B$10,Paramètres!$A$1:$I$89,3,0)*VLOOKUP('Données projet'!$B$10,Paramètres!$A$1:$I$89,5,0)</f>
        <v>145.84389857142855</v>
      </c>
      <c r="AK33" s="13">
        <f t="shared" si="35"/>
        <v>37.632557667341459</v>
      </c>
      <c r="AL33" s="20">
        <f t="shared" si="4"/>
        <v>319.55482794919106</v>
      </c>
      <c r="AM33" s="59">
        <f t="shared" si="5"/>
        <v>612.88816128252438</v>
      </c>
      <c r="AN33" s="59">
        <f ca="1">AVERAGE(OFFSET($AM$3,0,0,'Données projet'!$E$10+1,1))-AVERAGE(OFFSET($H$3,0,0,'Données projet'!$E$10+1,1))</f>
        <v>287.413090017863</v>
      </c>
      <c r="AO33" s="59">
        <f t="shared" si="36"/>
        <v>258.48456031927117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12.14042284811865</v>
      </c>
      <c r="AV33" s="21">
        <f>EXP(-LN(2)/25)*AV32+(1-EXP(-LN(2)/25))/(LN(2)/25)*Calculateur!AQ33*Calculateur!AS33*VLOOKUP('Données projet'!$B$10,Paramètres!$A$1:$I$89,3,0)*0.475*44/12</f>
        <v>17.184378879373373</v>
      </c>
      <c r="AW33" s="21">
        <f>EXP(-LN(2)/2)*AW32+(1-EXP(-LN(2)/2))/(LN(2)/2)*AQ33*AT33*VLOOKUP('Données projet'!$B$10,Paramètres!$A$1:$I$89,3,0)*0.475*44/12</f>
        <v>8.8206461189820615</v>
      </c>
      <c r="AX33" s="21">
        <f t="shared" si="6"/>
        <v>38.145447846474084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243.33915530322201</v>
      </c>
      <c r="BJ33" s="59">
        <f t="shared" si="38"/>
        <v>247.73814704672577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0.13250000000000001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4.078737984972876</v>
      </c>
      <c r="BQ33" s="21">
        <f>EXP(-LN(2)/25)*BQ32+(1-EXP(-LN(2)/25))/(LN(2)/25)*Calculateur!BL33*Calculateur!BN33*VLOOKUP('Données projet'!$B$11,Paramètres!$A$1:$I$89,3,0)*0.475*44/12</f>
        <v>13.129002277555273</v>
      </c>
      <c r="BR33" s="21">
        <f>EXP(-LN(2)/2)*BR32+(1-EXP(-LN(2)/2))/(LN(2)/2)*BL33*BO33*VLOOKUP('Données projet'!$B$11,Paramètres!$A$1:$I$89,3,0)*0.475*44/12</f>
        <v>7.967932625597749</v>
      </c>
      <c r="BS33" s="22">
        <f t="shared" si="9"/>
        <v>25.175672888125895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4.5856818181818184</v>
      </c>
      <c r="N34" s="13">
        <f>IF('Données projet'!$A$36&gt;35,N33+M34-V33,IF(A34&lt;'Données projet'!$A$36,$K$205^A34,IF(A34='Données projet'!$A$36,'Données projet'!$B$36,N33+M34-V33)))</f>
        <v>142.15613636363648</v>
      </c>
      <c r="O34" s="13">
        <f>N34*VLOOKUP('Données projet'!$B$9,Paramètres!$A$1:$I$89,3,0)*VLOOKUP('Données projet'!$B$9,Paramètres!$A$1:$I$89,5,0)</f>
        <v>128.62287218181828</v>
      </c>
      <c r="P34" s="13">
        <f t="shared" si="33"/>
        <v>33.67794856106724</v>
      </c>
      <c r="Q34" s="20">
        <f t="shared" si="2"/>
        <v>282.67392946052559</v>
      </c>
      <c r="R34" s="59">
        <f t="shared" si="0"/>
        <v>576.0072627938589</v>
      </c>
      <c r="S34" s="59">
        <f ca="1">AVERAGE(OFFSET($R$3,0,0,'Données projet'!$E$9+1,1))-AVERAGE(OFFSET($H$3,0,0,'Données projet'!$E$9+1,1))</f>
        <v>298.01613436147056</v>
      </c>
      <c r="T34" s="59">
        <f t="shared" si="34"/>
        <v>212.70221374431253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23.265714285714289</v>
      </c>
      <c r="AI34" s="13">
        <f>IF('Données projet'!$A$62&gt;35,AI33+AH34-AQ33,IF(A34&lt;'Données projet'!$A$62,$AF$205^A34,IF(A34='Données projet'!$A$62,'Données projet'!$B$62,AI33+AH34-AQ33)))</f>
        <v>284.16714285714284</v>
      </c>
      <c r="AJ34" s="13">
        <f>AI34*VLOOKUP('Données projet'!$B$10,Paramètres!$A$1:$I$89,3,0)*VLOOKUP('Données projet'!$B$10,Paramètres!$A$1:$I$89,5,0)</f>
        <v>158.84943285714286</v>
      </c>
      <c r="AK34" s="13">
        <f t="shared" si="35"/>
        <v>40.582892872917235</v>
      </c>
      <c r="AL34" s="20">
        <f t="shared" si="4"/>
        <v>347.34463397985468</v>
      </c>
      <c r="AM34" s="59">
        <f t="shared" si="5"/>
        <v>640.67796731318799</v>
      </c>
      <c r="AN34" s="59">
        <f ca="1">AVERAGE(OFFSET($AM$3,0,0,'Données projet'!$E$10+1,1))-AVERAGE(OFFSET($H$3,0,0,'Données projet'!$E$10+1,1))</f>
        <v>287.413090017863</v>
      </c>
      <c r="AO34" s="59">
        <f t="shared" si="36"/>
        <v>258.48456031927117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11.902356560993805</v>
      </c>
      <c r="AV34" s="21">
        <f>EXP(-LN(2)/25)*AV33+(1-EXP(-LN(2)/25))/(LN(2)/25)*Calculateur!AQ34*Calculateur!AS34*VLOOKUP('Données projet'!$B$10,Paramètres!$A$1:$I$89,3,0)*0.475*44/12</f>
        <v>16.714471135229697</v>
      </c>
      <c r="AW34" s="21">
        <f>EXP(-LN(2)/2)*AW33+(1-EXP(-LN(2)/2))/(LN(2)/2)*AQ34*AT34*VLOOKUP('Données projet'!$B$10,Paramètres!$A$1:$I$89,3,0)*0.475*44/12</f>
        <v>6.2371386851790183</v>
      </c>
      <c r="AX34" s="21">
        <f t="shared" si="6"/>
        <v>34.853966381402522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243.33915530322201</v>
      </c>
      <c r="BJ34" s="59">
        <f t="shared" si="38"/>
        <v>247.73814704672577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3.9987564208720805</v>
      </c>
      <c r="BQ34" s="21">
        <f>EXP(-LN(2)/25)*BQ33+(1-EXP(-LN(2)/25))/(LN(2)/25)*Calculateur!BL34*Calculateur!BN34*VLOOKUP('Données projet'!$B$11,Paramètres!$A$1:$I$89,3,0)*0.475*44/12</f>
        <v>12.7699890198513</v>
      </c>
      <c r="BR34" s="21">
        <f>EXP(-LN(2)/2)*BR33+(1-EXP(-LN(2)/2))/(LN(2)/2)*BL34*BO34*VLOOKUP('Données projet'!$B$11,Paramètres!$A$1:$I$89,3,0)*0.475*44/12</f>
        <v>5.6341791915977009</v>
      </c>
      <c r="BS34" s="22">
        <f t="shared" si="9"/>
        <v>22.402924632321081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4.5856818181818184</v>
      </c>
      <c r="N35" s="13">
        <f>IF('Données projet'!$A$36&gt;35,N34+M35-V34,IF(A35&lt;'Données projet'!$A$36,$K$205^A35,IF(A35='Données projet'!$A$36,'Données projet'!$B$36,N34+M35-V34)))</f>
        <v>146.7418181818183</v>
      </c>
      <c r="O35" s="13">
        <f>N35*VLOOKUP('Données projet'!$B$9,Paramètres!$A$1:$I$89,3,0)*VLOOKUP('Données projet'!$B$9,Paramètres!$A$1:$I$89,5,0)</f>
        <v>132.7719970909092</v>
      </c>
      <c r="P35" s="13">
        <f t="shared" si="33"/>
        <v>34.636097814184424</v>
      </c>
      <c r="Q35" s="20">
        <f t="shared" ref="Q35:Q66" si="53">(O35+P35)*0.475*44/12</f>
        <v>291.56909862637139</v>
      </c>
      <c r="R35" s="59">
        <f t="shared" si="0"/>
        <v>584.9024319597047</v>
      </c>
      <c r="S35" s="59">
        <f ca="1">AVERAGE(OFFSET($R$3,0,0,'Données projet'!$E$9+1,1))-AVERAGE(OFFSET($H$3,0,0,'Données projet'!$E$9+1,1))</f>
        <v>298.01613436147056</v>
      </c>
      <c r="T35" s="59">
        <f t="shared" si="34"/>
        <v>212.70221374431253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23.265714285714289</v>
      </c>
      <c r="AI35" s="13">
        <f>IF('Données projet'!$A$62&gt;35,AI34+AH35-AQ34,IF(A35&lt;'Données projet'!$A$62,$AF$205^A35,IF(A35='Données projet'!$A$62,'Données projet'!$B$62,AI34+AH35-AQ34)))</f>
        <v>307.43285714285713</v>
      </c>
      <c r="AJ35" s="13">
        <f>AI35*VLOOKUP('Données projet'!$B$10,Paramètres!$A$1:$I$89,3,0)*VLOOKUP('Données projet'!$B$10,Paramètres!$A$1:$I$89,5,0)</f>
        <v>171.85496714285716</v>
      </c>
      <c r="AK35" s="13">
        <f t="shared" si="35"/>
        <v>43.505211750246715</v>
      </c>
      <c r="AL35" s="20">
        <f t="shared" si="4"/>
        <v>375.08564490548923</v>
      </c>
      <c r="AM35" s="59">
        <f t="shared" si="5"/>
        <v>668.41897823882255</v>
      </c>
      <c r="AN35" s="59">
        <f ca="1">AVERAGE(OFFSET($AM$3,0,0,'Données projet'!$E$10+1,1))-AVERAGE(OFFSET($H$3,0,0,'Données projet'!$E$10+1,1))</f>
        <v>287.413090017863</v>
      </c>
      <c r="AO35" s="59">
        <f t="shared" si="36"/>
        <v>258.48456031927117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11.668958608553382</v>
      </c>
      <c r="AV35" s="21">
        <f>EXP(-LN(2)/25)*AV34+(1-EXP(-LN(2)/25))/(LN(2)/25)*Calculateur!AQ35*Calculateur!AS35*VLOOKUP('Données projet'!$B$10,Paramètres!$A$1:$I$89,3,0)*0.475*44/12</f>
        <v>16.257413043061007</v>
      </c>
      <c r="AW35" s="21">
        <f>EXP(-LN(2)/2)*AW34+(1-EXP(-LN(2)/2))/(LN(2)/2)*AQ35*AT35*VLOOKUP('Données projet'!$B$10,Paramètres!$A$1:$I$89,3,0)*0.475*44/12</f>
        <v>4.4103230594910308</v>
      </c>
      <c r="AX35" s="21">
        <f t="shared" si="6"/>
        <v>32.336694711105423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243.33915530322201</v>
      </c>
      <c r="BJ35" s="59">
        <f t="shared" si="38"/>
        <v>247.73814704672577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3.9203432464593644</v>
      </c>
      <c r="BQ35" s="21">
        <f>EXP(-LN(2)/25)*BQ34+(1-EXP(-LN(2)/25))/(LN(2)/25)*Calculateur!BL35*Calculateur!BN35*VLOOKUP('Données projet'!$B$11,Paramètres!$A$1:$I$89,3,0)*0.475*44/12</f>
        <v>12.42079299855893</v>
      </c>
      <c r="BR35" s="21">
        <f>EXP(-LN(2)/2)*BR34+(1-EXP(-LN(2)/2))/(LN(2)/2)*BL35*BO35*VLOOKUP('Données projet'!$B$11,Paramètres!$A$1:$I$89,3,0)*0.475*44/12</f>
        <v>3.9839663127988749</v>
      </c>
      <c r="BS35" s="22">
        <f t="shared" si="9"/>
        <v>20.325102557817168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4.5856818181818184</v>
      </c>
      <c r="N36" s="13">
        <f>IF('Données projet'!$A$36&gt;35,N35+M36-V35,IF(A36&lt;'Données projet'!$A$36,$K$205^A36,IF(A36='Données projet'!$A$36,'Données projet'!$B$36,N35+M36-V35)))</f>
        <v>151.32750000000013</v>
      </c>
      <c r="O36" s="13">
        <f>N36*VLOOKUP('Données projet'!$B$9,Paramètres!$A$1:$I$89,3,0)*VLOOKUP('Données projet'!$B$9,Paramètres!$A$1:$I$89,5,0)</f>
        <v>136.92112200000011</v>
      </c>
      <c r="P36" s="13">
        <f t="shared" si="33"/>
        <v>35.5907675322022</v>
      </c>
      <c r="Q36" s="20">
        <f t="shared" si="53"/>
        <v>300.45820760191901</v>
      </c>
      <c r="R36" s="59">
        <f t="shared" si="0"/>
        <v>593.79154093525233</v>
      </c>
      <c r="S36" s="59">
        <f ca="1">AVERAGE(OFFSET($R$3,0,0,'Données projet'!$E$9+1,1))-AVERAGE(OFFSET($H$3,0,0,'Données projet'!$E$9+1,1))</f>
        <v>298.01613436147056</v>
      </c>
      <c r="T36" s="59">
        <f t="shared" si="34"/>
        <v>212.70221374431253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23.265714285714289</v>
      </c>
      <c r="AI36" s="13">
        <f>IF('Données projet'!$A$62&gt;35,AI35+AH36-AQ35,IF(A36&lt;'Données projet'!$A$62,$AF$205^A36,IF(A36='Données projet'!$A$62,'Données projet'!$B$62,AI35+AH36-AQ35)))</f>
        <v>330.69857142857143</v>
      </c>
      <c r="AJ36" s="13">
        <f>AI36*VLOOKUP('Données projet'!$B$10,Paramètres!$A$1:$I$89,3,0)*VLOOKUP('Données projet'!$B$10,Paramètres!$A$1:$I$89,5,0)</f>
        <v>184.86050142857144</v>
      </c>
      <c r="AK36" s="13">
        <f t="shared" si="35"/>
        <v>46.401875578821517</v>
      </c>
      <c r="AL36" s="20">
        <f t="shared" si="4"/>
        <v>402.7819732878761</v>
      </c>
      <c r="AM36" s="59">
        <f t="shared" si="5"/>
        <v>696.11530662120936</v>
      </c>
      <c r="AN36" s="59">
        <f ca="1">AVERAGE(OFFSET($AM$3,0,0,'Données projet'!$E$10+1,1))-AVERAGE(OFFSET($H$3,0,0,'Données projet'!$E$10+1,1))</f>
        <v>287.413090017863</v>
      </c>
      <c r="AO36" s="59">
        <f t="shared" si="36"/>
        <v>258.48456031927117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11.44013744760162</v>
      </c>
      <c r="AV36" s="21">
        <f>EXP(-LN(2)/25)*AV35+(1-EXP(-LN(2)/25))/(LN(2)/25)*Calculateur!AQ36*Calculateur!AS36*VLOOKUP('Données projet'!$B$10,Paramètres!$A$1:$I$89,3,0)*0.475*44/12</f>
        <v>15.812853228458309</v>
      </c>
      <c r="AW36" s="21">
        <f>EXP(-LN(2)/2)*AW35+(1-EXP(-LN(2)/2))/(LN(2)/2)*AQ36*AT36*VLOOKUP('Données projet'!$B$10,Paramètres!$A$1:$I$89,3,0)*0.475*44/12</f>
        <v>3.1185693425895091</v>
      </c>
      <c r="AX36" s="21">
        <f t="shared" si="6"/>
        <v>30.37156001864944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243.33915530322201</v>
      </c>
      <c r="BJ36" s="59">
        <f t="shared" si="38"/>
        <v>247.73814704672577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3.8434677065695677</v>
      </c>
      <c r="BQ36" s="21">
        <f>EXP(-LN(2)/25)*BQ35+(1-EXP(-LN(2)/25))/(LN(2)/25)*Calculateur!BL36*Calculateur!BN36*VLOOKUP('Données projet'!$B$11,Paramètres!$A$1:$I$89,3,0)*0.475*44/12</f>
        <v>12.081145760832221</v>
      </c>
      <c r="BR36" s="21">
        <f>EXP(-LN(2)/2)*BR35+(1-EXP(-LN(2)/2))/(LN(2)/2)*BL36*BO36*VLOOKUP('Données projet'!$B$11,Paramètres!$A$1:$I$89,3,0)*0.475*44/12</f>
        <v>2.8170895957988509</v>
      </c>
      <c r="BS36" s="22">
        <f t="shared" si="9"/>
        <v>18.741703063200639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4.5856818181818184</v>
      </c>
      <c r="N37" s="13">
        <f>IF('Données projet'!$A$36&gt;35,N36+M37-V36,IF(A37&lt;'Données projet'!$A$36,$K$205^A37,IF(A37='Données projet'!$A$36,'Données projet'!$B$36,N36+M37-V36)))</f>
        <v>155.91318181818195</v>
      </c>
      <c r="O37" s="13">
        <f>N37*VLOOKUP('Données projet'!$B$9,Paramètres!$A$1:$I$89,3,0)*VLOOKUP('Données projet'!$B$9,Paramètres!$A$1:$I$89,5,0)</f>
        <v>141.07024690909103</v>
      </c>
      <c r="P37" s="13">
        <f t="shared" si="33"/>
        <v>36.542075257972613</v>
      </c>
      <c r="Q37" s="20">
        <f t="shared" si="53"/>
        <v>309.34146110763578</v>
      </c>
      <c r="R37" s="59">
        <f t="shared" si="0"/>
        <v>602.67479444096909</v>
      </c>
      <c r="S37" s="59">
        <f ca="1">AVERAGE(OFFSET($R$3,0,0,'Données projet'!$E$9+1,1))-AVERAGE(OFFSET($H$3,0,0,'Données projet'!$E$9+1,1))</f>
        <v>298.01613436147056</v>
      </c>
      <c r="T37" s="59">
        <f t="shared" si="34"/>
        <v>212.70221374431253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23.265714285714289</v>
      </c>
      <c r="AI37" s="13">
        <f>IF('Données projet'!$A$62&gt;35,AI36+AH37-AQ36,IF(A37&lt;'Données projet'!$A$62,$AF$205^A37,IF(A37='Données projet'!$A$62,'Données projet'!$B$62,AI36+AH37-AQ36)))</f>
        <v>353.96428571428572</v>
      </c>
      <c r="AJ37" s="13">
        <f>AI37*VLOOKUP('Données projet'!$B$10,Paramètres!$A$1:$I$89,3,0)*VLOOKUP('Données projet'!$B$10,Paramètres!$A$1:$I$89,5,0)</f>
        <v>197.86603571428572</v>
      </c>
      <c r="AK37" s="13">
        <f t="shared" si="35"/>
        <v>49.274894571766396</v>
      </c>
      <c r="AL37" s="20">
        <f t="shared" si="4"/>
        <v>430.43712024820735</v>
      </c>
      <c r="AM37" s="59">
        <f t="shared" si="5"/>
        <v>723.77045358154066</v>
      </c>
      <c r="AN37" s="59">
        <f ca="1">AVERAGE(OFFSET($AM$3,0,0,'Données projet'!$E$10+1,1))-AVERAGE(OFFSET($H$3,0,0,'Données projet'!$E$10+1,1))</f>
        <v>287.413090017863</v>
      </c>
      <c r="AO37" s="59">
        <f t="shared" si="36"/>
        <v>258.48456031927117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11.215803330048995</v>
      </c>
      <c r="AV37" s="21">
        <f>EXP(-LN(2)/25)*AV36+(1-EXP(-LN(2)/25))/(LN(2)/25)*Calculateur!AQ37*Calculateur!AS37*VLOOKUP('Données projet'!$B$10,Paramètres!$A$1:$I$89,3,0)*0.475*44/12</f>
        <v>15.380449925364307</v>
      </c>
      <c r="AW37" s="21">
        <f>EXP(-LN(2)/2)*AW36+(1-EXP(-LN(2)/2))/(LN(2)/2)*AQ37*AT37*VLOOKUP('Données projet'!$B$10,Paramètres!$A$1:$I$89,3,0)*0.475*44/12</f>
        <v>2.2051615297455154</v>
      </c>
      <c r="AX37" s="21">
        <f t="shared" si="6"/>
        <v>28.801414785158819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243.33915530322201</v>
      </c>
      <c r="BJ37" s="59">
        <f t="shared" si="38"/>
        <v>247.73814704672577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3.7680996491275609</v>
      </c>
      <c r="BQ37" s="21">
        <f>EXP(-LN(2)/25)*BQ36+(1-EXP(-LN(2)/25))/(LN(2)/25)*Calculateur!BL37*Calculateur!BN37*VLOOKUP('Données projet'!$B$11,Paramètres!$A$1:$I$89,3,0)*0.475*44/12</f>
        <v>11.750786194682421</v>
      </c>
      <c r="BR37" s="21">
        <f>EXP(-LN(2)/2)*BR36+(1-EXP(-LN(2)/2))/(LN(2)/2)*BL37*BO37*VLOOKUP('Données projet'!$B$11,Paramètres!$A$1:$I$89,3,0)*0.475*44/12</f>
        <v>1.9919831563994377</v>
      </c>
      <c r="BS37" s="22">
        <f t="shared" si="9"/>
        <v>17.510869000209421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4.5856818181818184</v>
      </c>
      <c r="N38" s="13">
        <f>IF('Données projet'!$A$36&gt;35,N37+M38-V37,IF(A38&lt;'Données projet'!$A$36,$K$205^A38,IF(A38='Données projet'!$A$36,'Données projet'!$B$36,N37+M38-V37)))</f>
        <v>160.49886363636378</v>
      </c>
      <c r="O38" s="13">
        <f>N38*VLOOKUP('Données projet'!$B$9,Paramètres!$A$1:$I$89,3,0)*VLOOKUP('Données projet'!$B$9,Paramètres!$A$1:$I$89,5,0)</f>
        <v>145.21937181818194</v>
      </c>
      <c r="P38" s="13">
        <f t="shared" si="33"/>
        <v>37.49013122697059</v>
      </c>
      <c r="Q38" s="20">
        <f t="shared" si="53"/>
        <v>318.21905113697397</v>
      </c>
      <c r="R38" s="59">
        <f t="shared" si="0"/>
        <v>611.55238447030729</v>
      </c>
      <c r="S38" s="59">
        <f ca="1">AVERAGE(OFFSET($R$3,0,0,'Données projet'!$E$9+1,1))-AVERAGE(OFFSET($H$3,0,0,'Données projet'!$E$9+1,1))</f>
        <v>298.01613436147056</v>
      </c>
      <c r="T38" s="59">
        <f t="shared" si="34"/>
        <v>212.70221374431253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377.23</v>
      </c>
      <c r="AG38" s="12">
        <f>VLOOKUP(A38,'Données projet'!$A$61:$I$81,9,0)</f>
        <v>23.265714285714289</v>
      </c>
      <c r="AH38" s="12">
        <f t="array" ref="AH38">INDEX(AG:AG,MIN(IF(ISNUMBER(AG38:AG234),ROW(AG38:AG234),"")))</f>
        <v>23.265714285714289</v>
      </c>
      <c r="AI38" s="13">
        <f>IF('Données projet'!$A$62&gt;35,AI37+AH38-AQ37,IF(A38&lt;'Données projet'!$A$62,$AF$205^A38,IF(A38='Données projet'!$A$62,'Données projet'!$B$62,AI37+AH38-AQ37)))</f>
        <v>377.23</v>
      </c>
      <c r="AJ38" s="13">
        <f>AI38*VLOOKUP('Données projet'!$B$10,Paramètres!$A$1:$I$89,3,0)*VLOOKUP('Données projet'!$B$10,Paramètres!$A$1:$I$89,5,0)</f>
        <v>210.87157000000002</v>
      </c>
      <c r="AK38" s="13">
        <f t="shared" si="35"/>
        <v>52.125999737089174</v>
      </c>
      <c r="AL38" s="20">
        <f t="shared" si="4"/>
        <v>458.05410062543029</v>
      </c>
      <c r="AM38" s="59">
        <f t="shared" si="5"/>
        <v>751.38743395876361</v>
      </c>
      <c r="AN38" s="59">
        <f ca="1">AVERAGE(OFFSET($AM$3,0,0,'Données projet'!$E$10+1,1))-AVERAGE(OFFSET($H$3,0,0,'Données projet'!$E$10+1,1))</f>
        <v>287.413090017863</v>
      </c>
      <c r="AO38" s="59">
        <f t="shared" si="36"/>
        <v>258.48456031927117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86.700000000000045</v>
      </c>
      <c r="AR38" s="16">
        <f>IF(ISNA(VLOOKUP(A38,'Données projet'!$A$61:$I$81,5,0)),0%,VLOOKUP(A38,'Données projet'!$A$61:$I$81,5,0)*VLOOKUP('Données projet'!$B$10,Paramètres!$A$1:$I$89,7,0))</f>
        <v>0.33</v>
      </c>
      <c r="AS38" s="16">
        <f>IF(ISNA(VLOOKUP(A38,'Données projet'!$A$61:$I$81,6,0)),0%,VLOOKUP(A38,'Données projet'!$A$61:$I$81,6,0)*VLOOKUP('Données projet'!$B$10,Paramètres!$A$1:$I$89,7,0))</f>
        <v>0.11000000000000001</v>
      </c>
      <c r="AT38" s="16">
        <f>IF(ISNA(VLOOKUP(A38,'Données projet'!$A$61:$I$81,7,0)),0%,VLOOKUP(A38,'Données projet'!$A$61:$I$81,7,0))</f>
        <v>0.2</v>
      </c>
      <c r="AU38" s="21">
        <f>EXP(-LN(2)/35)*AU37+(1-EXP(-LN(2)/35))/(LN(2)/35)*AQ38*AR38*VLOOKUP('Données projet'!$B$10,Paramètres!$A$1:$I$89,3,0)*0.475*44/12</f>
        <v>32.212341887441895</v>
      </c>
      <c r="AV38" s="21">
        <f>EXP(-LN(2)/25)*AV37+(1-EXP(-LN(2)/25))/(LN(2)/25)*Calculateur!AQ38*Calculateur!AS38*VLOOKUP('Données projet'!$B$10,Paramètres!$A$1:$I$89,3,0)*0.475*44/12</f>
        <v>22.004182806325677</v>
      </c>
      <c r="AW38" s="21">
        <f>EXP(-LN(2)/2)*AW37+(1-EXP(-LN(2)/2))/(LN(2)/2)*AQ38*AT38*VLOOKUP('Données projet'!$B$10,Paramètres!$A$1:$I$89,3,0)*0.475*44/12</f>
        <v>12.534080265156646</v>
      </c>
      <c r="AX38" s="21">
        <f t="shared" si="6"/>
        <v>66.750604958924214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243.33915530322201</v>
      </c>
      <c r="BJ38" s="59">
        <f t="shared" si="38"/>
        <v>247.73814704672577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7.7729474982948918</v>
      </c>
      <c r="BQ38" s="21">
        <f>EXP(-LN(2)/25)*BQ37+(1-EXP(-LN(2)/25))/(LN(2)/25)*Calculateur!BL38*Calculateur!BN38*VLOOKUP('Données projet'!$B$11,Paramètres!$A$1:$I$89,3,0)*0.475*44/12</f>
        <v>15.492138767646864</v>
      </c>
      <c r="BR38" s="21">
        <f>EXP(-LN(2)/2)*BR37+(1-EXP(-LN(2)/2))/(LN(2)/2)*BL38*BO38*VLOOKUP('Données projet'!$B$11,Paramètres!$A$1:$I$89,3,0)*0.475*44/12</f>
        <v>7.9769074139248364</v>
      </c>
      <c r="BS38" s="22">
        <f t="shared" si="9"/>
        <v>31.241993679866589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4.5856818181818184</v>
      </c>
      <c r="N39" s="13">
        <f>IF('Données projet'!$A$36&gt;35,N38+M39-V38,IF(A39&lt;'Données projet'!$A$36,$K$205^A39,IF(A39='Données projet'!$A$36,'Données projet'!$B$36,N38+M39-V38)))</f>
        <v>165.08454545454561</v>
      </c>
      <c r="O39" s="13">
        <f>N39*VLOOKUP('Données projet'!$B$9,Paramètres!$A$1:$I$89,3,0)*VLOOKUP('Données projet'!$B$9,Paramètres!$A$1:$I$89,5,0)</f>
        <v>149.36849672727286</v>
      </c>
      <c r="P39" s="13">
        <f t="shared" si="33"/>
        <v>38.435039017220589</v>
      </c>
      <c r="Q39" s="20">
        <f t="shared" si="53"/>
        <v>327.09115808832604</v>
      </c>
      <c r="R39" s="59">
        <f t="shared" si="0"/>
        <v>620.42449142165935</v>
      </c>
      <c r="S39" s="59">
        <f ca="1">AVERAGE(OFFSET($R$3,0,0,'Données projet'!$E$9+1,1))-AVERAGE(OFFSET($H$3,0,0,'Données projet'!$E$9+1,1))</f>
        <v>298.01613436147056</v>
      </c>
      <c r="T39" s="59">
        <f t="shared" si="34"/>
        <v>212.70221374431253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22.851428571428578</v>
      </c>
      <c r="AI39" s="13">
        <f>IF('Données projet'!$A$62&gt;35,AI38+AH39-AQ38,IF(A39&lt;'Données projet'!$A$62,$AF$205^A39,IF(A39='Données projet'!$A$62,'Données projet'!$B$62,AI38+AH39-AQ38)))</f>
        <v>313.38142857142856</v>
      </c>
      <c r="AJ39" s="13">
        <f>AI39*VLOOKUP('Données projet'!$B$10,Paramètres!$A$1:$I$89,3,0)*VLOOKUP('Données projet'!$B$10,Paramètres!$A$1:$I$89,5,0)</f>
        <v>175.18021857142855</v>
      </c>
      <c r="AK39" s="13">
        <f t="shared" si="35"/>
        <v>44.248185618905715</v>
      </c>
      <c r="AL39" s="20">
        <f t="shared" si="4"/>
        <v>382.17113729816555</v>
      </c>
      <c r="AM39" s="59">
        <f t="shared" si="5"/>
        <v>675.50447063149886</v>
      </c>
      <c r="AN39" s="59">
        <f ca="1">AVERAGE(OFFSET($AM$3,0,0,'Données projet'!$E$10+1,1))-AVERAGE(OFFSET($H$3,0,0,'Données projet'!$E$10+1,1))</f>
        <v>287.413090017863</v>
      </c>
      <c r="AO39" s="59">
        <f t="shared" si="36"/>
        <v>258.48456031927117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31.580677510617672</v>
      </c>
      <c r="AV39" s="21">
        <f>EXP(-LN(2)/25)*AV38+(1-EXP(-LN(2)/25))/(LN(2)/25)*Calculateur!AQ39*Calculateur!AS39*VLOOKUP('Données projet'!$B$10,Paramètres!$A$1:$I$89,3,0)*0.475*44/12</f>
        <v>21.40247727033702</v>
      </c>
      <c r="AW39" s="21">
        <f>EXP(-LN(2)/2)*AW38+(1-EXP(-LN(2)/2))/(LN(2)/2)*AQ39*AT39*VLOOKUP('Données projet'!$B$10,Paramètres!$A$1:$I$89,3,0)*0.475*44/12</f>
        <v>8.862933151428745</v>
      </c>
      <c r="AX39" s="21">
        <f t="shared" si="6"/>
        <v>61.84608793238344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243.33915530322201</v>
      </c>
      <c r="BJ39" s="59">
        <f t="shared" si="38"/>
        <v>247.73814704672577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7.620524738883165</v>
      </c>
      <c r="BQ39" s="21">
        <f>EXP(-LN(2)/25)*BQ38+(1-EXP(-LN(2)/25))/(LN(2)/25)*Calculateur!BL39*Calculateur!BN39*VLOOKUP('Données projet'!$B$11,Paramètres!$A$1:$I$89,3,0)*0.475*44/12</f>
        <v>15.068505418349391</v>
      </c>
      <c r="BR39" s="21">
        <f>EXP(-LN(2)/2)*BR38+(1-EXP(-LN(2)/2))/(LN(2)/2)*BL39*BO39*VLOOKUP('Données projet'!$B$11,Paramètres!$A$1:$I$89,3,0)*0.475*44/12</f>
        <v>5.6405253252834981</v>
      </c>
      <c r="BS39" s="22">
        <f t="shared" si="9"/>
        <v>28.329555482516053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4.5856818181818184</v>
      </c>
      <c r="N40" s="13">
        <f>IF('Données projet'!$A$36&gt;35,N39+M40-V39,IF(A40&lt;'Données projet'!$A$36,$K$205^A40,IF(A40='Données projet'!$A$36,'Données projet'!$B$36,N39+M40-V39)))</f>
        <v>169.67022727272743</v>
      </c>
      <c r="O40" s="13">
        <f>N40*VLOOKUP('Données projet'!$B$9,Paramètres!$A$1:$I$89,3,0)*VLOOKUP('Données projet'!$B$9,Paramètres!$A$1:$I$89,5,0)</f>
        <v>153.51762163636377</v>
      </c>
      <c r="P40" s="13">
        <f t="shared" si="33"/>
        <v>39.376896124979325</v>
      </c>
      <c r="Q40" s="20">
        <f t="shared" si="53"/>
        <v>335.95795176767251</v>
      </c>
      <c r="R40" s="59">
        <f t="shared" si="0"/>
        <v>629.29128510100577</v>
      </c>
      <c r="S40" s="59">
        <f ca="1">AVERAGE(OFFSET($R$3,0,0,'Données projet'!$E$9+1,1))-AVERAGE(OFFSET($H$3,0,0,'Données projet'!$E$9+1,1))</f>
        <v>298.01613436147056</v>
      </c>
      <c r="T40" s="59">
        <f t="shared" si="34"/>
        <v>212.70221374431253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22.851428571428578</v>
      </c>
      <c r="AI40" s="13">
        <f>IF('Données projet'!$A$62&gt;35,AI39+AH40-AQ39,IF(A40&lt;'Données projet'!$A$62,$AF$205^A40,IF(A40='Données projet'!$A$62,'Données projet'!$B$62,AI39+AH40-AQ39)))</f>
        <v>336.23285714285714</v>
      </c>
      <c r="AJ40" s="13">
        <f>AI40*VLOOKUP('Données projet'!$B$10,Paramètres!$A$1:$I$89,3,0)*VLOOKUP('Données projet'!$B$10,Paramètres!$A$1:$I$89,5,0)</f>
        <v>187.95416714285713</v>
      </c>
      <c r="AK40" s="13">
        <f t="shared" si="35"/>
        <v>47.087363665282226</v>
      </c>
      <c r="AL40" s="20">
        <f t="shared" si="4"/>
        <v>409.36399949084267</v>
      </c>
      <c r="AM40" s="59">
        <f t="shared" si="5"/>
        <v>702.69733282417599</v>
      </c>
      <c r="AN40" s="59">
        <f ca="1">AVERAGE(OFFSET($AM$3,0,0,'Données projet'!$E$10+1,1))-AVERAGE(OFFSET($H$3,0,0,'Données projet'!$E$10+1,1))</f>
        <v>287.413090017863</v>
      </c>
      <c r="AO40" s="59">
        <f t="shared" si="36"/>
        <v>258.48456031927117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30.961399686945747</v>
      </c>
      <c r="AV40" s="21">
        <f>EXP(-LN(2)/25)*AV39+(1-EXP(-LN(2)/25))/(LN(2)/25)*Calculateur!AQ40*Calculateur!AS40*VLOOKUP('Données projet'!$B$10,Paramètres!$A$1:$I$89,3,0)*0.475*44/12</f>
        <v>20.817225403872289</v>
      </c>
      <c r="AW40" s="21">
        <f>EXP(-LN(2)/2)*AW39+(1-EXP(-LN(2)/2))/(LN(2)/2)*AQ40*AT40*VLOOKUP('Données projet'!$B$10,Paramètres!$A$1:$I$89,3,0)*0.475*44/12</f>
        <v>6.267040132578324</v>
      </c>
      <c r="AX40" s="21">
        <f t="shared" si="6"/>
        <v>58.045665223396362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243.33915530322201</v>
      </c>
      <c r="BJ40" s="59">
        <f t="shared" si="38"/>
        <v>247.73814704672577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7.4710908968147987</v>
      </c>
      <c r="BQ40" s="21">
        <f>EXP(-LN(2)/25)*BQ39+(1-EXP(-LN(2)/25))/(LN(2)/25)*Calculateur!BL40*Calculateur!BN40*VLOOKUP('Données projet'!$B$11,Paramètres!$A$1:$I$89,3,0)*0.475*44/12</f>
        <v>14.656456345266367</v>
      </c>
      <c r="BR40" s="21">
        <f>EXP(-LN(2)/2)*BR39+(1-EXP(-LN(2)/2))/(LN(2)/2)*BL40*BO40*VLOOKUP('Données projet'!$B$11,Paramètres!$A$1:$I$89,3,0)*0.475*44/12</f>
        <v>3.9884537069624186</v>
      </c>
      <c r="BS40" s="22">
        <f t="shared" si="9"/>
        <v>26.116000949043581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4.5856818181818184</v>
      </c>
      <c r="N41" s="13">
        <f>IF('Données projet'!$A$36&gt;35,N40+M41-V40,IF(A41&lt;'Données projet'!$A$36,$K$205^A41,IF(A41='Données projet'!$A$36,'Données projet'!$B$36,N40+M41-V40)))</f>
        <v>174.25590909090926</v>
      </c>
      <c r="O41" s="13">
        <f>N41*VLOOKUP('Données projet'!$B$9,Paramètres!$A$1:$I$89,3,0)*VLOOKUP('Données projet'!$B$9,Paramètres!$A$1:$I$89,5,0)</f>
        <v>157.66674654545469</v>
      </c>
      <c r="P41" s="13">
        <f t="shared" si="33"/>
        <v>40.315794476431826</v>
      </c>
      <c r="Q41" s="20">
        <f t="shared" si="53"/>
        <v>344.81959227978564</v>
      </c>
      <c r="R41" s="59">
        <f t="shared" si="0"/>
        <v>638.1529256131189</v>
      </c>
      <c r="S41" s="59">
        <f ca="1">AVERAGE(OFFSET($R$3,0,0,'Données projet'!$E$9+1,1))-AVERAGE(OFFSET($H$3,0,0,'Données projet'!$E$9+1,1))</f>
        <v>298.01613436147056</v>
      </c>
      <c r="T41" s="59">
        <f t="shared" si="34"/>
        <v>212.70221374431253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22.851428571428578</v>
      </c>
      <c r="AI41" s="13">
        <f>IF('Données projet'!$A$62&gt;35,AI40+AH41-AQ40,IF(A41&lt;'Données projet'!$A$62,$AF$205^A41,IF(A41='Données projet'!$A$62,'Données projet'!$B$62,AI40+AH41-AQ40)))</f>
        <v>359.08428571428573</v>
      </c>
      <c r="AJ41" s="13">
        <f>AI41*VLOOKUP('Données projet'!$B$10,Paramètres!$A$1:$I$89,3,0)*VLOOKUP('Données projet'!$B$10,Paramètres!$A$1:$I$89,5,0)</f>
        <v>200.72811571428574</v>
      </c>
      <c r="AK41" s="13">
        <f t="shared" si="35"/>
        <v>49.904151662519681</v>
      </c>
      <c r="AL41" s="20">
        <f t="shared" si="4"/>
        <v>436.51786568126948</v>
      </c>
      <c r="AM41" s="59">
        <f t="shared" si="5"/>
        <v>729.8511990146028</v>
      </c>
      <c r="AN41" s="59">
        <f ca="1">AVERAGE(OFFSET($AM$3,0,0,'Données projet'!$E$10+1,1))-AVERAGE(OFFSET($H$3,0,0,'Données projet'!$E$10+1,1))</f>
        <v>287.413090017863</v>
      </c>
      <c r="AO41" s="59">
        <f t="shared" si="36"/>
        <v>258.48456031927117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30.354265523673853</v>
      </c>
      <c r="AV41" s="21">
        <f>EXP(-LN(2)/25)*AV40+(1-EXP(-LN(2)/25))/(LN(2)/25)*Calculateur!AQ41*Calculateur!AS41*VLOOKUP('Données projet'!$B$10,Paramètres!$A$1:$I$89,3,0)*0.475*44/12</f>
        <v>20.247977280473094</v>
      </c>
      <c r="AW41" s="21">
        <f>EXP(-LN(2)/2)*AW40+(1-EXP(-LN(2)/2))/(LN(2)/2)*AQ41*AT41*VLOOKUP('Données projet'!$B$10,Paramètres!$A$1:$I$89,3,0)*0.475*44/12</f>
        <v>4.4314665757143734</v>
      </c>
      <c r="AX41" s="21">
        <f t="shared" si="6"/>
        <v>55.033709379861321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243.33915530322201</v>
      </c>
      <c r="BJ41" s="59">
        <f t="shared" si="38"/>
        <v>247.73814704672577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7.3245873612437498</v>
      </c>
      <c r="BQ41" s="21">
        <f>EXP(-LN(2)/25)*BQ40+(1-EXP(-LN(2)/25))/(LN(2)/25)*Calculateur!BL41*Calculateur!BN41*VLOOKUP('Données projet'!$B$11,Paramètres!$A$1:$I$89,3,0)*0.475*44/12</f>
        <v>14.255674775755518</v>
      </c>
      <c r="BR41" s="21">
        <f>EXP(-LN(2)/2)*BR40+(1-EXP(-LN(2)/2))/(LN(2)/2)*BL41*BO41*VLOOKUP('Données projet'!$B$11,Paramètres!$A$1:$I$89,3,0)*0.475*44/12</f>
        <v>2.8202626626417495</v>
      </c>
      <c r="BS41" s="22">
        <f t="shared" si="9"/>
        <v>24.400524799641016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4.5856818181818184</v>
      </c>
      <c r="N42" s="13">
        <f>IF('Données projet'!$A$36&gt;35,N41+M42-V41,IF(A42&lt;'Données projet'!$A$36,$K$205^A42,IF(A42='Données projet'!$A$36,'Données projet'!$B$36,N41+M42-V41)))</f>
        <v>178.84159090909108</v>
      </c>
      <c r="O42" s="13">
        <f>N42*VLOOKUP('Données projet'!$B$9,Paramètres!$A$1:$I$89,3,0)*VLOOKUP('Données projet'!$B$9,Paramètres!$A$1:$I$89,5,0)</f>
        <v>161.8158714545456</v>
      </c>
      <c r="P42" s="13">
        <f t="shared" si="33"/>
        <v>41.251820884010222</v>
      </c>
      <c r="Q42" s="20">
        <f t="shared" si="53"/>
        <v>353.67623082298468</v>
      </c>
      <c r="R42" s="59">
        <f t="shared" si="0"/>
        <v>647.00956415631799</v>
      </c>
      <c r="S42" s="59">
        <f ca="1">AVERAGE(OFFSET($R$3,0,0,'Données projet'!$E$9+1,1))-AVERAGE(OFFSET($H$3,0,0,'Données projet'!$E$9+1,1))</f>
        <v>298.01613436147056</v>
      </c>
      <c r="T42" s="59">
        <f t="shared" si="34"/>
        <v>212.70221374431253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22.851428571428578</v>
      </c>
      <c r="AI42" s="13">
        <f>IF('Données projet'!$A$62&gt;35,AI41+AH42-AQ41,IF(A42&lt;'Données projet'!$A$62,$AF$205^A42,IF(A42='Données projet'!$A$62,'Données projet'!$B$62,AI41+AH42-AQ41)))</f>
        <v>381.93571428571431</v>
      </c>
      <c r="AJ42" s="13">
        <f>AI42*VLOOKUP('Données projet'!$B$10,Paramètres!$A$1:$I$89,3,0)*VLOOKUP('Données projet'!$B$10,Paramètres!$A$1:$I$89,5,0)</f>
        <v>213.50206428571431</v>
      </c>
      <c r="AK42" s="13">
        <f t="shared" si="35"/>
        <v>52.700136656354076</v>
      </c>
      <c r="AL42" s="20">
        <f t="shared" si="4"/>
        <v>463.6354999741024</v>
      </c>
      <c r="AM42" s="59">
        <f t="shared" si="5"/>
        <v>756.96883330743572</v>
      </c>
      <c r="AN42" s="59">
        <f ca="1">AVERAGE(OFFSET($AM$3,0,0,'Données projet'!$E$10+1,1))-AVERAGE(OFFSET($H$3,0,0,'Données projet'!$E$10+1,1))</f>
        <v>287.413090017863</v>
      </c>
      <c r="AO42" s="59">
        <f t="shared" si="36"/>
        <v>258.48456031927117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29.759036891028444</v>
      </c>
      <c r="AV42" s="21">
        <f>EXP(-LN(2)/25)*AV41+(1-EXP(-LN(2)/25))/(LN(2)/25)*Calculateur!AQ42*Calculateur!AS42*VLOOKUP('Données projet'!$B$10,Paramètres!$A$1:$I$89,3,0)*0.475*44/12</f>
        <v>19.694295276943709</v>
      </c>
      <c r="AW42" s="21">
        <f>EXP(-LN(2)/2)*AW41+(1-EXP(-LN(2)/2))/(LN(2)/2)*AQ42*AT42*VLOOKUP('Données projet'!$B$10,Paramètres!$A$1:$I$89,3,0)*0.475*44/12</f>
        <v>3.1335200662891629</v>
      </c>
      <c r="AX42" s="21">
        <f t="shared" si="6"/>
        <v>52.586852234261315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243.33915530322201</v>
      </c>
      <c r="BJ42" s="59">
        <f t="shared" si="38"/>
        <v>247.73814704672577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7.1809566706469159</v>
      </c>
      <c r="BQ42" s="21">
        <f>EXP(-LN(2)/25)*BQ41+(1-EXP(-LN(2)/25))/(LN(2)/25)*Calculateur!BL42*Calculateur!BN42*VLOOKUP('Données projet'!$B$11,Paramètres!$A$1:$I$89,3,0)*0.475*44/12</f>
        <v>13.865852599339128</v>
      </c>
      <c r="BR42" s="21">
        <f>EXP(-LN(2)/2)*BR41+(1-EXP(-LN(2)/2))/(LN(2)/2)*BL42*BO42*VLOOKUP('Données projet'!$B$11,Paramètres!$A$1:$I$89,3,0)*0.475*44/12</f>
        <v>1.9942268534812095</v>
      </c>
      <c r="BS42" s="22">
        <f t="shared" si="9"/>
        <v>23.041036123467251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4.5856818181818184</v>
      </c>
      <c r="N43" s="13">
        <f>IF('Données projet'!$A$36&gt;35,N42+M43-V42,IF(A43&lt;'Données projet'!$A$36,$K$205^A43,IF(A43='Données projet'!$A$36,'Données projet'!$B$36,N42+M43-V42)))</f>
        <v>183.42727272727291</v>
      </c>
      <c r="O43" s="13">
        <f>N43*VLOOKUP('Données projet'!$B$9,Paramètres!$A$1:$I$89,3,0)*VLOOKUP('Données projet'!$B$9,Paramètres!$A$1:$I$89,5,0)</f>
        <v>165.96499636363652</v>
      </c>
      <c r="P43" s="13">
        <f t="shared" si="33"/>
        <v>42.185057454593114</v>
      </c>
      <c r="Q43" s="20">
        <f t="shared" si="53"/>
        <v>362.52801040008325</v>
      </c>
      <c r="R43" s="59">
        <f t="shared" si="0"/>
        <v>655.86134373341656</v>
      </c>
      <c r="S43" s="59">
        <f ca="1">AVERAGE(OFFSET($R$3,0,0,'Données projet'!$E$9+1,1))-AVERAGE(OFFSET($H$3,0,0,'Données projet'!$E$9+1,1))</f>
        <v>298.01613436147056</v>
      </c>
      <c r="T43" s="59">
        <f t="shared" si="34"/>
        <v>212.70221374431253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22.851428571428578</v>
      </c>
      <c r="AI43" s="13">
        <f>IF('Données projet'!$A$62&gt;35,AI42+AH43-AQ42,IF(A43&lt;'Données projet'!$A$62,$AF$205^A43,IF(A43='Données projet'!$A$62,'Données projet'!$B$62,AI42+AH43-AQ42)))</f>
        <v>404.7871428571429</v>
      </c>
      <c r="AJ43" s="13">
        <f>AI43*VLOOKUP('Données projet'!$B$10,Paramètres!$A$1:$I$89,3,0)*VLOOKUP('Données projet'!$B$10,Paramètres!$A$1:$I$89,5,0)</f>
        <v>226.27601285714289</v>
      </c>
      <c r="AK43" s="13">
        <f t="shared" si="35"/>
        <v>55.476705055614268</v>
      </c>
      <c r="AL43" s="20">
        <f t="shared" si="4"/>
        <v>490.71931703138534</v>
      </c>
      <c r="AM43" s="59">
        <f t="shared" si="5"/>
        <v>784.0526503647186</v>
      </c>
      <c r="AN43" s="59">
        <f ca="1">AVERAGE(OFFSET($AM$3,0,0,'Données projet'!$E$10+1,1))-AVERAGE(OFFSET($H$3,0,0,'Données projet'!$E$10+1,1))</f>
        <v>287.413090017863</v>
      </c>
      <c r="AO43" s="59">
        <f t="shared" si="36"/>
        <v>258.48456031927117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29.175480328815595</v>
      </c>
      <c r="AV43" s="21">
        <f>EXP(-LN(2)/25)*AV42+(1-EXP(-LN(2)/25))/(LN(2)/25)*Calculateur!AQ43*Calculateur!AS43*VLOOKUP('Données projet'!$B$10,Paramètres!$A$1:$I$89,3,0)*0.475*44/12</f>
        <v>19.155753736917706</v>
      </c>
      <c r="AW43" s="21">
        <f>EXP(-LN(2)/2)*AW42+(1-EXP(-LN(2)/2))/(LN(2)/2)*AQ43*AT43*VLOOKUP('Données projet'!$B$10,Paramètres!$A$1:$I$89,3,0)*0.475*44/12</f>
        <v>2.2157332878571872</v>
      </c>
      <c r="AX43" s="21">
        <f t="shared" si="6"/>
        <v>50.546967353590489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243.33915530322201</v>
      </c>
      <c r="BJ43" s="59">
        <f t="shared" si="38"/>
        <v>247.73814704672577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11.118880475259491</v>
      </c>
      <c r="BQ43" s="21">
        <f>EXP(-LN(2)/25)*BQ42+(1-EXP(-LN(2)/25))/(LN(2)/25)*Calculateur!BL43*Calculateur!BN43*VLOOKUP('Données projet'!$B$11,Paramètres!$A$1:$I$89,3,0)*0.475*44/12</f>
        <v>17.549368570241725</v>
      </c>
      <c r="BR43" s="21">
        <f>EXP(-LN(2)/2)*BR42+(1-EXP(-LN(2)/2))/(LN(2)/2)*BL43*BO43*VLOOKUP('Données projet'!$B$11,Paramètres!$A$1:$I$89,3,0)*0.475*44/12</f>
        <v>7.9784939473462853</v>
      </c>
      <c r="BS43" s="22">
        <f t="shared" si="9"/>
        <v>36.6467429928475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4.5856818181818184</v>
      </c>
      <c r="N44" s="13">
        <f>IF('Données projet'!$A$36&gt;35,N43+M44-V43,IF(A44&lt;'Données projet'!$A$36,$K$205^A44,IF(A44='Données projet'!$A$36,'Données projet'!$B$36,N43+M44-V43)))</f>
        <v>188.01295454545473</v>
      </c>
      <c r="O44" s="13">
        <f>N44*VLOOKUP('Données projet'!$B$9,Paramètres!$A$1:$I$89,3,0)*VLOOKUP('Données projet'!$B$9,Paramètres!$A$1:$I$89,5,0)</f>
        <v>170.11412127272743</v>
      </c>
      <c r="P44" s="13">
        <f t="shared" si="33"/>
        <v>43.115581955736218</v>
      </c>
      <c r="Q44" s="20">
        <f t="shared" si="53"/>
        <v>371.3750664562408</v>
      </c>
      <c r="R44" s="59">
        <f t="shared" si="0"/>
        <v>664.70839978957406</v>
      </c>
      <c r="S44" s="59">
        <f ca="1">AVERAGE(OFFSET($R$3,0,0,'Données projet'!$E$9+1,1))-AVERAGE(OFFSET($H$3,0,0,'Données projet'!$E$9+1,1))</f>
        <v>298.01613436147056</v>
      </c>
      <c r="T44" s="59">
        <f t="shared" si="34"/>
        <v>212.70221374431253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22.851428571428578</v>
      </c>
      <c r="AI44" s="13">
        <f>IF('Données projet'!$A$62&gt;35,AI43+AH44-AQ43,IF(A44&lt;'Données projet'!$A$62,$AF$205^A44,IF(A44='Données projet'!$A$62,'Données projet'!$B$62,AI43+AH44-AQ43)))</f>
        <v>427.63857142857148</v>
      </c>
      <c r="AJ44" s="13">
        <f>AI44*VLOOKUP('Données projet'!$B$10,Paramètres!$A$1:$I$89,3,0)*VLOOKUP('Données projet'!$B$10,Paramètres!$A$1:$I$89,5,0)</f>
        <v>239.04996142857144</v>
      </c>
      <c r="AK44" s="13">
        <f t="shared" si="35"/>
        <v>58.235077894233235</v>
      </c>
      <c r="AL44" s="20">
        <f t="shared" si="4"/>
        <v>517.77144348721811</v>
      </c>
      <c r="AM44" s="59">
        <f t="shared" si="5"/>
        <v>811.10477682055148</v>
      </c>
      <c r="AN44" s="59">
        <f ca="1">AVERAGE(OFFSET($AM$3,0,0,'Données projet'!$E$10+1,1))-AVERAGE(OFFSET($H$3,0,0,'Données projet'!$E$10+1,1))</f>
        <v>287.413090017863</v>
      </c>
      <c r="AO44" s="59">
        <f t="shared" si="36"/>
        <v>258.48456031927117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28.603366954853385</v>
      </c>
      <c r="AV44" s="21">
        <f>EXP(-LN(2)/25)*AV43+(1-EXP(-LN(2)/25))/(LN(2)/25)*Calculateur!AQ44*Calculateur!AS44*VLOOKUP('Données projet'!$B$10,Paramètres!$A$1:$I$89,3,0)*0.475*44/12</f>
        <v>18.631938643624384</v>
      </c>
      <c r="AW44" s="21">
        <f>EXP(-LN(2)/2)*AW43+(1-EXP(-LN(2)/2))/(LN(2)/2)*AQ44*AT44*VLOOKUP('Données projet'!$B$10,Paramètres!$A$1:$I$89,3,0)*0.475*44/12</f>
        <v>1.5667600331445817</v>
      </c>
      <c r="AX44" s="21">
        <f t="shared" si="6"/>
        <v>48.802065631622348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161.34768000000003</v>
      </c>
      <c r="BF44" s="13">
        <f t="shared" si="37"/>
        <v>41.146339844316657</v>
      </c>
      <c r="BG44" s="20">
        <f t="shared" si="7"/>
        <v>352.6770845621848</v>
      </c>
      <c r="BH44" s="59">
        <f t="shared" si="8"/>
        <v>646.01041789551812</v>
      </c>
      <c r="BI44" s="59">
        <f ca="1">AVERAGE(OFFSET($BH$3,0,0,'Données projet'!$E$11+1,1))-AVERAGE(OFFSET($H$3,0,0,'Données projet'!$E$11+1,1))</f>
        <v>243.33915530322201</v>
      </c>
      <c r="BJ44" s="59">
        <f t="shared" si="38"/>
        <v>247.73814704672577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10.90084601098709</v>
      </c>
      <c r="BQ44" s="21">
        <f>EXP(-LN(2)/25)*BQ43+(1-EXP(-LN(2)/25))/(LN(2)/25)*Calculateur!BL44*Calculateur!BN44*VLOOKUP('Données projet'!$B$11,Paramètres!$A$1:$I$89,3,0)*0.475*44/12</f>
        <v>17.069480163807281</v>
      </c>
      <c r="BR44" s="21">
        <f>EXP(-LN(2)/2)*BR43+(1-EXP(-LN(2)/2))/(LN(2)/2)*BL44*BO44*VLOOKUP('Données projet'!$B$11,Paramètres!$A$1:$I$89,3,0)*0.475*44/12</f>
        <v>5.6416471738243841</v>
      </c>
      <c r="BS44" s="22">
        <f t="shared" si="9"/>
        <v>33.611973348618754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4.5856818181818184</v>
      </c>
      <c r="N45" s="13">
        <f>IF('Données projet'!$A$36&gt;35,N44+M45-V44,IF(A45&lt;'Données projet'!$A$36,$K$205^A45,IF(A45='Données projet'!$A$36,'Données projet'!$B$36,N44+M45-V44)))</f>
        <v>192.59863636363656</v>
      </c>
      <c r="O45" s="13">
        <f>N45*VLOOKUP('Données projet'!$B$9,Paramètres!$A$1:$I$89,3,0)*VLOOKUP('Données projet'!$B$9,Paramètres!$A$1:$I$89,5,0)</f>
        <v>174.26324618181837</v>
      </c>
      <c r="P45" s="13">
        <f t="shared" si="33"/>
        <v>44.043468145167253</v>
      </c>
      <c r="Q45" s="20">
        <f t="shared" si="53"/>
        <v>380.21752745283328</v>
      </c>
      <c r="R45" s="59">
        <f t="shared" si="0"/>
        <v>673.5508607861666</v>
      </c>
      <c r="S45" s="59">
        <f ca="1">AVERAGE(OFFSET($R$3,0,0,'Données projet'!$E$9+1,1))-AVERAGE(OFFSET($H$3,0,0,'Données projet'!$E$9+1,1))</f>
        <v>298.01613436147056</v>
      </c>
      <c r="T45" s="59">
        <f t="shared" si="34"/>
        <v>212.70221374431253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450.49</v>
      </c>
      <c r="AG45" s="12">
        <f>VLOOKUP(A45,'Données projet'!$A$61:$I$81,9,0)</f>
        <v>22.851428571428578</v>
      </c>
      <c r="AH45" s="12">
        <f t="array" ref="AH45">INDEX(AG:AG,MIN(IF(ISNUMBER(AG45:AG241),ROW(AG45:AG241),"")))</f>
        <v>22.851428571428578</v>
      </c>
      <c r="AI45" s="13">
        <f>IF('Données projet'!$A$62&gt;35,AI44+AH45-AQ44,IF(A45&lt;'Données projet'!$A$62,$AF$205^A45,IF(A45='Données projet'!$A$62,'Données projet'!$B$62,AI44+AH45-AQ44)))</f>
        <v>450.49000000000007</v>
      </c>
      <c r="AJ45" s="13">
        <f>AI45*VLOOKUP('Données projet'!$B$10,Paramètres!$A$1:$I$89,3,0)*VLOOKUP('Données projet'!$B$10,Paramètres!$A$1:$I$89,5,0)</f>
        <v>251.82391000000004</v>
      </c>
      <c r="AK45" s="13">
        <f t="shared" si="35"/>
        <v>60.976338340878812</v>
      </c>
      <c r="AL45" s="20">
        <f t="shared" si="4"/>
        <v>544.79376586036392</v>
      </c>
      <c r="AM45" s="59">
        <f t="shared" si="5"/>
        <v>838.12709919369718</v>
      </c>
      <c r="AN45" s="59">
        <f ca="1">AVERAGE(OFFSET($AM$3,0,0,'Données projet'!$E$10+1,1))-AVERAGE(OFFSET($H$3,0,0,'Données projet'!$E$10+1,1))</f>
        <v>287.413090017863</v>
      </c>
      <c r="AO45" s="59">
        <f t="shared" si="36"/>
        <v>258.48456031927117</v>
      </c>
      <c r="AP45" s="15">
        <f>IF(ISNA(VLOOKUP(A45,'Données projet'!$A$61:$I$81,3,0)),0,VLOOKUP(A45,'Données projet'!$A$61:$I$81,3,0))</f>
        <v>4</v>
      </c>
      <c r="AQ45" s="15">
        <f>IF(ISNA(VLOOKUP(A45,'Données projet'!$A$61:$I$81,4,0)),0,VLOOKUP(A45,'Données projet'!$A$61:$I$81,4,0))</f>
        <v>100.04000000000002</v>
      </c>
      <c r="AR45" s="16">
        <f>IF(ISNA(VLOOKUP(A45,'Données projet'!$A$61:$I$81,5,0)),0%,VLOOKUP(A45,'Données projet'!$A$61:$I$81,5,0)*VLOOKUP('Données projet'!$B$10,Paramètres!$A$1:$I$89,7,0))</f>
        <v>0.33</v>
      </c>
      <c r="AS45" s="16">
        <f>IF(ISNA(VLOOKUP(A45,'Données projet'!$A$61:$I$81,6,0)),0%,VLOOKUP(A45,'Données projet'!$A$61:$I$81,6,0)*VLOOKUP('Données projet'!$B$10,Paramètres!$A$1:$I$89,7,0))</f>
        <v>0.11000000000000001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52.523395338496876</v>
      </c>
      <c r="AV45" s="21">
        <f>EXP(-LN(2)/25)*AV44+(1-EXP(-LN(2)/25))/(LN(2)/25)*Calculateur!AQ45*Calculateur!AS45*VLOOKUP('Données projet'!$B$10,Paramètres!$A$1:$I$89,3,0)*0.475*44/12</f>
        <v>26.250624715479255</v>
      </c>
      <c r="AW45" s="21">
        <f>EXP(-LN(2)/2)*AW44+(1-EXP(-LN(2)/2))/(LN(2)/2)*AQ45*AT45*VLOOKUP('Données projet'!$B$10,Paramètres!$A$1:$I$89,3,0)*0.475*44/12</f>
        <v>13.771287073109026</v>
      </c>
      <c r="AX45" s="21">
        <f t="shared" si="6"/>
        <v>92.545307127085152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169.14456000000004</v>
      </c>
      <c r="BF45" s="13">
        <f t="shared" si="37"/>
        <v>42.898377267189964</v>
      </c>
      <c r="BG45" s="20">
        <f t="shared" si="7"/>
        <v>369.30811574035596</v>
      </c>
      <c r="BH45" s="59">
        <f t="shared" si="8"/>
        <v>662.64144907368927</v>
      </c>
      <c r="BI45" s="59">
        <f ca="1">AVERAGE(OFFSET($BH$3,0,0,'Données projet'!$E$11+1,1))-AVERAGE(OFFSET($H$3,0,0,'Données projet'!$E$11+1,1))</f>
        <v>243.33915530322201</v>
      </c>
      <c r="BJ45" s="59">
        <f t="shared" si="38"/>
        <v>247.73814704672577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10.687087069571179</v>
      </c>
      <c r="BQ45" s="21">
        <f>EXP(-LN(2)/25)*BQ44+(1-EXP(-LN(2)/25))/(LN(2)/25)*Calculateur!BL45*Calculateur!BN45*VLOOKUP('Données projet'!$B$11,Paramètres!$A$1:$I$89,3,0)*0.475*44/12</f>
        <v>16.602714331083021</v>
      </c>
      <c r="BR45" s="21">
        <f>EXP(-LN(2)/2)*BR44+(1-EXP(-LN(2)/2))/(LN(2)/2)*BL45*BO45*VLOOKUP('Données projet'!$B$11,Paramètres!$A$1:$I$89,3,0)*0.475*44/12</f>
        <v>3.9892469736731431</v>
      </c>
      <c r="BS45" s="22">
        <f t="shared" si="9"/>
        <v>31.279048374327342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4.5856818181818184</v>
      </c>
      <c r="N46" s="13">
        <f>IF('Données projet'!$A$36&gt;35,N45+M46-V45,IF(A46&lt;'Données projet'!$A$36,$K$205^A46,IF(A46='Données projet'!$A$36,'Données projet'!$B$36,N45+M46-V45)))</f>
        <v>197.18431818181838</v>
      </c>
      <c r="O46" s="13">
        <f>N46*VLOOKUP('Données projet'!$B$9,Paramètres!$A$1:$I$89,3,0)*VLOOKUP('Données projet'!$B$9,Paramètres!$A$1:$I$89,5,0)</f>
        <v>178.41237109090926</v>
      </c>
      <c r="P46" s="13">
        <f t="shared" si="33"/>
        <v>44.968786068016108</v>
      </c>
      <c r="Q46" s="20">
        <f t="shared" si="53"/>
        <v>389.05551538512827</v>
      </c>
      <c r="R46" s="59">
        <f t="shared" si="0"/>
        <v>682.38884871846153</v>
      </c>
      <c r="S46" s="59">
        <f ca="1">AVERAGE(OFFSET($R$3,0,0,'Données projet'!$E$9+1,1))-AVERAGE(OFFSET($H$3,0,0,'Données projet'!$E$9+1,1))</f>
        <v>298.01613436147056</v>
      </c>
      <c r="T46" s="59">
        <f t="shared" si="34"/>
        <v>212.70221374431253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21.970000000000002</v>
      </c>
      <c r="AI46" s="13">
        <f>IF('Données projet'!$A$62&gt;35,AI45+AH46-AQ45,IF(A46&lt;'Données projet'!$A$62,$AF$205^A46,IF(A46='Données projet'!$A$62,'Données projet'!$B$62,AI45+AH46-AQ45)))</f>
        <v>372.42000000000007</v>
      </c>
      <c r="AJ46" s="13">
        <f>AI46*VLOOKUP('Données projet'!$B$10,Paramètres!$A$1:$I$89,3,0)*VLOOKUP('Données projet'!$B$10,Paramètres!$A$1:$I$89,5,0)</f>
        <v>208.18278000000007</v>
      </c>
      <c r="AK46" s="13">
        <f t="shared" si="35"/>
        <v>51.538276765249073</v>
      </c>
      <c r="AL46" s="20">
        <f t="shared" si="4"/>
        <v>452.34750719947556</v>
      </c>
      <c r="AM46" s="59">
        <f t="shared" si="5"/>
        <v>745.68084053280882</v>
      </c>
      <c r="AN46" s="59">
        <f ca="1">AVERAGE(OFFSET($AM$3,0,0,'Données projet'!$E$10+1,1))-AVERAGE(OFFSET($H$3,0,0,'Données projet'!$E$10+1,1))</f>
        <v>287.413090017863</v>
      </c>
      <c r="AO46" s="59">
        <f t="shared" si="36"/>
        <v>258.48456031927117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51.493443592016803</v>
      </c>
      <c r="AV46" s="21">
        <f>EXP(-LN(2)/25)*AV45+(1-EXP(-LN(2)/25))/(LN(2)/25)*Calculateur!AQ46*Calculateur!AS46*VLOOKUP('Données projet'!$B$10,Paramètres!$A$1:$I$89,3,0)*0.475*44/12</f>
        <v>25.532800002174117</v>
      </c>
      <c r="AW46" s="21">
        <f>EXP(-LN(2)/2)*AW45+(1-EXP(-LN(2)/2))/(LN(2)/2)*AQ46*AT46*VLOOKUP('Données projet'!$B$10,Paramètres!$A$1:$I$89,3,0)*0.475*44/12</f>
        <v>9.7377704750620353</v>
      </c>
      <c r="AX46" s="21">
        <f t="shared" si="6"/>
        <v>86.764014069252951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176.94144000000003</v>
      </c>
      <c r="BF46" s="13">
        <f t="shared" si="37"/>
        <v>44.641035679901449</v>
      </c>
      <c r="BG46" s="20">
        <f t="shared" si="7"/>
        <v>385.92281180916171</v>
      </c>
      <c r="BH46" s="59">
        <f t="shared" si="8"/>
        <v>679.25614514249503</v>
      </c>
      <c r="BI46" s="59">
        <f ca="1">AVERAGE(OFFSET($BH$3,0,0,'Données projet'!$E$11+1,1))-AVERAGE(OFFSET($H$3,0,0,'Données projet'!$E$11+1,1))</f>
        <v>243.33915530322201</v>
      </c>
      <c r="BJ46" s="59">
        <f t="shared" si="38"/>
        <v>247.73814704672577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10.477519810616354</v>
      </c>
      <c r="BQ46" s="21">
        <f>EXP(-LN(2)/25)*BQ45+(1-EXP(-LN(2)/25))/(LN(2)/25)*Calculateur!BL46*Calculateur!BN46*VLOOKUP('Données projet'!$B$11,Paramètres!$A$1:$I$89,3,0)*0.475*44/12</f>
        <v>16.148712234600755</v>
      </c>
      <c r="BR46" s="21">
        <f>EXP(-LN(2)/2)*BR45+(1-EXP(-LN(2)/2))/(LN(2)/2)*BL46*BO46*VLOOKUP('Données projet'!$B$11,Paramètres!$A$1:$I$89,3,0)*0.475*44/12</f>
        <v>2.8208235869121925</v>
      </c>
      <c r="BS46" s="22">
        <f t="shared" si="9"/>
        <v>29.447055632129299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201.77</v>
      </c>
      <c r="L47" s="12">
        <f>VLOOKUP(A47,'Données projet'!$A$35:$I$55,9,0)</f>
        <v>4.5856818181818184</v>
      </c>
      <c r="M47" s="12">
        <f t="array" ref="M47">INDEX(L:L,MIN(IF(ISNUMBER(L47:L243),ROW(L47:L243),"")))</f>
        <v>4.5856818181818184</v>
      </c>
      <c r="N47" s="13">
        <f>IF('Données projet'!$A$36&gt;35,N46+M47-V46,IF(A47&lt;'Données projet'!$A$36,$K$205^A47,IF(A47='Données projet'!$A$36,'Données projet'!$B$36,N46+M47-V46)))</f>
        <v>201.77000000000021</v>
      </c>
      <c r="O47" s="13">
        <f>N47*VLOOKUP('Données projet'!$B$9,Paramètres!$A$1:$I$89,3,0)*VLOOKUP('Données projet'!$B$9,Paramètres!$A$1:$I$89,5,0)</f>
        <v>182.56149600000018</v>
      </c>
      <c r="P47" s="13">
        <f t="shared" si="33"/>
        <v>45.891602325617114</v>
      </c>
      <c r="Q47" s="20">
        <f t="shared" si="53"/>
        <v>397.8891462504501</v>
      </c>
      <c r="R47" s="59">
        <f t="shared" si="0"/>
        <v>691.22247958378341</v>
      </c>
      <c r="S47" s="59">
        <f ca="1">AVERAGE(OFFSET($R$3,0,0,'Données projet'!$E$9+1,1))-AVERAGE(OFFSET($H$3,0,0,'Données projet'!$E$9+1,1))</f>
        <v>298.01613436147056</v>
      </c>
      <c r="T47" s="59">
        <f t="shared" si="34"/>
        <v>212.70221374431253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76.680000000000007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0.34400000000000003</v>
      </c>
      <c r="Y47" s="16">
        <f>IF(ISNA(VLOOKUP(A47,'Données projet'!$A$35:$I$55,7,0)),0%,VLOOKUP(A47,'Données projet'!$A$35:$I$55,7,0))</f>
        <v>0.2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26.280092586651165</v>
      </c>
      <c r="AB47" s="21">
        <f>EXP(-LN(2)/2)*AB46+(1-EXP(-LN(2)/2))/(LN(2)/2)*V47*Y47*VLOOKUP('Données projet'!$B$9,Paramètres!$A$1:$I$89,3,0)*0.475*44/12</f>
        <v>13.092391544208875</v>
      </c>
      <c r="AC47" s="22">
        <f t="shared" si="3"/>
        <v>39.372484130860038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21.970000000000002</v>
      </c>
      <c r="AI47" s="13">
        <f>IF('Données projet'!$A$62&gt;35,AI46+AH47-AQ46,IF(A47&lt;'Données projet'!$A$62,$AF$205^A47,IF(A47='Données projet'!$A$62,'Données projet'!$B$62,AI46+AH47-AQ46)))</f>
        <v>394.3900000000001</v>
      </c>
      <c r="AJ47" s="13">
        <f>AI47*VLOOKUP('Données projet'!$B$10,Paramètres!$A$1:$I$89,3,0)*VLOOKUP('Données projet'!$B$10,Paramètres!$A$1:$I$89,5,0)</f>
        <v>220.46401000000006</v>
      </c>
      <c r="AK47" s="13">
        <f t="shared" si="35"/>
        <v>54.215723631671224</v>
      </c>
      <c r="AL47" s="20">
        <f t="shared" si="4"/>
        <v>478.4005360751608</v>
      </c>
      <c r="AM47" s="59">
        <f t="shared" si="5"/>
        <v>771.73386940849412</v>
      </c>
      <c r="AN47" s="59">
        <f ca="1">AVERAGE(OFFSET($AM$3,0,0,'Données projet'!$E$10+1,1))-AVERAGE(OFFSET($H$3,0,0,'Données projet'!$E$10+1,1))</f>
        <v>287.413090017863</v>
      </c>
      <c r="AO47" s="59">
        <f t="shared" si="36"/>
        <v>258.48456031927117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50.483688571076669</v>
      </c>
      <c r="AV47" s="21">
        <f>EXP(-LN(2)/25)*AV46+(1-EXP(-LN(2)/25))/(LN(2)/25)*Calculateur!AQ47*Calculateur!AS47*VLOOKUP('Données projet'!$B$10,Paramètres!$A$1:$I$89,3,0)*0.475*44/12</f>
        <v>24.834604243403071</v>
      </c>
      <c r="AW47" s="21">
        <f>EXP(-LN(2)/2)*AW46+(1-EXP(-LN(2)/2))/(LN(2)/2)*AQ47*AT47*VLOOKUP('Données projet'!$B$10,Paramètres!$A$1:$I$89,3,0)*0.475*44/12</f>
        <v>6.8856435365545137</v>
      </c>
      <c r="AX47" s="21">
        <f t="shared" si="6"/>
        <v>82.203936351034258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184.73832000000004</v>
      </c>
      <c r="BF47" s="13">
        <f t="shared" si="37"/>
        <v>46.374775595471988</v>
      </c>
      <c r="BG47" s="20">
        <f t="shared" si="7"/>
        <v>402.52197482878046</v>
      </c>
      <c r="BH47" s="59">
        <f t="shared" si="8"/>
        <v>695.85530816211372</v>
      </c>
      <c r="BI47" s="59">
        <f ca="1">AVERAGE(OFFSET($BH$3,0,0,'Données projet'!$E$11+1,1))-AVERAGE(OFFSET($H$3,0,0,'Données projet'!$E$11+1,1))</f>
        <v>243.33915530322201</v>
      </c>
      <c r="BJ47" s="59">
        <f t="shared" si="38"/>
        <v>247.73814704672577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10.272062037786226</v>
      </c>
      <c r="BQ47" s="21">
        <f>EXP(-LN(2)/25)*BQ46+(1-EXP(-LN(2)/25))/(LN(2)/25)*Calculateur!BL47*Calculateur!BN47*VLOOKUP('Données projet'!$B$11,Paramètres!$A$1:$I$89,3,0)*0.475*44/12</f>
        <v>15.70712484932173</v>
      </c>
      <c r="BR47" s="21">
        <f>EXP(-LN(2)/2)*BR46+(1-EXP(-LN(2)/2))/(LN(2)/2)*BL47*BO47*VLOOKUP('Données projet'!$B$11,Paramètres!$A$1:$I$89,3,0)*0.475*44/12</f>
        <v>1.994623486836572</v>
      </c>
      <c r="BS47" s="22">
        <f t="shared" si="9"/>
        <v>27.973810373944531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9.6799999999999979</v>
      </c>
      <c r="N48" s="13">
        <f>IF('Données projet'!$A$36&gt;35,N47+M48-V47,IF(A48&lt;'Données projet'!$A$36,$K$205^A48,IF(A48='Données projet'!$A$36,'Données projet'!$B$36,N47+M48-V47)))</f>
        <v>134.77000000000021</v>
      </c>
      <c r="O48" s="13">
        <f>N48*VLOOKUP('Données projet'!$B$9,Paramètres!$A$1:$I$89,3,0)*VLOOKUP('Données projet'!$B$9,Paramètres!$A$1:$I$89,5,0)</f>
        <v>121.93989600000019</v>
      </c>
      <c r="P48" s="13">
        <f t="shared" si="33"/>
        <v>32.127025032251971</v>
      </c>
      <c r="Q48" s="20">
        <f t="shared" si="53"/>
        <v>268.3332207978392</v>
      </c>
      <c r="R48" s="59">
        <f t="shared" si="0"/>
        <v>561.66655413117246</v>
      </c>
      <c r="S48" s="59">
        <f ca="1">AVERAGE(OFFSET($R$3,0,0,'Données projet'!$E$9+1,1))-AVERAGE(OFFSET($H$3,0,0,'Données projet'!$E$9+1,1))</f>
        <v>298.01613436147056</v>
      </c>
      <c r="T48" s="59">
        <f t="shared" si="34"/>
        <v>212.70221374431253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25.561462072859182</v>
      </c>
      <c r="AB48" s="21">
        <f>EXP(-LN(2)/2)*AB47+(1-EXP(-LN(2)/2))/(LN(2)/2)*V48*Y48*VLOOKUP('Données projet'!$B$9,Paramètres!$A$1:$I$89,3,0)*0.475*44/12</f>
        <v>9.2577188428595107</v>
      </c>
      <c r="AC48" s="22">
        <f t="shared" si="3"/>
        <v>34.81918091571869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21.970000000000002</v>
      </c>
      <c r="AI48" s="13">
        <f>IF('Données projet'!$A$62&gt;35,AI47+AH48-AQ47,IF(A48&lt;'Données projet'!$A$62,$AF$205^A48,IF(A48='Données projet'!$A$62,'Données projet'!$B$62,AI47+AH48-AQ47)))</f>
        <v>416.36000000000013</v>
      </c>
      <c r="AJ48" s="13">
        <f>AI48*VLOOKUP('Données projet'!$B$10,Paramètres!$A$1:$I$89,3,0)*VLOOKUP('Données projet'!$B$10,Paramètres!$A$1:$I$89,5,0)</f>
        <v>232.74524000000008</v>
      </c>
      <c r="AK48" s="13">
        <f t="shared" si="35"/>
        <v>56.875856080072602</v>
      </c>
      <c r="AL48" s="20">
        <f t="shared" si="4"/>
        <v>504.42340900612658</v>
      </c>
      <c r="AM48" s="59">
        <f t="shared" si="5"/>
        <v>797.75674233945983</v>
      </c>
      <c r="AN48" s="59">
        <f ca="1">AVERAGE(OFFSET($AM$3,0,0,'Données projet'!$E$10+1,1))-AVERAGE(OFFSET($H$3,0,0,'Données projet'!$E$10+1,1))</f>
        <v>287.413090017863</v>
      </c>
      <c r="AO48" s="59">
        <f t="shared" si="36"/>
        <v>258.48456031927117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49.493734230207423</v>
      </c>
      <c r="AV48" s="21">
        <f>EXP(-LN(2)/25)*AV47+(1-EXP(-LN(2)/25))/(LN(2)/25)*Calculateur!AQ48*Calculateur!AS48*VLOOKUP('Données projet'!$B$10,Paramètres!$A$1:$I$89,3,0)*0.475*44/12</f>
        <v>24.155500684372136</v>
      </c>
      <c r="AW48" s="21">
        <f>EXP(-LN(2)/2)*AW47+(1-EXP(-LN(2)/2))/(LN(2)/2)*AQ48*AT48*VLOOKUP('Données projet'!$B$10,Paramètres!$A$1:$I$89,3,0)*0.475*44/12</f>
        <v>4.8688852375310177</v>
      </c>
      <c r="AX48" s="21">
        <f t="shared" si="6"/>
        <v>78.518120152110569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192.53520000000006</v>
      </c>
      <c r="BF48" s="13">
        <f t="shared" si="37"/>
        <v>48.100016456123079</v>
      </c>
      <c r="BG48" s="20">
        <f t="shared" si="7"/>
        <v>419.10633532774779</v>
      </c>
      <c r="BH48" s="59">
        <f t="shared" si="8"/>
        <v>712.4396686610811</v>
      </c>
      <c r="BI48" s="59">
        <f ca="1">AVERAGE(OFFSET($BH$3,0,0,'Données projet'!$E$11+1,1))-AVERAGE(OFFSET($H$3,0,0,'Données projet'!$E$11+1,1))</f>
        <v>243.33915530322201</v>
      </c>
      <c r="BJ48" s="59">
        <f t="shared" si="38"/>
        <v>247.73814704672577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12.867482070545831</v>
      </c>
      <c r="BQ48" s="21">
        <f>EXP(-LN(2)/25)*BQ47+(1-EXP(-LN(2)/25))/(LN(2)/25)*Calculateur!BL48*Calculateur!BN48*VLOOKUP('Données projet'!$B$11,Paramètres!$A$1:$I$89,3,0)*0.475*44/12</f>
        <v>18.063449338478677</v>
      </c>
      <c r="BR48" s="21">
        <f>EXP(-LN(2)/2)*BR47+(1-EXP(-LN(2)/2))/(LN(2)/2)*BL48*BO48*VLOOKUP('Données projet'!$B$11,Paramètres!$A$1:$I$89,3,0)*0.475*44/12</f>
        <v>5.914431873016377</v>
      </c>
      <c r="BS48" s="22">
        <f t="shared" si="9"/>
        <v>36.845363282040886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9.6799999999999979</v>
      </c>
      <c r="N49" s="13">
        <f>IF('Données projet'!$A$36&gt;35,N48+M49-V48,IF(A49&lt;'Données projet'!$A$36,$K$205^A49,IF(A49='Données projet'!$A$36,'Données projet'!$B$36,N48+M49-V48)))</f>
        <v>144.45000000000022</v>
      </c>
      <c r="O49" s="13">
        <f>N49*VLOOKUP('Données projet'!$B$9,Paramètres!$A$1:$I$89,3,0)*VLOOKUP('Données projet'!$B$9,Paramètres!$A$1:$I$89,5,0)</f>
        <v>130.69836000000018</v>
      </c>
      <c r="P49" s="13">
        <f t="shared" si="33"/>
        <v>34.157679472020803</v>
      </c>
      <c r="Q49" s="20">
        <f t="shared" si="53"/>
        <v>287.12426874710326</v>
      </c>
      <c r="R49" s="59">
        <f t="shared" si="0"/>
        <v>580.45760208043657</v>
      </c>
      <c r="S49" s="59">
        <f ca="1">AVERAGE(OFFSET($R$3,0,0,'Données projet'!$E$9+1,1))-AVERAGE(OFFSET($H$3,0,0,'Données projet'!$E$9+1,1))</f>
        <v>298.01613436147056</v>
      </c>
      <c r="T49" s="59">
        <f t="shared" si="34"/>
        <v>212.70221374431253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24.862482548257979</v>
      </c>
      <c r="AB49" s="21">
        <f>EXP(-LN(2)/2)*AB48+(1-EXP(-LN(2)/2))/(LN(2)/2)*V49*Y49*VLOOKUP('Données projet'!$B$9,Paramètres!$A$1:$I$89,3,0)*0.475*44/12</f>
        <v>6.5461957721044381</v>
      </c>
      <c r="AC49" s="22">
        <f t="shared" si="3"/>
        <v>31.408678320362419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21.970000000000002</v>
      </c>
      <c r="AI49" s="13">
        <f>IF('Données projet'!$A$62&gt;35,AI48+AH49-AQ48,IF(A49&lt;'Données projet'!$A$62,$AF$205^A49,IF(A49='Données projet'!$A$62,'Données projet'!$B$62,AI48+AH49-AQ48)))</f>
        <v>438.33000000000015</v>
      </c>
      <c r="AJ49" s="13">
        <f>AI49*VLOOKUP('Données projet'!$B$10,Paramètres!$A$1:$I$89,3,0)*VLOOKUP('Données projet'!$B$10,Paramètres!$A$1:$I$89,5,0)</f>
        <v>245.02647000000007</v>
      </c>
      <c r="AK49" s="13">
        <f t="shared" si="35"/>
        <v>59.519691926533838</v>
      </c>
      <c r="AL49" s="20">
        <f t="shared" si="4"/>
        <v>530.41789868871319</v>
      </c>
      <c r="AM49" s="59">
        <f t="shared" si="5"/>
        <v>823.75123202204645</v>
      </c>
      <c r="AN49" s="59">
        <f ca="1">AVERAGE(OFFSET($AM$3,0,0,'Données projet'!$E$10+1,1))-AVERAGE(OFFSET($H$3,0,0,'Données projet'!$E$10+1,1))</f>
        <v>287.413090017863</v>
      </c>
      <c r="AO49" s="59">
        <f t="shared" si="36"/>
        <v>258.48456031927117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48.523192290150099</v>
      </c>
      <c r="AV49" s="21">
        <f>EXP(-LN(2)/25)*AV48+(1-EXP(-LN(2)/25))/(LN(2)/25)*Calculateur!AQ49*Calculateur!AS49*VLOOKUP('Données projet'!$B$10,Paramètres!$A$1:$I$89,3,0)*0.475*44/12</f>
        <v>23.494967247875408</v>
      </c>
      <c r="AW49" s="21">
        <f>EXP(-LN(2)/2)*AW48+(1-EXP(-LN(2)/2))/(LN(2)/2)*AQ49*AT49*VLOOKUP('Données projet'!$B$10,Paramètres!$A$1:$I$89,3,0)*0.475*44/12</f>
        <v>3.4428217682772568</v>
      </c>
      <c r="AX49" s="21">
        <f t="shared" si="6"/>
        <v>75.46098130630277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180.28296000000006</v>
      </c>
      <c r="BF49" s="13">
        <f t="shared" si="37"/>
        <v>45.385133797071397</v>
      </c>
      <c r="BG49" s="20">
        <f t="shared" si="7"/>
        <v>393.03859669656612</v>
      </c>
      <c r="BH49" s="59">
        <f t="shared" si="8"/>
        <v>686.37193002989943</v>
      </c>
      <c r="BI49" s="59">
        <f ca="1">AVERAGE(OFFSET($BH$3,0,0,'Données projet'!$E$11+1,1))-AVERAGE(OFFSET($H$3,0,0,'Données projet'!$E$11+1,1))</f>
        <v>243.33915530322201</v>
      </c>
      <c r="BJ49" s="59">
        <f t="shared" si="38"/>
        <v>247.73814704672577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12.615158595531527</v>
      </c>
      <c r="BQ49" s="21">
        <f>EXP(-LN(2)/25)*BQ48+(1-EXP(-LN(2)/25))/(LN(2)/25)*Calculateur!BL49*Calculateur!BN49*VLOOKUP('Données projet'!$B$11,Paramètres!$A$1:$I$89,3,0)*0.475*44/12</f>
        <v>17.569503366402461</v>
      </c>
      <c r="BR49" s="21">
        <f>EXP(-LN(2)/2)*BR48+(1-EXP(-LN(2)/2))/(LN(2)/2)*BL49*BO49*VLOOKUP('Données projet'!$B$11,Paramètres!$A$1:$I$89,3,0)*0.475*44/12</f>
        <v>4.182134884275734</v>
      </c>
      <c r="BS49" s="22">
        <f t="shared" si="9"/>
        <v>34.366796846209724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9.6799999999999979</v>
      </c>
      <c r="N50" s="13">
        <f>IF('Données projet'!$A$36&gt;35,N49+M50-V49,IF(A50&lt;'Données projet'!$A$36,$K$205^A50,IF(A50='Données projet'!$A$36,'Données projet'!$B$36,N49+M50-V49)))</f>
        <v>154.13000000000022</v>
      </c>
      <c r="O50" s="13">
        <f>N50*VLOOKUP('Données projet'!$B$9,Paramètres!$A$1:$I$89,3,0)*VLOOKUP('Données projet'!$B$9,Paramètres!$A$1:$I$89,5,0)</f>
        <v>139.45682400000021</v>
      </c>
      <c r="P50" s="13">
        <f t="shared" si="33"/>
        <v>36.172543362339141</v>
      </c>
      <c r="Q50" s="20">
        <f t="shared" si="53"/>
        <v>305.88781482274101</v>
      </c>
      <c r="R50" s="59">
        <f t="shared" si="0"/>
        <v>599.22114815607438</v>
      </c>
      <c r="S50" s="59">
        <f ca="1">AVERAGE(OFFSET($R$3,0,0,'Données projet'!$E$9+1,1))-AVERAGE(OFFSET($H$3,0,0,'Données projet'!$E$9+1,1))</f>
        <v>298.01613436147056</v>
      </c>
      <c r="T50" s="59">
        <f t="shared" si="34"/>
        <v>212.70221374431253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24.182616655514732</v>
      </c>
      <c r="AB50" s="21">
        <f>EXP(-LN(2)/2)*AB49+(1-EXP(-LN(2)/2))/(LN(2)/2)*V50*Y50*VLOOKUP('Données projet'!$B$9,Paramètres!$A$1:$I$89,3,0)*0.475*44/12</f>
        <v>4.6288594214297554</v>
      </c>
      <c r="AC50" s="22">
        <f t="shared" si="3"/>
        <v>28.811476076944487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21.970000000000002</v>
      </c>
      <c r="AI50" s="13">
        <f>IF('Données projet'!$A$62&gt;35,AI49+AH50-AQ49,IF(A50&lt;'Données projet'!$A$62,$AF$205^A50,IF(A50='Données projet'!$A$62,'Données projet'!$B$62,AI49+AH50-AQ49)))</f>
        <v>460.30000000000018</v>
      </c>
      <c r="AJ50" s="13">
        <f>AI50*VLOOKUP('Données projet'!$B$10,Paramètres!$A$1:$I$89,3,0)*VLOOKUP('Données projet'!$B$10,Paramètres!$A$1:$I$89,5,0)</f>
        <v>257.30770000000012</v>
      </c>
      <c r="AK50" s="13">
        <f t="shared" si="35"/>
        <v>62.148141193508692</v>
      </c>
      <c r="AL50" s="20">
        <f t="shared" si="4"/>
        <v>556.38559007869458</v>
      </c>
      <c r="AM50" s="59">
        <f t="shared" si="5"/>
        <v>849.71892341202783</v>
      </c>
      <c r="AN50" s="59">
        <f ca="1">AVERAGE(OFFSET($AM$3,0,0,'Données projet'!$E$10+1,1))-AVERAGE(OFFSET($H$3,0,0,'Données projet'!$E$10+1,1))</f>
        <v>287.413090017863</v>
      </c>
      <c r="AO50" s="59">
        <f t="shared" si="36"/>
        <v>258.48456031927117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47.571682085565172</v>
      </c>
      <c r="AV50" s="21">
        <f>EXP(-LN(2)/25)*AV49+(1-EXP(-LN(2)/25))/(LN(2)/25)*Calculateur!AQ50*Calculateur!AS50*VLOOKUP('Données projet'!$B$10,Paramètres!$A$1:$I$89,3,0)*0.475*44/12</f>
        <v>22.852496132935627</v>
      </c>
      <c r="AW50" s="21">
        <f>EXP(-LN(2)/2)*AW49+(1-EXP(-LN(2)/2))/(LN(2)/2)*AQ50*AT50*VLOOKUP('Données projet'!$B$10,Paramètres!$A$1:$I$89,3,0)*0.475*44/12</f>
        <v>2.4344426187655088</v>
      </c>
      <c r="AX50" s="21">
        <f t="shared" si="6"/>
        <v>72.858620837266301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187.12512000000004</v>
      </c>
      <c r="BF50" s="13">
        <f t="shared" si="37"/>
        <v>46.903794805770545</v>
      </c>
      <c r="BG50" s="20">
        <f t="shared" si="7"/>
        <v>407.60035995338376</v>
      </c>
      <c r="BH50" s="59">
        <f t="shared" si="8"/>
        <v>700.93369328671702</v>
      </c>
      <c r="BI50" s="59">
        <f ca="1">AVERAGE(OFFSET($BH$3,0,0,'Données projet'!$E$11+1,1))-AVERAGE(OFFSET($H$3,0,0,'Données projet'!$E$11+1,1))</f>
        <v>243.33915530322201</v>
      </c>
      <c r="BJ50" s="59">
        <f t="shared" si="38"/>
        <v>247.73814704672577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12.36778302996013</v>
      </c>
      <c r="BQ50" s="21">
        <f>EXP(-LN(2)/25)*BQ49+(1-EXP(-LN(2)/25))/(LN(2)/25)*Calculateur!BL50*Calculateur!BN50*VLOOKUP('Données projet'!$B$11,Paramètres!$A$1:$I$89,3,0)*0.475*44/12</f>
        <v>17.089064372908158</v>
      </c>
      <c r="BR50" s="21">
        <f>EXP(-LN(2)/2)*BR49+(1-EXP(-LN(2)/2))/(LN(2)/2)*BL50*BO50*VLOOKUP('Données projet'!$B$11,Paramètres!$A$1:$I$89,3,0)*0.475*44/12</f>
        <v>2.9572159365081889</v>
      </c>
      <c r="BS50" s="22">
        <f t="shared" si="9"/>
        <v>32.414063339376476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9.6799999999999979</v>
      </c>
      <c r="N51" s="13">
        <f>IF('Données projet'!$A$36&gt;35,N50+M51-V50,IF(A51&lt;'Données projet'!$A$36,$K$205^A51,IF(A51='Données projet'!$A$36,'Données projet'!$B$36,N50+M51-V50)))</f>
        <v>163.81000000000023</v>
      </c>
      <c r="O51" s="13">
        <f>N51*VLOOKUP('Données projet'!$B$9,Paramètres!$A$1:$I$89,3,0)*VLOOKUP('Données projet'!$B$9,Paramètres!$A$1:$I$89,5,0)</f>
        <v>148.21528800000021</v>
      </c>
      <c r="P51" s="13">
        <f t="shared" si="33"/>
        <v>38.172721310443634</v>
      </c>
      <c r="Q51" s="20">
        <f t="shared" si="53"/>
        <v>324.62578288235642</v>
      </c>
      <c r="R51" s="59">
        <f t="shared" si="0"/>
        <v>617.95911621568973</v>
      </c>
      <c r="S51" s="59">
        <f ca="1">AVERAGE(OFFSET($R$3,0,0,'Données projet'!$E$9+1,1))-AVERAGE(OFFSET($H$3,0,0,'Données projet'!$E$9+1,1))</f>
        <v>298.01613436147056</v>
      </c>
      <c r="T51" s="59">
        <f t="shared" si="34"/>
        <v>212.70221374431253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23.52134173136114</v>
      </c>
      <c r="AB51" s="21">
        <f>EXP(-LN(2)/2)*AB50+(1-EXP(-LN(2)/2))/(LN(2)/2)*V51*Y51*VLOOKUP('Données projet'!$B$9,Paramètres!$A$1:$I$89,3,0)*0.475*44/12</f>
        <v>3.2730978860522191</v>
      </c>
      <c r="AC51" s="22">
        <f t="shared" si="3"/>
        <v>26.79443961741336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21.970000000000002</v>
      </c>
      <c r="AI51" s="13">
        <f>IF('Données projet'!$A$62&gt;35,AI50+AH51-AQ50,IF(A51&lt;'Données projet'!$A$62,$AF$205^A51,IF(A51='Données projet'!$A$62,'Données projet'!$B$62,AI50+AH51-AQ50)))</f>
        <v>482.27000000000021</v>
      </c>
      <c r="AJ51" s="13">
        <f>AI51*VLOOKUP('Données projet'!$B$10,Paramètres!$A$1:$I$89,3,0)*VLOOKUP('Données projet'!$B$10,Paramètres!$A$1:$I$89,5,0)</f>
        <v>269.58893000000012</v>
      </c>
      <c r="AK51" s="13">
        <f t="shared" si="35"/>
        <v>64.762022124596854</v>
      </c>
      <c r="AL51" s="20">
        <f t="shared" si="4"/>
        <v>582.32790828367308</v>
      </c>
      <c r="AM51" s="59">
        <f t="shared" si="5"/>
        <v>875.66124161700645</v>
      </c>
      <c r="AN51" s="59">
        <f ca="1">AVERAGE(OFFSET($AM$3,0,0,'Données projet'!$E$10+1,1))-AVERAGE(OFFSET($H$3,0,0,'Données projet'!$E$10+1,1))</f>
        <v>287.413090017863</v>
      </c>
      <c r="AO51" s="59">
        <f t="shared" si="36"/>
        <v>258.48456031927117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46.638830415728229</v>
      </c>
      <c r="AV51" s="21">
        <f>EXP(-LN(2)/25)*AV50+(1-EXP(-LN(2)/25))/(LN(2)/25)*Calculateur!AQ51*Calculateur!AS51*VLOOKUP('Données projet'!$B$10,Paramètres!$A$1:$I$89,3,0)*0.475*44/12</f>
        <v>22.227593424419961</v>
      </c>
      <c r="AW51" s="21">
        <f>EXP(-LN(2)/2)*AW50+(1-EXP(-LN(2)/2))/(LN(2)/2)*AQ51*AT51*VLOOKUP('Données projet'!$B$10,Paramètres!$A$1:$I$89,3,0)*0.475*44/12</f>
        <v>1.7214108841386284</v>
      </c>
      <c r="AX51" s="21">
        <f t="shared" si="6"/>
        <v>70.587834724286822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193.96728000000004</v>
      </c>
      <c r="BF51" s="13">
        <f t="shared" si="37"/>
        <v>48.41600442423902</v>
      </c>
      <c r="BG51" s="20">
        <f t="shared" si="7"/>
        <v>422.15088703888301</v>
      </c>
      <c r="BH51" s="59">
        <f t="shared" si="8"/>
        <v>715.48422037221633</v>
      </c>
      <c r="BI51" s="59">
        <f ca="1">AVERAGE(OFFSET($BH$3,0,0,'Données projet'!$E$11+1,1))-AVERAGE(OFFSET($H$3,0,0,'Données projet'!$E$11+1,1))</f>
        <v>243.33915530322201</v>
      </c>
      <c r="BJ51" s="59">
        <f t="shared" si="38"/>
        <v>247.73814704672577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12.12525834834539</v>
      </c>
      <c r="BQ51" s="21">
        <f>EXP(-LN(2)/25)*BQ50+(1-EXP(-LN(2)/25))/(LN(2)/25)*Calculateur!BL51*Calculateur!BN51*VLOOKUP('Données projet'!$B$11,Paramètres!$A$1:$I$89,3,0)*0.475*44/12</f>
        <v>16.621763008956147</v>
      </c>
      <c r="BR51" s="21">
        <f>EXP(-LN(2)/2)*BR50+(1-EXP(-LN(2)/2))/(LN(2)/2)*BL51*BO51*VLOOKUP('Données projet'!$B$11,Paramètres!$A$1:$I$89,3,0)*0.475*44/12</f>
        <v>2.0910674421378674</v>
      </c>
      <c r="BS51" s="22">
        <f t="shared" si="9"/>
        <v>30.838088799439404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9.6799999999999979</v>
      </c>
      <c r="N52" s="13">
        <f>IF('Données projet'!$A$36&gt;35,N51+M52-V51,IF(A52&lt;'Données projet'!$A$36,$K$205^A52,IF(A52='Données projet'!$A$36,'Données projet'!$B$36,N51+M52-V51)))</f>
        <v>173.49000000000024</v>
      </c>
      <c r="O52" s="13">
        <f>N52*VLOOKUP('Données projet'!$B$9,Paramètres!$A$1:$I$89,3,0)*VLOOKUP('Données projet'!$B$9,Paramètres!$A$1:$I$89,5,0)</f>
        <v>156.97375200000022</v>
      </c>
      <c r="P52" s="13">
        <f t="shared" si="33"/>
        <v>40.159179999786943</v>
      </c>
      <c r="Q52" s="20">
        <f t="shared" si="53"/>
        <v>343.33985656629596</v>
      </c>
      <c r="R52" s="59">
        <f t="shared" si="0"/>
        <v>636.67318989962928</v>
      </c>
      <c r="S52" s="59">
        <f ca="1">AVERAGE(OFFSET($R$3,0,0,'Données projet'!$E$9+1,1))-AVERAGE(OFFSET($H$3,0,0,'Données projet'!$E$9+1,1))</f>
        <v>298.01613436147056</v>
      </c>
      <c r="T52" s="59">
        <f t="shared" si="34"/>
        <v>212.70221374431253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22.878149404783468</v>
      </c>
      <c r="AB52" s="21">
        <f>EXP(-LN(2)/2)*AB51+(1-EXP(-LN(2)/2))/(LN(2)/2)*V52*Y52*VLOOKUP('Données projet'!$B$9,Paramètres!$A$1:$I$89,3,0)*0.475*44/12</f>
        <v>2.3144297107148777</v>
      </c>
      <c r="AC52" s="22">
        <f t="shared" si="3"/>
        <v>25.192579115498347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504.24</v>
      </c>
      <c r="AG52" s="12">
        <f>VLOOKUP(A52,'Données projet'!$A$61:$I$81,9,0)</f>
        <v>21.970000000000002</v>
      </c>
      <c r="AH52" s="12">
        <f t="array" ref="AH52">INDEX(AG:AG,MIN(IF(ISNUMBER(AG52:AG248),ROW(AG52:AG248),"")))</f>
        <v>21.970000000000002</v>
      </c>
      <c r="AI52" s="13">
        <f>IF('Données projet'!$A$62&gt;35,AI51+AH52-AQ51,IF(A52&lt;'Données projet'!$A$62,$AF$205^A52,IF(A52='Données projet'!$A$62,'Données projet'!$B$62,AI51+AH52-AQ51)))</f>
        <v>504.24000000000024</v>
      </c>
      <c r="AJ52" s="13">
        <f>AI52*VLOOKUP('Données projet'!$B$10,Paramètres!$A$1:$I$89,3,0)*VLOOKUP('Données projet'!$B$10,Paramètres!$A$1:$I$89,5,0)</f>
        <v>281.87016000000011</v>
      </c>
      <c r="AK52" s="13">
        <f t="shared" si="35"/>
        <v>67.362074198579379</v>
      </c>
      <c r="AL52" s="20">
        <f t="shared" si="4"/>
        <v>608.24614122919252</v>
      </c>
      <c r="AM52" s="59">
        <f t="shared" si="5"/>
        <v>901.57947456252577</v>
      </c>
      <c r="AN52" s="59">
        <f ca="1">AVERAGE(OFFSET($AM$3,0,0,'Données projet'!$E$10+1,1))-AVERAGE(OFFSET($H$3,0,0,'Données projet'!$E$10+1,1))</f>
        <v>287.413090017863</v>
      </c>
      <c r="AO52" s="59">
        <f t="shared" si="36"/>
        <v>258.48456031927117</v>
      </c>
      <c r="AP52" s="15">
        <f>IF(ISNA(VLOOKUP(A52,'Données projet'!$A$61:$I$81,3,0)),0,VLOOKUP(A52,'Données projet'!$A$61:$I$81,3,0))</f>
        <v>5</v>
      </c>
      <c r="AQ52" s="15">
        <f>IF(ISNA(VLOOKUP(A52,'Données projet'!$A$61:$I$81,4,0)),0,VLOOKUP(A52,'Données projet'!$A$61:$I$81,4,0))</f>
        <v>112.69999999999999</v>
      </c>
      <c r="AR52" s="16">
        <f>IF(ISNA(VLOOKUP(A52,'Données projet'!$A$61:$I$81,5,0)),0%,VLOOKUP(A52,'Données projet'!$A$61:$I$81,5,0)*VLOOKUP('Données projet'!$B$10,Paramètres!$A$1:$I$89,7,0))</f>
        <v>0.33</v>
      </c>
      <c r="AS52" s="16">
        <f>IF(ISNA(VLOOKUP(A52,'Données projet'!$A$61:$I$81,6,0)),0%,VLOOKUP(A52,'Données projet'!$A$61:$I$81,6,0)*VLOOKUP('Données projet'!$B$10,Paramètres!$A$1:$I$89,7,0))</f>
        <v>0.11000000000000001</v>
      </c>
      <c r="AT52" s="16">
        <f>IF(ISNA(VLOOKUP(A52,'Données projet'!$A$61:$I$81,7,0)),0%,VLOOKUP(A52,'Données projet'!$A$61:$I$81,7,0))</f>
        <v>0.2</v>
      </c>
      <c r="AU52" s="21">
        <f>EXP(-LN(2)/35)*AU51+(1-EXP(-LN(2)/35))/(LN(2)/35)*AQ52*AR52*VLOOKUP('Données projet'!$B$10,Paramètres!$A$1:$I$89,3,0)*0.475*44/12</f>
        <v>73.303239990352296</v>
      </c>
      <c r="AV52" s="21">
        <f>EXP(-LN(2)/25)*AV51+(1-EXP(-LN(2)/25))/(LN(2)/25)*Calculateur!AQ52*Calculateur!AS52*VLOOKUP('Données projet'!$B$10,Paramètres!$A$1:$I$89,3,0)*0.475*44/12</f>
        <v>30.776571941477684</v>
      </c>
      <c r="AW52" s="21">
        <f>EXP(-LN(2)/2)*AW51+(1-EXP(-LN(2)/2))/(LN(2)/2)*AQ52*AT52*VLOOKUP('Données projet'!$B$10,Paramètres!$A$1:$I$89,3,0)*0.475*44/12</f>
        <v>15.483189745694569</v>
      </c>
      <c r="AX52" s="21">
        <f t="shared" si="6"/>
        <v>119.56300167752455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200.80944000000002</v>
      </c>
      <c r="BF52" s="13">
        <f t="shared" si="37"/>
        <v>49.922016299484312</v>
      </c>
      <c r="BG52" s="20">
        <f t="shared" si="7"/>
        <v>436.69061972160188</v>
      </c>
      <c r="BH52" s="59">
        <f t="shared" si="8"/>
        <v>730.02395305493519</v>
      </c>
      <c r="BI52" s="59">
        <f ca="1">AVERAGE(OFFSET($BH$3,0,0,'Données projet'!$E$11+1,1))-AVERAGE(OFFSET($H$3,0,0,'Données projet'!$E$11+1,1))</f>
        <v>243.33915530322201</v>
      </c>
      <c r="BJ52" s="59">
        <f t="shared" si="38"/>
        <v>247.73814704672577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11.887489427811667</v>
      </c>
      <c r="BQ52" s="21">
        <f>EXP(-LN(2)/25)*BQ51+(1-EXP(-LN(2)/25))/(LN(2)/25)*Calculateur!BL52*Calculateur!BN52*VLOOKUP('Données projet'!$B$11,Paramètres!$A$1:$I$89,3,0)*0.475*44/12</f>
        <v>16.167240025375715</v>
      </c>
      <c r="BR52" s="21">
        <f>EXP(-LN(2)/2)*BR51+(1-EXP(-LN(2)/2))/(LN(2)/2)*BL52*BO52*VLOOKUP('Données projet'!$B$11,Paramètres!$A$1:$I$89,3,0)*0.475*44/12</f>
        <v>1.4786079682540947</v>
      </c>
      <c r="BS52" s="22">
        <f t="shared" si="9"/>
        <v>29.53333742144148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9.6799999999999979</v>
      </c>
      <c r="N53" s="13">
        <f>IF('Données projet'!$A$36&gt;35,N52+M53-V52,IF(A53&lt;'Données projet'!$A$36,$K$205^A53,IF(A53='Données projet'!$A$36,'Données projet'!$B$36,N52+M53-V52)))</f>
        <v>183.17000000000024</v>
      </c>
      <c r="O53" s="13">
        <f>N53*VLOOKUP('Données projet'!$B$9,Paramètres!$A$1:$I$89,3,0)*VLOOKUP('Données projet'!$B$9,Paramètres!$A$1:$I$89,5,0)</f>
        <v>165.73221600000022</v>
      </c>
      <c r="P53" s="13">
        <f t="shared" si="33"/>
        <v>42.132772147585847</v>
      </c>
      <c r="Q53" s="20">
        <f t="shared" si="53"/>
        <v>362.0315210237124</v>
      </c>
      <c r="R53" s="59">
        <f t="shared" si="0"/>
        <v>655.36485435704572</v>
      </c>
      <c r="S53" s="59">
        <f ca="1">AVERAGE(OFFSET($R$3,0,0,'Données projet'!$E$9+1,1))-AVERAGE(OFFSET($H$3,0,0,'Données projet'!$E$9+1,1))</f>
        <v>298.01613436147056</v>
      </c>
      <c r="T53" s="59">
        <f t="shared" si="34"/>
        <v>212.70221374431253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22.252545206200075</v>
      </c>
      <c r="AB53" s="21">
        <f>EXP(-LN(2)/2)*AB52+(1-EXP(-LN(2)/2))/(LN(2)/2)*V53*Y53*VLOOKUP('Données projet'!$B$9,Paramètres!$A$1:$I$89,3,0)*0.475*44/12</f>
        <v>1.6365489430261095</v>
      </c>
      <c r="AC53" s="22">
        <f t="shared" si="3"/>
        <v>23.889094149226185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20.355714285714278</v>
      </c>
      <c r="AI53" s="13">
        <f>IF('Données projet'!$A$62&gt;35,AI52+AH53-AQ52,IF(A53&lt;'Données projet'!$A$62,$AF$205^A53,IF(A53='Données projet'!$A$62,'Données projet'!$B$62,AI52+AH53-AQ52)))</f>
        <v>411.89571428571452</v>
      </c>
      <c r="AJ53" s="13">
        <f>AI53*VLOOKUP('Données projet'!$B$10,Paramètres!$A$1:$I$89,3,0)*VLOOKUP('Données projet'!$B$10,Paramètres!$A$1:$I$89,5,0)</f>
        <v>230.24970428571442</v>
      </c>
      <c r="AK53" s="13">
        <f t="shared" si="35"/>
        <v>56.336670025642462</v>
      </c>
      <c r="AL53" s="20">
        <f t="shared" si="4"/>
        <v>499.13793525894647</v>
      </c>
      <c r="AM53" s="59">
        <f t="shared" si="5"/>
        <v>792.47126859227978</v>
      </c>
      <c r="AN53" s="59">
        <f ca="1">AVERAGE(OFFSET($AM$3,0,0,'Données projet'!$E$10+1,1))-AVERAGE(OFFSET($H$3,0,0,'Données projet'!$E$10+1,1))</f>
        <v>287.413090017863</v>
      </c>
      <c r="AO53" s="59">
        <f t="shared" si="36"/>
        <v>258.48456031927117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71.865808164703083</v>
      </c>
      <c r="AV53" s="21">
        <f>EXP(-LN(2)/25)*AV52+(1-EXP(-LN(2)/25))/(LN(2)/25)*Calculateur!AQ53*Calculateur!AS53*VLOOKUP('Données projet'!$B$10,Paramètres!$A$1:$I$89,3,0)*0.475*44/12</f>
        <v>29.934984963268398</v>
      </c>
      <c r="AW53" s="21">
        <f>EXP(-LN(2)/2)*AW52+(1-EXP(-LN(2)/2))/(LN(2)/2)*AQ53*AT53*VLOOKUP('Données projet'!$B$10,Paramètres!$A$1:$I$89,3,0)*0.475*44/12</f>
        <v>10.948268463578646</v>
      </c>
      <c r="AX53" s="21">
        <f t="shared" si="6"/>
        <v>112.74906159155012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207.65160000000006</v>
      </c>
      <c r="BF53" s="13">
        <f t="shared" si="37"/>
        <v>51.422065813018108</v>
      </c>
      <c r="BG53" s="20">
        <f t="shared" si="7"/>
        <v>451.2199679576733</v>
      </c>
      <c r="BH53" s="59">
        <f t="shared" si="8"/>
        <v>744.55330129100662</v>
      </c>
      <c r="BI53" s="59">
        <f ca="1">AVERAGE(OFFSET($BH$3,0,0,'Données projet'!$E$11+1,1))-AVERAGE(OFFSET($H$3,0,0,'Données projet'!$E$11+1,1))</f>
        <v>243.33915530322201</v>
      </c>
      <c r="BJ53" s="59">
        <f t="shared" si="38"/>
        <v>247.73814704672577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13.868555059770163</v>
      </c>
      <c r="BQ53" s="21">
        <f>EXP(-LN(2)/25)*BQ52+(1-EXP(-LN(2)/25))/(LN(2)/25)*Calculateur!BL53*Calculateur!BN53*VLOOKUP('Données projet'!$B$11,Paramètres!$A$1:$I$89,3,0)*0.475*44/12</f>
        <v>17.93060000664634</v>
      </c>
      <c r="BR53" s="21">
        <f>EXP(-LN(2)/2)*BR52+(1-EXP(-LN(2)/2))/(LN(2)/2)*BL53*BO53*VLOOKUP('Données projet'!$B$11,Paramètres!$A$1:$I$89,3,0)*0.475*44/12</f>
        <v>4.6112162840541568</v>
      </c>
      <c r="BS53" s="22">
        <f t="shared" si="9"/>
        <v>36.410371350470662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192.85</v>
      </c>
      <c r="L54" s="12">
        <f>VLOOKUP(A54,'Données projet'!$A$35:$I$55,9,0)</f>
        <v>9.6799999999999979</v>
      </c>
      <c r="M54" s="12">
        <f t="array" ref="M54">INDEX(L:L,MIN(IF(ISNUMBER(L54:L250),ROW(L54:L250),"")))</f>
        <v>9.6799999999999979</v>
      </c>
      <c r="N54" s="13">
        <f>IF('Données projet'!$A$36&gt;35,N53+M54-V53,IF(A54&lt;'Données projet'!$A$36,$K$205^A54,IF(A54='Données projet'!$A$36,'Données projet'!$B$36,N53+M54-V53)))</f>
        <v>192.85000000000025</v>
      </c>
      <c r="O54" s="13">
        <f>N54*VLOOKUP('Données projet'!$B$9,Paramètres!$A$1:$I$89,3,0)*VLOOKUP('Données projet'!$B$9,Paramètres!$A$1:$I$89,5,0)</f>
        <v>174.49068000000022</v>
      </c>
      <c r="P54" s="13">
        <f t="shared" si="33"/>
        <v>44.094255253499121</v>
      </c>
      <c r="Q54" s="20">
        <f t="shared" si="53"/>
        <v>380.70209556651133</v>
      </c>
      <c r="R54" s="59">
        <f t="shared" si="0"/>
        <v>674.03542889984465</v>
      </c>
      <c r="S54" s="59">
        <f ca="1">AVERAGE(OFFSET($R$3,0,0,'Données projet'!$E$9+1,1))-AVERAGE(OFFSET($H$3,0,0,'Données projet'!$E$9+1,1))</f>
        <v>298.01613436147056</v>
      </c>
      <c r="T54" s="59">
        <f t="shared" si="34"/>
        <v>212.70221374431253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48.769999999999982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0.34400000000000003</v>
      </c>
      <c r="Y54" s="16">
        <f>IF(ISNA(VLOOKUP(A54,'Données projet'!$A$35:$I$55,7,0)),0%,VLOOKUP(A54,'Données projet'!$A$35:$I$55,7,0))</f>
        <v>0.2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38.358708013238626</v>
      </c>
      <c r="AB54" s="21">
        <f>EXP(-LN(2)/2)*AB53+(1-EXP(-LN(2)/2))/(LN(2)/2)*V54*Y54*VLOOKUP('Données projet'!$B$9,Paramètres!$A$1:$I$89,3,0)*0.475*44/12</f>
        <v>9.4842354032325886</v>
      </c>
      <c r="AC54" s="22">
        <f t="shared" si="3"/>
        <v>47.842943416471215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20.355714285714278</v>
      </c>
      <c r="AI54" s="13">
        <f>IF('Données projet'!$A$62&gt;35,AI53+AH54-AQ53,IF(A54&lt;'Données projet'!$A$62,$AF$205^A54,IF(A54='Données projet'!$A$62,'Données projet'!$B$62,AI53+AH54-AQ53)))</f>
        <v>432.25142857142879</v>
      </c>
      <c r="AJ54" s="13">
        <f>AI54*VLOOKUP('Données projet'!$B$10,Paramètres!$A$1:$I$89,3,0)*VLOOKUP('Données projet'!$B$10,Paramètres!$A$1:$I$89,5,0)</f>
        <v>241.62854857142869</v>
      </c>
      <c r="AK54" s="13">
        <f t="shared" si="35"/>
        <v>58.789782611687855</v>
      </c>
      <c r="AL54" s="20">
        <f t="shared" si="4"/>
        <v>523.22859347726126</v>
      </c>
      <c r="AM54" s="59">
        <f t="shared" si="5"/>
        <v>816.56192681059451</v>
      </c>
      <c r="AN54" s="59">
        <f ca="1">AVERAGE(OFFSET($AM$3,0,0,'Données projet'!$E$10+1,1))-AVERAGE(OFFSET($H$3,0,0,'Données projet'!$E$10+1,1))</f>
        <v>287.413090017863</v>
      </c>
      <c r="AO54" s="59">
        <f t="shared" si="36"/>
        <v>258.48456031927117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70.456563500408009</v>
      </c>
      <c r="AV54" s="21">
        <f>EXP(-LN(2)/25)*AV53+(1-EXP(-LN(2)/25))/(LN(2)/25)*Calculateur!AQ54*Calculateur!AS54*VLOOKUP('Données projet'!$B$10,Paramètres!$A$1:$I$89,3,0)*0.475*44/12</f>
        <v>29.116411225235382</v>
      </c>
      <c r="AW54" s="21">
        <f>EXP(-LN(2)/2)*AW53+(1-EXP(-LN(2)/2))/(LN(2)/2)*AQ54*AT54*VLOOKUP('Données projet'!$B$10,Paramètres!$A$1:$I$89,3,0)*0.475*44/12</f>
        <v>7.7415948728472852</v>
      </c>
      <c r="AX54" s="21">
        <f t="shared" si="6"/>
        <v>107.31456959849068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198.42264000000003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243.33915530322201</v>
      </c>
      <c r="BJ54" s="59">
        <f t="shared" si="38"/>
        <v>247.73814704672577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13.596601154031401</v>
      </c>
      <c r="BQ54" s="21">
        <f>EXP(-LN(2)/25)*BQ53+(1-EXP(-LN(2)/25))/(LN(2)/25)*Calculateur!BL54*Calculateur!BN54*VLOOKUP('Données projet'!$B$11,Paramètres!$A$1:$I$89,3,0)*0.475*44/12</f>
        <v>17.440286806535322</v>
      </c>
      <c r="BR54" s="21">
        <f>EXP(-LN(2)/2)*BR53+(1-EXP(-LN(2)/2))/(LN(2)/2)*BL54*BO54*VLOOKUP('Données projet'!$B$11,Paramètres!$A$1:$I$89,3,0)*0.475*44/12</f>
        <v>3.2606223039725277</v>
      </c>
      <c r="BS54" s="22">
        <f t="shared" si="9"/>
        <v>34.297510264539248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9.1524999999999999</v>
      </c>
      <c r="N55" s="13">
        <f>IF('Données projet'!$A$36&gt;35,N54+M55-V54,IF(A55&lt;'Données projet'!$A$36,$K$205^A55,IF(A55='Données projet'!$A$36,'Données projet'!$B$36,N54+M55-V54)))</f>
        <v>153.23250000000027</v>
      </c>
      <c r="O55" s="13">
        <f>N55*VLOOKUP('Données projet'!$B$9,Paramètres!$A$1:$I$89,3,0)*VLOOKUP('Données projet'!$B$9,Paramètres!$A$1:$I$89,5,0)</f>
        <v>138.64476600000023</v>
      </c>
      <c r="P55" s="13">
        <f t="shared" si="33"/>
        <v>35.986364870124042</v>
      </c>
      <c r="Q55" s="20">
        <f t="shared" si="53"/>
        <v>304.14921959879979</v>
      </c>
      <c r="R55" s="59">
        <f t="shared" si="0"/>
        <v>597.4825529321331</v>
      </c>
      <c r="S55" s="59">
        <f ca="1">AVERAGE(OFFSET($R$3,0,0,'Données projet'!$E$9+1,1))-AVERAGE(OFFSET($H$3,0,0,'Données projet'!$E$9+1,1))</f>
        <v>298.01613436147056</v>
      </c>
      <c r="T55" s="59">
        <f t="shared" si="34"/>
        <v>212.70221374431253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37.309787125419831</v>
      </c>
      <c r="AB55" s="21">
        <f>EXP(-LN(2)/2)*AB54+(1-EXP(-LN(2)/2))/(LN(2)/2)*V55*Y55*VLOOKUP('Données projet'!$B$9,Paramètres!$A$1:$I$89,3,0)*0.475*44/12</f>
        <v>6.7063671679952934</v>
      </c>
      <c r="AC55" s="22">
        <f t="shared" si="3"/>
        <v>44.016154293415127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20.355714285714278</v>
      </c>
      <c r="AI55" s="13">
        <f>IF('Données projet'!$A$62&gt;35,AI54+AH55-AQ54,IF(A55&lt;'Données projet'!$A$62,$AF$205^A55,IF(A55='Données projet'!$A$62,'Données projet'!$B$62,AI54+AH55-AQ54)))</f>
        <v>452.60714285714306</v>
      </c>
      <c r="AJ55" s="13">
        <f>AI55*VLOOKUP('Données projet'!$B$10,Paramètres!$A$1:$I$89,3,0)*VLOOKUP('Données projet'!$B$10,Paramètres!$A$1:$I$89,5,0)</f>
        <v>253.007392857143</v>
      </c>
      <c r="AK55" s="13">
        <f t="shared" si="35"/>
        <v>61.229479905592257</v>
      </c>
      <c r="AL55" s="20">
        <f t="shared" si="4"/>
        <v>547.29588672843067</v>
      </c>
      <c r="AM55" s="59">
        <f t="shared" si="5"/>
        <v>840.62922006176404</v>
      </c>
      <c r="AN55" s="59">
        <f ca="1">AVERAGE(OFFSET($AM$3,0,0,'Données projet'!$E$10+1,1))-AVERAGE(OFFSET($H$3,0,0,'Données projet'!$E$10+1,1))</f>
        <v>287.413090017863</v>
      </c>
      <c r="AO55" s="59">
        <f t="shared" si="36"/>
        <v>258.48456031927117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69.074953264425389</v>
      </c>
      <c r="AV55" s="21">
        <f>EXP(-LN(2)/25)*AV54+(1-EXP(-LN(2)/25))/(LN(2)/25)*Calculateur!AQ55*Calculateur!AS55*VLOOKUP('Données projet'!$B$10,Paramètres!$A$1:$I$89,3,0)*0.475*44/12</f>
        <v>28.320221429115801</v>
      </c>
      <c r="AW55" s="21">
        <f>EXP(-LN(2)/2)*AW54+(1-EXP(-LN(2)/2))/(LN(2)/2)*AQ55*AT55*VLOOKUP('Données projet'!$B$10,Paramètres!$A$1:$I$89,3,0)*0.475*44/12</f>
        <v>5.474134231789324</v>
      </c>
      <c r="AX55" s="21">
        <f t="shared" si="6"/>
        <v>102.86930892533051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204.31008000000003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243.33915530322201</v>
      </c>
      <c r="BJ55" s="59">
        <f t="shared" si="38"/>
        <v>247.73814704672577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13.329980098508672</v>
      </c>
      <c r="BQ55" s="21">
        <f>EXP(-LN(2)/25)*BQ54+(1-EXP(-LN(2)/25))/(LN(2)/25)*Calculateur!BL55*Calculateur!BN55*VLOOKUP('Données projet'!$B$11,Paramètres!$A$1:$I$89,3,0)*0.475*44/12</f>
        <v>16.96338124666579</v>
      </c>
      <c r="BR55" s="21">
        <f>EXP(-LN(2)/2)*BR54+(1-EXP(-LN(2)/2))/(LN(2)/2)*BL55*BO55*VLOOKUP('Données projet'!$B$11,Paramètres!$A$1:$I$89,3,0)*0.475*44/12</f>
        <v>2.3056081420270789</v>
      </c>
      <c r="BS55" s="22">
        <f t="shared" si="9"/>
        <v>32.598969487201536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9.1524999999999999</v>
      </c>
      <c r="N56" s="13">
        <f>IF('Données projet'!$A$36&gt;35,N55+M56-V55,IF(A56&lt;'Données projet'!$A$36,$K$205^A56,IF(A56='Données projet'!$A$36,'Données projet'!$B$36,N55+M56-V55)))</f>
        <v>162.38500000000028</v>
      </c>
      <c r="O56" s="13">
        <f>N56*VLOOKUP('Données projet'!$B$9,Paramètres!$A$1:$I$89,3,0)*VLOOKUP('Données projet'!$B$9,Paramètres!$A$1:$I$89,5,0)</f>
        <v>146.92594800000026</v>
      </c>
      <c r="P56" s="13">
        <f t="shared" si="33"/>
        <v>37.879156618717644</v>
      </c>
      <c r="Q56" s="20">
        <f t="shared" si="53"/>
        <v>321.868890544267</v>
      </c>
      <c r="R56" s="59">
        <f t="shared" si="0"/>
        <v>615.20222387760032</v>
      </c>
      <c r="S56" s="59">
        <f ca="1">AVERAGE(OFFSET($R$3,0,0,'Données projet'!$E$9+1,1))-AVERAGE(OFFSET($H$3,0,0,'Données projet'!$E$9+1,1))</f>
        <v>298.01613436147056</v>
      </c>
      <c r="T56" s="59">
        <f t="shared" si="34"/>
        <v>212.70221374431253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36.289549034438792</v>
      </c>
      <c r="AB56" s="21">
        <f>EXP(-LN(2)/2)*AB55+(1-EXP(-LN(2)/2))/(LN(2)/2)*V56*Y56*VLOOKUP('Données projet'!$B$9,Paramètres!$A$1:$I$89,3,0)*0.475*44/12</f>
        <v>4.7421177016162943</v>
      </c>
      <c r="AC56" s="22">
        <f t="shared" si="3"/>
        <v>41.031666736055087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20.355714285714278</v>
      </c>
      <c r="AI56" s="13">
        <f>IF('Données projet'!$A$62&gt;35,AI55+AH56-AQ55,IF(A56&lt;'Données projet'!$A$62,$AF$205^A56,IF(A56='Données projet'!$A$62,'Données projet'!$B$62,AI55+AH56-AQ55)))</f>
        <v>472.96285714285733</v>
      </c>
      <c r="AJ56" s="13">
        <f>AI56*VLOOKUP('Données projet'!$B$10,Paramètres!$A$1:$I$89,3,0)*VLOOKUP('Données projet'!$B$10,Paramètres!$A$1:$I$89,5,0)</f>
        <v>264.38623714285728</v>
      </c>
      <c r="AK56" s="13">
        <f t="shared" si="35"/>
        <v>63.656434183712321</v>
      </c>
      <c r="AL56" s="20">
        <f t="shared" si="4"/>
        <v>571.34098589377538</v>
      </c>
      <c r="AM56" s="59">
        <f t="shared" si="5"/>
        <v>864.67431922710875</v>
      </c>
      <c r="AN56" s="59">
        <f ca="1">AVERAGE(OFFSET($AM$3,0,0,'Données projet'!$E$10+1,1))-AVERAGE(OFFSET($H$3,0,0,'Données projet'!$E$10+1,1))</f>
        <v>287.413090017863</v>
      </c>
      <c r="AO56" s="59">
        <f t="shared" si="36"/>
        <v>258.48456031927117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67.720435562471351</v>
      </c>
      <c r="AV56" s="21">
        <f>EXP(-LN(2)/25)*AV55+(1-EXP(-LN(2)/25))/(LN(2)/25)*Calculateur!AQ56*Calculateur!AS56*VLOOKUP('Données projet'!$B$10,Paramètres!$A$1:$I$89,3,0)*0.475*44/12</f>
        <v>27.54580348484091</v>
      </c>
      <c r="AW56" s="21">
        <f>EXP(-LN(2)/2)*AW55+(1-EXP(-LN(2)/2))/(LN(2)/2)*AQ56*AT56*VLOOKUP('Données projet'!$B$10,Paramètres!$A$1:$I$89,3,0)*0.475*44/12</f>
        <v>3.870797436423643</v>
      </c>
      <c r="AX56" s="21">
        <f t="shared" si="6"/>
        <v>99.137036483735912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210.19752</v>
      </c>
      <c r="BF56" s="13">
        <f t="shared" si="37"/>
        <v>51.978746425856599</v>
      </c>
      <c r="BG56" s="20">
        <f t="shared" si="7"/>
        <v>456.62366402503358</v>
      </c>
      <c r="BH56" s="59">
        <f t="shared" si="8"/>
        <v>749.95699735836683</v>
      </c>
      <c r="BI56" s="59">
        <f ca="1">AVERAGE(OFFSET($BH$3,0,0,'Données projet'!$E$11+1,1))-AVERAGE(OFFSET($H$3,0,0,'Données projet'!$E$11+1,1))</f>
        <v>243.33915530322201</v>
      </c>
      <c r="BJ56" s="59">
        <f t="shared" si="38"/>
        <v>247.73814704672577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13.068587319261958</v>
      </c>
      <c r="BQ56" s="21">
        <f>EXP(-LN(2)/25)*BQ55+(1-EXP(-LN(2)/25))/(LN(2)/25)*Calculateur!BL56*Calculateur!BN56*VLOOKUP('Données projet'!$B$11,Paramètres!$A$1:$I$89,3,0)*0.475*44/12</f>
        <v>16.499516694410264</v>
      </c>
      <c r="BR56" s="21">
        <f>EXP(-LN(2)/2)*BR55+(1-EXP(-LN(2)/2))/(LN(2)/2)*BL56*BO56*VLOOKUP('Données projet'!$B$11,Paramètres!$A$1:$I$89,3,0)*0.475*44/12</f>
        <v>1.6303111519862641</v>
      </c>
      <c r="BS56" s="22">
        <f t="shared" si="9"/>
        <v>31.198415165658485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9.1524999999999999</v>
      </c>
      <c r="N57" s="13">
        <f>IF('Données projet'!$A$36&gt;35,N56+M57-V56,IF(A57&lt;'Données projet'!$A$36,$K$205^A57,IF(A57='Données projet'!$A$36,'Données projet'!$B$36,N56+M57-V56)))</f>
        <v>171.53750000000028</v>
      </c>
      <c r="O57" s="13">
        <f>N57*VLOOKUP('Données projet'!$B$9,Paramètres!$A$1:$I$89,3,0)*VLOOKUP('Données projet'!$B$9,Paramètres!$A$1:$I$89,5,0)</f>
        <v>155.20713000000023</v>
      </c>
      <c r="P57" s="13">
        <f t="shared" si="33"/>
        <v>39.759564149610455</v>
      </c>
      <c r="Q57" s="20">
        <f t="shared" si="53"/>
        <v>339.56699231057195</v>
      </c>
      <c r="R57" s="59">
        <f t="shared" si="0"/>
        <v>632.90032564390526</v>
      </c>
      <c r="S57" s="59">
        <f ca="1">AVERAGE(OFFSET($R$3,0,0,'Données projet'!$E$9+1,1))-AVERAGE(OFFSET($H$3,0,0,'Données projet'!$E$9+1,1))</f>
        <v>298.01613436147056</v>
      </c>
      <c r="T57" s="59">
        <f t="shared" si="34"/>
        <v>212.70221374431253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35.297209407707619</v>
      </c>
      <c r="AB57" s="21">
        <f>EXP(-LN(2)/2)*AB56+(1-EXP(-LN(2)/2))/(LN(2)/2)*V57*Y57*VLOOKUP('Données projet'!$B$9,Paramètres!$A$1:$I$89,3,0)*0.475*44/12</f>
        <v>3.3531835839976467</v>
      </c>
      <c r="AC57" s="22">
        <f t="shared" si="3"/>
        <v>38.650392991705267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20.355714285714278</v>
      </c>
      <c r="AI57" s="13">
        <f>IF('Données projet'!$A$62&gt;35,AI56+AH57-AQ56,IF(A57&lt;'Données projet'!$A$62,$AF$205^A57,IF(A57='Données projet'!$A$62,'Données projet'!$B$62,AI56+AH57-AQ56)))</f>
        <v>493.3185714285716</v>
      </c>
      <c r="AJ57" s="13">
        <f>AI57*VLOOKUP('Données projet'!$B$10,Paramètres!$A$1:$I$89,3,0)*VLOOKUP('Données projet'!$B$10,Paramètres!$A$1:$I$89,5,0)</f>
        <v>275.76508142857153</v>
      </c>
      <c r="AK57" s="13">
        <f t="shared" si="35"/>
        <v>66.071256581811042</v>
      </c>
      <c r="AL57" s="20">
        <f t="shared" si="4"/>
        <v>595.36495536808297</v>
      </c>
      <c r="AM57" s="59">
        <f t="shared" si="5"/>
        <v>888.69828870141623</v>
      </c>
      <c r="AN57" s="59">
        <f ca="1">AVERAGE(OFFSET($AM$3,0,0,'Données projet'!$E$10+1,1))-AVERAGE(OFFSET($H$3,0,0,'Données projet'!$E$10+1,1))</f>
        <v>287.413090017863</v>
      </c>
      <c r="AO57" s="59">
        <f t="shared" si="36"/>
        <v>258.48456031927117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66.392479126478406</v>
      </c>
      <c r="AV57" s="21">
        <f>EXP(-LN(2)/25)*AV56+(1-EXP(-LN(2)/25))/(LN(2)/25)*Calculateur!AQ57*Calculateur!AS57*VLOOKUP('Données projet'!$B$10,Paramètres!$A$1:$I$89,3,0)*0.475*44/12</f>
        <v>26.792562039977085</v>
      </c>
      <c r="AW57" s="21">
        <f>EXP(-LN(2)/2)*AW56+(1-EXP(-LN(2)/2))/(LN(2)/2)*AQ57*AT57*VLOOKUP('Données projet'!$B$10,Paramètres!$A$1:$I$89,3,0)*0.475*44/12</f>
        <v>2.7370671158946625</v>
      </c>
      <c r="AX57" s="21">
        <f t="shared" si="6"/>
        <v>95.922108282350152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216.08496</v>
      </c>
      <c r="BF57" s="13">
        <f t="shared" si="37"/>
        <v>53.26308393083157</v>
      </c>
      <c r="BG57" s="20">
        <f t="shared" si="7"/>
        <v>469.11450984619825</v>
      </c>
      <c r="BH57" s="59">
        <f t="shared" si="8"/>
        <v>762.44784317953156</v>
      </c>
      <c r="BI57" s="59">
        <f ca="1">AVERAGE(OFFSET($BH$3,0,0,'Données projet'!$E$11+1,1))-AVERAGE(OFFSET($H$3,0,0,'Données projet'!$E$11+1,1))</f>
        <v>243.33915530322201</v>
      </c>
      <c r="BJ57" s="59">
        <f t="shared" si="38"/>
        <v>247.73814704672577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12.81232029298242</v>
      </c>
      <c r="BQ57" s="21">
        <f>EXP(-LN(2)/25)*BQ56+(1-EXP(-LN(2)/25))/(LN(2)/25)*Calculateur!BL57*Calculateur!BN57*VLOOKUP('Données projet'!$B$11,Paramètres!$A$1:$I$89,3,0)*0.475*44/12</f>
        <v>16.048336542729743</v>
      </c>
      <c r="BR57" s="21">
        <f>EXP(-LN(2)/2)*BR56+(1-EXP(-LN(2)/2))/(LN(2)/2)*BL57*BO57*VLOOKUP('Données projet'!$B$11,Paramètres!$A$1:$I$89,3,0)*0.475*44/12</f>
        <v>1.1528040710135394</v>
      </c>
      <c r="BS57" s="22">
        <f t="shared" si="9"/>
        <v>30.013460906725701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9.1524999999999999</v>
      </c>
      <c r="N58" s="13">
        <f>IF('Données projet'!$A$36&gt;35,N57+M58-V57,IF(A58&lt;'Données projet'!$A$36,$K$205^A58,IF(A58='Données projet'!$A$36,'Données projet'!$B$36,N57+M58-V57)))</f>
        <v>180.69000000000028</v>
      </c>
      <c r="O58" s="13">
        <f>N58*VLOOKUP('Données projet'!$B$9,Paramètres!$A$1:$I$89,3,0)*VLOOKUP('Données projet'!$B$9,Paramètres!$A$1:$I$89,5,0)</f>
        <v>163.48831200000026</v>
      </c>
      <c r="P58" s="13">
        <f t="shared" si="33"/>
        <v>41.62832357521188</v>
      </c>
      <c r="Q58" s="20">
        <f t="shared" si="53"/>
        <v>357.24480696016116</v>
      </c>
      <c r="R58" s="59">
        <f t="shared" si="0"/>
        <v>650.57814029349447</v>
      </c>
      <c r="S58" s="59">
        <f ca="1">AVERAGE(OFFSET($R$3,0,0,'Données projet'!$E$9+1,1))-AVERAGE(OFFSET($H$3,0,0,'Données projet'!$E$9+1,1))</f>
        <v>298.01613436147056</v>
      </c>
      <c r="T58" s="59">
        <f t="shared" si="34"/>
        <v>212.70221374431253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34.332005360254286</v>
      </c>
      <c r="AB58" s="21">
        <f>EXP(-LN(2)/2)*AB57+(1-EXP(-LN(2)/2))/(LN(2)/2)*V58*Y58*VLOOKUP('Données projet'!$B$9,Paramètres!$A$1:$I$89,3,0)*0.475*44/12</f>
        <v>2.3710588508081472</v>
      </c>
      <c r="AC58" s="22">
        <f t="shared" si="3"/>
        <v>36.703064211062433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20.355714285714278</v>
      </c>
      <c r="AI58" s="13">
        <f>IF('Données projet'!$A$62&gt;35,AI57+AH58-AQ57,IF(A58&lt;'Données projet'!$A$62,$AF$205^A58,IF(A58='Données projet'!$A$62,'Données projet'!$B$62,AI57+AH58-AQ57)))</f>
        <v>513.67428571428593</v>
      </c>
      <c r="AJ58" s="13">
        <f>AI58*VLOOKUP('Données projet'!$B$10,Paramètres!$A$1:$I$89,3,0)*VLOOKUP('Données projet'!$B$10,Paramètres!$A$1:$I$89,5,0)</f>
        <v>287.14392571428584</v>
      </c>
      <c r="AK58" s="13">
        <f t="shared" si="35"/>
        <v>68.474504947595136</v>
      </c>
      <c r="AL58" s="20">
        <f t="shared" si="4"/>
        <v>619.36876673610948</v>
      </c>
      <c r="AM58" s="59">
        <f t="shared" si="5"/>
        <v>912.70210006944285</v>
      </c>
      <c r="AN58" s="59">
        <f ca="1">AVERAGE(OFFSET($AM$3,0,0,'Données projet'!$E$10+1,1))-AVERAGE(OFFSET($H$3,0,0,'Données projet'!$E$10+1,1))</f>
        <v>287.413090017863</v>
      </c>
      <c r="AO58" s="59">
        <f t="shared" si="36"/>
        <v>258.48456031927117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65.090563106221836</v>
      </c>
      <c r="AV58" s="21">
        <f>EXP(-LN(2)/25)*AV57+(1-EXP(-LN(2)/25))/(LN(2)/25)*Calculateur!AQ58*Calculateur!AS58*VLOOKUP('Données projet'!$B$10,Paramètres!$A$1:$I$89,3,0)*0.475*44/12</f>
        <v>26.05991802203431</v>
      </c>
      <c r="AW58" s="21">
        <f>EXP(-LN(2)/2)*AW57+(1-EXP(-LN(2)/2))/(LN(2)/2)*AQ58*AT58*VLOOKUP('Données projet'!$B$10,Paramètres!$A$1:$I$89,3,0)*0.475*44/12</f>
        <v>1.935398718211822</v>
      </c>
      <c r="AX58" s="21">
        <f t="shared" si="6"/>
        <v>93.085879846467975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221.97239999999996</v>
      </c>
      <c r="BF58" s="13">
        <f t="shared" si="37"/>
        <v>54.543354171476821</v>
      </c>
      <c r="BG58" s="20">
        <f t="shared" si="7"/>
        <v>481.59827184865543</v>
      </c>
      <c r="BH58" s="59">
        <f t="shared" si="8"/>
        <v>774.93160518198874</v>
      </c>
      <c r="BI58" s="59">
        <f ca="1">AVERAGE(OFFSET($BH$3,0,0,'Données projet'!$E$11+1,1))-AVERAGE(OFFSET($H$3,0,0,'Données projet'!$E$11+1,1))</f>
        <v>243.33915530322201</v>
      </c>
      <c r="BJ58" s="59">
        <f t="shared" si="38"/>
        <v>247.73814704672577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14.425644442768373</v>
      </c>
      <c r="BQ58" s="21">
        <f>EXP(-LN(2)/25)*BQ57+(1-EXP(-LN(2)/25))/(LN(2)/25)*Calculateur!BL58*Calculateur!BN58*VLOOKUP('Données projet'!$B$11,Paramètres!$A$1:$I$89,3,0)*0.475*44/12</f>
        <v>17.466718365465756</v>
      </c>
      <c r="BR58" s="21">
        <f>EXP(-LN(2)/2)*BR57+(1-EXP(-LN(2)/2))/(LN(2)/2)*BL58*BO58*VLOOKUP('Données projet'!$B$11,Paramètres!$A$1:$I$89,3,0)*0.475*44/12</f>
        <v>3.8178356290333193</v>
      </c>
      <c r="BS58" s="22">
        <f t="shared" si="9"/>
        <v>35.710198437267451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9.1524999999999999</v>
      </c>
      <c r="N59" s="13">
        <f>IF('Données projet'!$A$36&gt;35,N58+M59-V58,IF(A59&lt;'Données projet'!$A$36,$K$205^A59,IF(A59='Données projet'!$A$36,'Données projet'!$B$36,N58+M59-V58)))</f>
        <v>189.84250000000029</v>
      </c>
      <c r="O59" s="13">
        <f>N59*VLOOKUP('Données projet'!$B$9,Paramètres!$A$1:$I$89,3,0)*VLOOKUP('Données projet'!$B$9,Paramètres!$A$1:$I$89,5,0)</f>
        <v>171.76949400000024</v>
      </c>
      <c r="P59" s="13">
        <f t="shared" si="33"/>
        <v>43.486092222917399</v>
      </c>
      <c r="Q59" s="20">
        <f t="shared" si="53"/>
        <v>374.90347933824819</v>
      </c>
      <c r="R59" s="59">
        <f t="shared" si="0"/>
        <v>668.23681267158145</v>
      </c>
      <c r="S59" s="59">
        <f ca="1">AVERAGE(OFFSET($R$3,0,0,'Données projet'!$E$9+1,1))-AVERAGE(OFFSET($H$3,0,0,'Données projet'!$E$9+1,1))</f>
        <v>298.01613436147056</v>
      </c>
      <c r="T59" s="59">
        <f t="shared" si="34"/>
        <v>212.70221374431253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33.393194868236435</v>
      </c>
      <c r="AB59" s="21">
        <f>EXP(-LN(2)/2)*AB58+(1-EXP(-LN(2)/2))/(LN(2)/2)*V59*Y59*VLOOKUP('Données projet'!$B$9,Paramètres!$A$1:$I$89,3,0)*0.475*44/12</f>
        <v>1.6765917919988234</v>
      </c>
      <c r="AC59" s="22">
        <f t="shared" si="3"/>
        <v>35.069786660235259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534.03</v>
      </c>
      <c r="AG59" s="12">
        <f>VLOOKUP(A59,'Données projet'!$A$61:$I$81,9,0)</f>
        <v>20.355714285714278</v>
      </c>
      <c r="AH59" s="12">
        <f t="array" ref="AH59">INDEX(AG:AG,MIN(IF(ISNUMBER(AG59:AG255),ROW(AG59:AG255),"")))</f>
        <v>20.355714285714278</v>
      </c>
      <c r="AI59" s="13">
        <f>IF('Données projet'!$A$62&gt;35,AI58+AH59-AQ58,IF(A59&lt;'Données projet'!$A$62,$AF$205^A59,IF(A59='Données projet'!$A$62,'Données projet'!$B$62,AI58+AH59-AQ58)))</f>
        <v>534.0300000000002</v>
      </c>
      <c r="AJ59" s="13">
        <f>AI59*VLOOKUP('Données projet'!$B$10,Paramètres!$A$1:$I$89,3,0)*VLOOKUP('Données projet'!$B$10,Paramètres!$A$1:$I$89,5,0)</f>
        <v>298.52277000000015</v>
      </c>
      <c r="AK59" s="13">
        <f t="shared" si="35"/>
        <v>70.866690413510668</v>
      </c>
      <c r="AL59" s="20">
        <f t="shared" si="4"/>
        <v>643.35331022019807</v>
      </c>
      <c r="AM59" s="59">
        <f t="shared" si="5"/>
        <v>936.68664355353144</v>
      </c>
      <c r="AN59" s="59">
        <f ca="1">AVERAGE(OFFSET($AM$3,0,0,'Données projet'!$E$10+1,1))-AVERAGE(OFFSET($H$3,0,0,'Données projet'!$E$10+1,1))</f>
        <v>287.413090017863</v>
      </c>
      <c r="AO59" s="59">
        <f t="shared" si="36"/>
        <v>258.48456031927117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94.669999999999959</v>
      </c>
      <c r="AR59" s="16">
        <f>IF(ISNA(VLOOKUP(A59,'Données projet'!$A$61:$I$81,5,0)),0%,VLOOKUP(A59,'Données projet'!$A$61:$I$81,5,0)*VLOOKUP('Données projet'!$B$10,Paramètres!$A$1:$I$89,7,0))</f>
        <v>0.33</v>
      </c>
      <c r="AS59" s="16">
        <f>IF(ISNA(VLOOKUP(A59,'Données projet'!$A$61:$I$81,6,0)),0%,VLOOKUP(A59,'Données projet'!$A$61:$I$81,6,0)*VLOOKUP('Données projet'!$B$10,Paramètres!$A$1:$I$89,7,0))</f>
        <v>0.11000000000000001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86.980999905169341</v>
      </c>
      <c r="AV59" s="21">
        <f>EXP(-LN(2)/25)*AV58+(1-EXP(-LN(2)/25))/(LN(2)/25)*Calculateur!AQ59*Calculateur!AS59*VLOOKUP('Données projet'!$B$10,Paramètres!$A$1:$I$89,3,0)*0.475*44/12</f>
        <v>33.039177003482436</v>
      </c>
      <c r="AW59" s="21">
        <f>EXP(-LN(2)/2)*AW58+(1-EXP(-LN(2)/2))/(LN(2)/2)*AQ59*AT59*VLOOKUP('Données projet'!$B$10,Paramètres!$A$1:$I$89,3,0)*0.475*44/12</f>
        <v>13.352200211590977</v>
      </c>
      <c r="AX59" s="21">
        <f t="shared" si="6"/>
        <v>133.37237712024276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214.17551999999998</v>
      </c>
      <c r="BF59" s="13">
        <f t="shared" si="37"/>
        <v>52.846993696165399</v>
      </c>
      <c r="BG59" s="20">
        <f t="shared" si="7"/>
        <v>465.06421135415468</v>
      </c>
      <c r="BH59" s="59">
        <f t="shared" si="8"/>
        <v>758.39754468748799</v>
      </c>
      <c r="BI59" s="59">
        <f ca="1">AVERAGE(OFFSET($BH$3,0,0,'Données projet'!$E$11+1,1))-AVERAGE(OFFSET($H$3,0,0,'Données projet'!$E$11+1,1))</f>
        <v>243.33915530322201</v>
      </c>
      <c r="BJ59" s="59">
        <f t="shared" si="38"/>
        <v>247.73814704672577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14.142766354019988</v>
      </c>
      <c r="BQ59" s="21">
        <f>EXP(-LN(2)/25)*BQ58+(1-EXP(-LN(2)/25))/(LN(2)/25)*Calculateur!BL59*Calculateur!BN59*VLOOKUP('Données projet'!$B$11,Paramètres!$A$1:$I$89,3,0)*0.475*44/12</f>
        <v>16.989090033227296</v>
      </c>
      <c r="BR59" s="21">
        <f>EXP(-LN(2)/2)*BR58+(1-EXP(-LN(2)/2))/(LN(2)/2)*BL59*BO59*VLOOKUP('Données projet'!$B$11,Paramètres!$A$1:$I$89,3,0)*0.475*44/12</f>
        <v>2.6996174627450684</v>
      </c>
      <c r="BS59" s="22">
        <f t="shared" si="9"/>
        <v>33.831473849992349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9.1524999999999999</v>
      </c>
      <c r="N60" s="13">
        <f>IF('Données projet'!$A$36&gt;35,N59+M60-V59,IF(A60&lt;'Données projet'!$A$36,$K$205^A60,IF(A60='Données projet'!$A$36,'Données projet'!$B$36,N59+M60-V59)))</f>
        <v>198.99500000000029</v>
      </c>
      <c r="O60" s="13">
        <f>N60*VLOOKUP('Données projet'!$B$9,Paramètres!$A$1:$I$89,3,0)*VLOOKUP('Données projet'!$B$9,Paramètres!$A$1:$I$89,5,0)</f>
        <v>180.05067600000027</v>
      </c>
      <c r="P60" s="13">
        <f t="shared" si="33"/>
        <v>45.333460458198495</v>
      </c>
      <c r="Q60" s="20">
        <f t="shared" si="53"/>
        <v>392.54403766469613</v>
      </c>
      <c r="R60" s="59">
        <f t="shared" si="0"/>
        <v>685.87737099802939</v>
      </c>
      <c r="S60" s="59">
        <f ca="1">AVERAGE(OFFSET($R$3,0,0,'Données projet'!$E$9+1,1))-AVERAGE(OFFSET($H$3,0,0,'Données projet'!$E$9+1,1))</f>
        <v>298.01613436147056</v>
      </c>
      <c r="T60" s="59">
        <f t="shared" si="34"/>
        <v>212.70221374431253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32.480056198492711</v>
      </c>
      <c r="AB60" s="21">
        <f>EXP(-LN(2)/2)*AB59+(1-EXP(-LN(2)/2))/(LN(2)/2)*V60*Y60*VLOOKUP('Données projet'!$B$9,Paramètres!$A$1:$I$89,3,0)*0.475*44/12</f>
        <v>1.1855294254040736</v>
      </c>
      <c r="AC60" s="22">
        <f t="shared" si="3"/>
        <v>33.665585623896789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18.617142857142849</v>
      </c>
      <c r="AI60" s="13">
        <f>IF('Données projet'!$A$62&gt;35,AI59+AH60-AQ59,IF(A60&lt;'Données projet'!$A$62,$AF$205^A60,IF(A60='Données projet'!$A$62,'Données projet'!$B$62,AI59+AH60-AQ59)))</f>
        <v>457.97714285714312</v>
      </c>
      <c r="AJ60" s="13">
        <f>AI60*VLOOKUP('Données projet'!$B$10,Paramètres!$A$1:$I$89,3,0)*VLOOKUP('Données projet'!$B$10,Paramètres!$A$1:$I$89,5,0)</f>
        <v>256.00922285714302</v>
      </c>
      <c r="AK60" s="13">
        <f t="shared" si="35"/>
        <v>61.870941241266237</v>
      </c>
      <c r="AL60" s="20">
        <f t="shared" si="4"/>
        <v>553.64128580472936</v>
      </c>
      <c r="AM60" s="59">
        <f t="shared" si="5"/>
        <v>846.97461913806274</v>
      </c>
      <c r="AN60" s="59">
        <f ca="1">AVERAGE(OFFSET($AM$3,0,0,'Données projet'!$E$10+1,1))-AVERAGE(OFFSET($H$3,0,0,'Données projet'!$E$10+1,1))</f>
        <v>287.413090017863</v>
      </c>
      <c r="AO60" s="59">
        <f t="shared" si="36"/>
        <v>258.48456031927117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85.275355550200345</v>
      </c>
      <c r="AV60" s="21">
        <f>EXP(-LN(2)/25)*AV59+(1-EXP(-LN(2)/25))/(LN(2)/25)*Calculateur!AQ60*Calculateur!AS60*VLOOKUP('Données projet'!$B$10,Paramètres!$A$1:$I$89,3,0)*0.475*44/12</f>
        <v>32.135718970867401</v>
      </c>
      <c r="AW60" s="21">
        <f>EXP(-LN(2)/2)*AW59+(1-EXP(-LN(2)/2))/(LN(2)/2)*AQ60*AT60*VLOOKUP('Données projet'!$B$10,Paramètres!$A$1:$I$89,3,0)*0.475*44/12</f>
        <v>9.4414313133764356</v>
      </c>
      <c r="AX60" s="21">
        <f t="shared" si="6"/>
        <v>126.85250583444419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219.10823999999994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243.33915530322201</v>
      </c>
      <c r="BJ60" s="59">
        <f t="shared" si="38"/>
        <v>247.73814704672577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13.865435332053362</v>
      </c>
      <c r="BQ60" s="21">
        <f>EXP(-LN(2)/25)*BQ59+(1-EXP(-LN(2)/25))/(LN(2)/25)*Calculateur!BL60*Calculateur!BN60*VLOOKUP('Données projet'!$B$11,Paramètres!$A$1:$I$89,3,0)*0.475*44/12</f>
        <v>16.524522472851281</v>
      </c>
      <c r="BR60" s="21">
        <f>EXP(-LN(2)/2)*BR59+(1-EXP(-LN(2)/2))/(LN(2)/2)*BL60*BO60*VLOOKUP('Données projet'!$B$11,Paramètres!$A$1:$I$89,3,0)*0.475*44/12</f>
        <v>1.9089178145166599</v>
      </c>
      <c r="BS60" s="22">
        <f t="shared" si="9"/>
        <v>32.298875619421302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9.1524999999999999</v>
      </c>
      <c r="N61" s="13">
        <f>IF('Données projet'!$A$36&gt;35,N60+M61-V60,IF(A61&lt;'Données projet'!$A$36,$K$205^A61,IF(A61='Données projet'!$A$36,'Données projet'!$B$36,N60+M61-V60)))</f>
        <v>208.14750000000029</v>
      </c>
      <c r="O61" s="13">
        <f>N61*VLOOKUP('Données projet'!$B$9,Paramètres!$A$1:$I$89,3,0)*VLOOKUP('Données projet'!$B$9,Paramètres!$A$1:$I$89,5,0)</f>
        <v>188.33185800000024</v>
      </c>
      <c r="P61" s="13">
        <f t="shared" si="33"/>
        <v>47.170961271026052</v>
      </c>
      <c r="Q61" s="20">
        <f t="shared" si="53"/>
        <v>410.16741023037071</v>
      </c>
      <c r="R61" s="59">
        <f t="shared" si="0"/>
        <v>703.50074356370396</v>
      </c>
      <c r="S61" s="59">
        <f ca="1">AVERAGE(OFFSET($R$3,0,0,'Données projet'!$E$9+1,1))-AVERAGE(OFFSET($H$3,0,0,'Données projet'!$E$9+1,1))</f>
        <v>298.01613436147056</v>
      </c>
      <c r="T61" s="59">
        <f t="shared" si="34"/>
        <v>212.70221374431253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31.591887353693007</v>
      </c>
      <c r="AB61" s="21">
        <f>EXP(-LN(2)/2)*AB60+(1-EXP(-LN(2)/2))/(LN(2)/2)*V61*Y61*VLOOKUP('Données projet'!$B$9,Paramètres!$A$1:$I$89,3,0)*0.475*44/12</f>
        <v>0.83829589599941168</v>
      </c>
      <c r="AC61" s="22">
        <f t="shared" si="3"/>
        <v>32.430183249692419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18.617142857142849</v>
      </c>
      <c r="AI61" s="13">
        <f>IF('Données projet'!$A$62&gt;35,AI60+AH61-AQ60,IF(A61&lt;'Données projet'!$A$62,$AF$205^A61,IF(A61='Données projet'!$A$62,'Données projet'!$B$62,AI60+AH61-AQ60)))</f>
        <v>476.59428571428595</v>
      </c>
      <c r="AJ61" s="13">
        <f>AI61*VLOOKUP('Données projet'!$B$10,Paramètres!$A$1:$I$89,3,0)*VLOOKUP('Données projet'!$B$10,Paramètres!$A$1:$I$89,5,0)</f>
        <v>266.41620571428587</v>
      </c>
      <c r="AK61" s="13">
        <f t="shared" si="35"/>
        <v>64.088107222101385</v>
      </c>
      <c r="AL61" s="20">
        <f t="shared" si="4"/>
        <v>575.62834503087436</v>
      </c>
      <c r="AM61" s="59">
        <f t="shared" si="5"/>
        <v>868.96167836420773</v>
      </c>
      <c r="AN61" s="59">
        <f ca="1">AVERAGE(OFFSET($AM$3,0,0,'Données projet'!$E$10+1,1))-AVERAGE(OFFSET($H$3,0,0,'Données projet'!$E$10+1,1))</f>
        <v>287.413090017863</v>
      </c>
      <c r="AO61" s="59">
        <f t="shared" si="36"/>
        <v>258.48456031927117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83.603157840691964</v>
      </c>
      <c r="AV61" s="21">
        <f>EXP(-LN(2)/25)*AV60+(1-EXP(-LN(2)/25))/(LN(2)/25)*Calculateur!AQ61*Calculateur!AS61*VLOOKUP('Données projet'!$B$10,Paramètres!$A$1:$I$89,3,0)*0.475*44/12</f>
        <v>31.25696604566502</v>
      </c>
      <c r="AW61" s="21">
        <f>EXP(-LN(2)/2)*AW60+(1-EXP(-LN(2)/2))/(LN(2)/2)*AQ61*AT61*VLOOKUP('Données projet'!$B$10,Paramètres!$A$1:$I$89,3,0)*0.475*44/12</f>
        <v>6.6761001057954896</v>
      </c>
      <c r="AX61" s="21">
        <f t="shared" si="6"/>
        <v>121.53622399215247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224.04095999999993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243.33915530322201</v>
      </c>
      <c r="BJ61" s="59">
        <f t="shared" si="38"/>
        <v>247.73814704672577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13.593542602272281</v>
      </c>
      <c r="BQ61" s="21">
        <f>EXP(-LN(2)/25)*BQ60+(1-EXP(-LN(2)/25))/(LN(2)/25)*Calculateur!BL61*Calculateur!BN61*VLOOKUP('Données projet'!$B$11,Paramètres!$A$1:$I$89,3,0)*0.475*44/12</f>
        <v>16.072658536844294</v>
      </c>
      <c r="BR61" s="21">
        <f>EXP(-LN(2)/2)*BR60+(1-EXP(-LN(2)/2))/(LN(2)/2)*BL61*BO61*VLOOKUP('Données projet'!$B$11,Paramètres!$A$1:$I$89,3,0)*0.475*44/12</f>
        <v>1.3498087313725344</v>
      </c>
      <c r="BS61" s="22">
        <f t="shared" si="9"/>
        <v>31.016009870489107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217.3</v>
      </c>
      <c r="L62" s="12">
        <f>VLOOKUP(A62,'Données projet'!$A$35:$I$55,9,0)</f>
        <v>9.1524999999999999</v>
      </c>
      <c r="M62" s="12">
        <f t="array" ref="M62">INDEX(L:L,MIN(IF(ISNUMBER(L62:L258),ROW(L62:L258),"")))</f>
        <v>9.1524999999999999</v>
      </c>
      <c r="N62" s="13">
        <f>IF('Données projet'!$A$36&gt;35,N61+M62-V61,IF(A62&lt;'Données projet'!$A$36,$K$205^A62,IF(A62='Données projet'!$A$36,'Données projet'!$B$36,N61+M62-V61)))</f>
        <v>217.3000000000003</v>
      </c>
      <c r="O62" s="13">
        <f>N62*VLOOKUP('Données projet'!$B$9,Paramètres!$A$1:$I$89,3,0)*VLOOKUP('Données projet'!$B$9,Paramètres!$A$1:$I$89,5,0)</f>
        <v>196.61304000000027</v>
      </c>
      <c r="P62" s="13">
        <f t="shared" si="33"/>
        <v>48.999078128589694</v>
      </c>
      <c r="Q62" s="20">
        <f t="shared" si="53"/>
        <v>427.77443907396082</v>
      </c>
      <c r="R62" s="59">
        <f t="shared" si="0"/>
        <v>721.10777240729408</v>
      </c>
      <c r="S62" s="59">
        <f ca="1">AVERAGE(OFFSET($R$3,0,0,'Données projet'!$E$9+1,1))-AVERAGE(OFFSET($H$3,0,0,'Données projet'!$E$9+1,1))</f>
        <v>298.01613436147056</v>
      </c>
      <c r="T62" s="59">
        <f t="shared" si="34"/>
        <v>212.70221374431253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52.75</v>
      </c>
      <c r="W62" s="16">
        <f>IF(ISNA(VLOOKUP(A62,'Données projet'!$A$35:$I$55,5,0)),0%,VLOOKUP(A62,'Données projet'!$A$35:$I$55,5,0)*VLOOKUP('Données projet'!$B$9,Paramètres!$A$1:$I$89,7,0))</f>
        <v>0.15049999999999999</v>
      </c>
      <c r="X62" s="16">
        <f>IF(ISNA(VLOOKUP(A62,'Données projet'!$A$35:$I$55,6,0)),0%,VLOOKUP(A62,'Données projet'!$A$35:$I$55,6,0)*VLOOKUP('Données projet'!$B$9,Paramètres!$A$1:$I$89,7,0))</f>
        <v>8.6000000000000007E-2</v>
      </c>
      <c r="Y62" s="16">
        <f>IF(ISNA(VLOOKUP(A62,'Données projet'!$A$35:$I$55,7,0)),0%,VLOOKUP(A62,'Données projet'!$A$35:$I$55,7,0))</f>
        <v>0.1</v>
      </c>
      <c r="Z62" s="21">
        <f>EXP(-LN(2)/35)*Z61+(1-EXP(-LN(2)/35))/(LN(2)/35)*V62*W62*VLOOKUP('Données projet'!$B$9,Paramètres!$A$1:$I$89,3,0)*0.475*44/12</f>
        <v>7.9406977609478941</v>
      </c>
      <c r="AA62" s="21">
        <f>EXP(-LN(2)/25)*AA61+(1-EXP(-LN(2)/25))/(LN(2)/25)*Calculateur!V62*Calculateur!X62*VLOOKUP('Données projet'!$B$9,Paramètres!$A$1:$I$89,3,0)*0.475*44/12</f>
        <v>35.247681080215401</v>
      </c>
      <c r="AB62" s="21">
        <f>EXP(-LN(2)/2)*AB61+(1-EXP(-LN(2)/2))/(LN(2)/2)*V62*Y62*VLOOKUP('Données projet'!$B$9,Paramètres!$A$1:$I$89,3,0)*0.475*44/12</f>
        <v>5.0960488412689262</v>
      </c>
      <c r="AC62" s="22">
        <f t="shared" si="3"/>
        <v>48.284427682432216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18.617142857142849</v>
      </c>
      <c r="AI62" s="13">
        <f>IF('Données projet'!$A$62&gt;35,AI61+AH62-AQ61,IF(A62&lt;'Données projet'!$A$62,$AF$205^A62,IF(A62='Données projet'!$A$62,'Données projet'!$B$62,AI61+AH62-AQ61)))</f>
        <v>495.21142857142877</v>
      </c>
      <c r="AJ62" s="13">
        <f>AI62*VLOOKUP('Données projet'!$B$10,Paramètres!$A$1:$I$89,3,0)*VLOOKUP('Données projet'!$B$10,Paramètres!$A$1:$I$89,5,0)</f>
        <v>276.82318857142872</v>
      </c>
      <c r="AK62" s="13">
        <f t="shared" si="35"/>
        <v>66.295212111853616</v>
      </c>
      <c r="AL62" s="20">
        <f t="shared" si="4"/>
        <v>597.59788119005009</v>
      </c>
      <c r="AM62" s="59">
        <f t="shared" si="5"/>
        <v>890.93121452338346</v>
      </c>
      <c r="AN62" s="59">
        <f ca="1">AVERAGE(OFFSET($AM$3,0,0,'Données projet'!$E$10+1,1))-AVERAGE(OFFSET($H$3,0,0,'Données projet'!$E$10+1,1))</f>
        <v>287.413090017863</v>
      </c>
      <c r="AO62" s="59">
        <f t="shared" si="36"/>
        <v>258.48456031927117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81.963750908327142</v>
      </c>
      <c r="AV62" s="21">
        <f>EXP(-LN(2)/25)*AV61+(1-EXP(-LN(2)/25))/(LN(2)/25)*Calculateur!AQ62*Calculateur!AS62*VLOOKUP('Données projet'!$B$10,Paramètres!$A$1:$I$89,3,0)*0.475*44/12</f>
        <v>30.402242665413905</v>
      </c>
      <c r="AW62" s="21">
        <f>EXP(-LN(2)/2)*AW61+(1-EXP(-LN(2)/2))/(LN(2)/2)*AQ62*AT62*VLOOKUP('Données projet'!$B$10,Paramètres!$A$1:$I$89,3,0)*0.475*44/12</f>
        <v>4.7207156566882187</v>
      </c>
      <c r="AX62" s="21">
        <f t="shared" si="6"/>
        <v>117.08670923042926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228.97367999999994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243.33915530322201</v>
      </c>
      <c r="BJ62" s="59">
        <f t="shared" si="38"/>
        <v>247.73814704672577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13.326981523084017</v>
      </c>
      <c r="BQ62" s="21">
        <f>EXP(-LN(2)/25)*BQ61+(1-EXP(-LN(2)/25))/(LN(2)/25)*Calculateur!BL62*Calculateur!BN62*VLOOKUP('Données projet'!$B$11,Paramètres!$A$1:$I$89,3,0)*0.475*44/12</f>
        <v>15.63315084392991</v>
      </c>
      <c r="BR62" s="21">
        <f>EXP(-LN(2)/2)*BR61+(1-EXP(-LN(2)/2))/(LN(2)/2)*BL62*BO62*VLOOKUP('Données projet'!$B$11,Paramètres!$A$1:$I$89,3,0)*0.475*44/12</f>
        <v>0.95445890725833005</v>
      </c>
      <c r="BS62" s="22">
        <f t="shared" si="9"/>
        <v>29.914591274272258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8.5662500000000001</v>
      </c>
      <c r="N63" s="13">
        <f>IF('Données projet'!$A$36&gt;35,N62+M63-V62,IF(A63&lt;'Données projet'!$A$36,$K$205^A63,IF(A63='Données projet'!$A$36,'Données projet'!$B$36,N62+M63-V62)))</f>
        <v>173.11625000000029</v>
      </c>
      <c r="O63" s="13">
        <f>N63*VLOOKUP('Données projet'!$B$9,Paramètres!$A$1:$I$89,3,0)*VLOOKUP('Données projet'!$B$9,Paramètres!$A$1:$I$89,5,0)</f>
        <v>156.63558300000025</v>
      </c>
      <c r="P63" s="13">
        <f t="shared" si="33"/>
        <v>40.082725721977702</v>
      </c>
      <c r="Q63" s="20">
        <f t="shared" si="53"/>
        <v>342.61772102411163</v>
      </c>
      <c r="R63" s="59">
        <f t="shared" si="0"/>
        <v>635.95105435744495</v>
      </c>
      <c r="S63" s="59">
        <f ca="1">AVERAGE(OFFSET($R$3,0,0,'Données projet'!$E$9+1,1))-AVERAGE(OFFSET($H$3,0,0,'Données projet'!$E$9+1,1))</f>
        <v>298.01613436147056</v>
      </c>
      <c r="T63" s="59">
        <f t="shared" si="34"/>
        <v>212.70221374431253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7.7849855212030992</v>
      </c>
      <c r="AA63" s="21">
        <f>EXP(-LN(2)/25)*AA62+(1-EXP(-LN(2)/25))/(LN(2)/25)*Calculateur!V63*Calculateur!X63*VLOOKUP('Données projet'!$B$9,Paramètres!$A$1:$I$89,3,0)*0.475*44/12</f>
        <v>34.283831387481925</v>
      </c>
      <c r="AB63" s="21">
        <f>EXP(-LN(2)/2)*AB62+(1-EXP(-LN(2)/2))/(LN(2)/2)*V63*Y63*VLOOKUP('Données projet'!$B$9,Paramètres!$A$1:$I$89,3,0)*0.475*44/12</f>
        <v>3.6034506929191057</v>
      </c>
      <c r="AC63" s="22">
        <f t="shared" si="3"/>
        <v>45.672267601604126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18.617142857142849</v>
      </c>
      <c r="AI63" s="13">
        <f>IF('Données projet'!$A$62&gt;35,AI62+AH63-AQ62,IF(A63&lt;'Données projet'!$A$62,$AF$205^A63,IF(A63='Données projet'!$A$62,'Données projet'!$B$62,AI62+AH63-AQ62)))</f>
        <v>513.82857142857165</v>
      </c>
      <c r="AJ63" s="13">
        <f>AI63*VLOOKUP('Données projet'!$B$10,Paramètres!$A$1:$I$89,3,0)*VLOOKUP('Données projet'!$B$10,Paramètres!$A$1:$I$89,5,0)</f>
        <v>287.23017142857157</v>
      </c>
      <c r="AK63" s="13">
        <f t="shared" si="35"/>
        <v>68.492677457199264</v>
      </c>
      <c r="AL63" s="20">
        <f t="shared" si="4"/>
        <v>619.55062847605086</v>
      </c>
      <c r="AM63" s="59">
        <f t="shared" si="5"/>
        <v>912.88396180938412</v>
      </c>
      <c r="AN63" s="59">
        <f ca="1">AVERAGE(OFFSET($AM$3,0,0,'Données projet'!$E$10+1,1))-AVERAGE(OFFSET($H$3,0,0,'Données projet'!$E$10+1,1))</f>
        <v>287.413090017863</v>
      </c>
      <c r="AO63" s="59">
        <f t="shared" si="36"/>
        <v>258.48456031927117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80.356491745966508</v>
      </c>
      <c r="AV63" s="21">
        <f>EXP(-LN(2)/25)*AV62+(1-EXP(-LN(2)/25))/(LN(2)/25)*Calculateur!AQ63*Calculateur!AS63*VLOOKUP('Données projet'!$B$10,Paramètres!$A$1:$I$89,3,0)*0.475*44/12</f>
        <v>29.570891740943704</v>
      </c>
      <c r="AW63" s="21">
        <f>EXP(-LN(2)/2)*AW62+(1-EXP(-LN(2)/2))/(LN(2)/2)*AQ63*AT63*VLOOKUP('Données projet'!$B$10,Paramètres!$A$1:$I$89,3,0)*0.475*44/12</f>
        <v>3.3380500528977457</v>
      </c>
      <c r="AX63" s="21">
        <f t="shared" si="6"/>
        <v>113.26543353980796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233.90639999999991</v>
      </c>
      <c r="BF63" s="13">
        <f t="shared" si="37"/>
        <v>57.126506840778347</v>
      </c>
      <c r="BG63" s="20">
        <f t="shared" si="7"/>
        <v>506.88231274768879</v>
      </c>
      <c r="BH63" s="59">
        <f t="shared" si="8"/>
        <v>800.2156460810221</v>
      </c>
      <c r="BI63" s="59">
        <f ca="1">AVERAGE(OFFSET($BH$3,0,0,'Données projet'!$E$11+1,1))-AVERAGE(OFFSET($H$3,0,0,'Données projet'!$E$11+1,1))</f>
        <v>243.33915530322201</v>
      </c>
      <c r="BJ63" s="59">
        <f t="shared" si="38"/>
        <v>247.73814704672577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14.697142738061579</v>
      </c>
      <c r="BQ63" s="21">
        <f>EXP(-LN(2)/25)*BQ62+(1-EXP(-LN(2)/25))/(LN(2)/25)*Calculateur!BL63*Calculateur!BN63*VLOOKUP('Données projet'!$B$11,Paramètres!$A$1:$I$89,3,0)*0.475*44/12</f>
        <v>16.830732887752983</v>
      </c>
      <c r="BR63" s="21">
        <f>EXP(-LN(2)/2)*BR62+(1-EXP(-LN(2)/2))/(LN(2)/2)*BL63*BO63*VLOOKUP('Données projet'!$B$11,Paramètres!$A$1:$I$89,3,0)*0.475*44/12</f>
        <v>3.3022494120964314</v>
      </c>
      <c r="BS63" s="22">
        <f t="shared" si="9"/>
        <v>34.830125037910996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8.5662500000000001</v>
      </c>
      <c r="N64" s="13">
        <f>IF('Données projet'!$A$36&gt;35,N63+M64-V63,IF(A64&lt;'Données projet'!$A$36,$K$205^A64,IF(A64='Données projet'!$A$36,'Données projet'!$B$36,N63+M64-V63)))</f>
        <v>181.68250000000029</v>
      </c>
      <c r="O64" s="13">
        <f>N64*VLOOKUP('Données projet'!$B$9,Paramètres!$A$1:$I$89,3,0)*VLOOKUP('Données projet'!$B$9,Paramètres!$A$1:$I$89,5,0)</f>
        <v>164.38632600000025</v>
      </c>
      <c r="P64" s="13">
        <f t="shared" si="33"/>
        <v>41.830300823322531</v>
      </c>
      <c r="Q64" s="20">
        <f t="shared" si="53"/>
        <v>359.16062505062047</v>
      </c>
      <c r="R64" s="59">
        <f t="shared" si="0"/>
        <v>652.49395838395378</v>
      </c>
      <c r="S64" s="59">
        <f ca="1">AVERAGE(OFFSET($R$3,0,0,'Données projet'!$E$9+1,1))-AVERAGE(OFFSET($H$3,0,0,'Données projet'!$E$9+1,1))</f>
        <v>298.01613436147056</v>
      </c>
      <c r="T64" s="59">
        <f t="shared" si="34"/>
        <v>212.70221374431253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7.6323267035046118</v>
      </c>
      <c r="AA64" s="21">
        <f>EXP(-LN(2)/25)*AA63+(1-EXP(-LN(2)/25))/(LN(2)/25)*Calculateur!V64*Calculateur!X64*VLOOKUP('Données projet'!$B$9,Paramètres!$A$1:$I$89,3,0)*0.475*44/12</f>
        <v>33.346338215282898</v>
      </c>
      <c r="AB64" s="21">
        <f>EXP(-LN(2)/2)*AB63+(1-EXP(-LN(2)/2))/(LN(2)/2)*V64*Y64*VLOOKUP('Données projet'!$B$9,Paramètres!$A$1:$I$89,3,0)*0.475*44/12</f>
        <v>2.5480244206344631</v>
      </c>
      <c r="AC64" s="22">
        <f t="shared" si="3"/>
        <v>43.526689339421971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18.617142857142849</v>
      </c>
      <c r="AI64" s="13">
        <f>IF('Données projet'!$A$62&gt;35,AI63+AH64-AQ63,IF(A64&lt;'Données projet'!$A$62,$AF$205^A64,IF(A64='Données projet'!$A$62,'Données projet'!$B$62,AI63+AH64-AQ63)))</f>
        <v>532.44571428571453</v>
      </c>
      <c r="AJ64" s="13">
        <f>AI64*VLOOKUP('Données projet'!$B$10,Paramètres!$A$1:$I$89,3,0)*VLOOKUP('Données projet'!$B$10,Paramètres!$A$1:$I$89,5,0)</f>
        <v>297.63715428571442</v>
      </c>
      <c r="AK64" s="13">
        <f t="shared" si="35"/>
        <v>70.680892526366577</v>
      </c>
      <c r="AL64" s="20">
        <f t="shared" si="4"/>
        <v>641.48726486437431</v>
      </c>
      <c r="AM64" s="59">
        <f t="shared" si="5"/>
        <v>934.82059819770757</v>
      </c>
      <c r="AN64" s="59">
        <f ca="1">AVERAGE(OFFSET($AM$3,0,0,'Données projet'!$E$10+1,1))-AVERAGE(OFFSET($H$3,0,0,'Données projet'!$E$10+1,1))</f>
        <v>287.413090017863</v>
      </c>
      <c r="AO64" s="59">
        <f t="shared" si="36"/>
        <v>258.48456031927117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78.780749955448471</v>
      </c>
      <c r="AV64" s="21">
        <f>EXP(-LN(2)/25)*AV63+(1-EXP(-LN(2)/25))/(LN(2)/25)*Calculateur!AQ64*Calculateur!AS64*VLOOKUP('Données projet'!$B$10,Paramètres!$A$1:$I$89,3,0)*0.475*44/12</f>
        <v>28.762274151221987</v>
      </c>
      <c r="AW64" s="21">
        <f>EXP(-LN(2)/2)*AW63+(1-EXP(-LN(2)/2))/(LN(2)/2)*AQ64*AT64*VLOOKUP('Données projet'!$B$10,Paramètres!$A$1:$I$89,3,0)*0.475*44/12</f>
        <v>2.3603578283441098</v>
      </c>
      <c r="AX64" s="21">
        <f t="shared" si="6"/>
        <v>109.90338193501456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226.90511999999993</v>
      </c>
      <c r="BF64" s="13">
        <f t="shared" si="37"/>
        <v>55.612969408444364</v>
      </c>
      <c r="BG64" s="20">
        <f t="shared" si="7"/>
        <v>492.05233905304044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243.33915530322201</v>
      </c>
      <c r="BJ64" s="59">
        <f t="shared" si="38"/>
        <v>247.73814704672577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14.408940733340105</v>
      </c>
      <c r="BQ64" s="21">
        <f>EXP(-LN(2)/25)*BQ63+(1-EXP(-LN(2)/25))/(LN(2)/25)*Calculateur!BL64*Calculateur!BN64*VLOOKUP('Données projet'!$B$11,Paramètres!$A$1:$I$89,3,0)*0.475*44/12</f>
        <v>16.370495611847602</v>
      </c>
      <c r="BR64" s="21">
        <f>EXP(-LN(2)/2)*BR63+(1-EXP(-LN(2)/2))/(LN(2)/2)*BL64*BO64*VLOOKUP('Données projet'!$B$11,Paramètres!$A$1:$I$89,3,0)*0.475*44/12</f>
        <v>2.3350429524626768</v>
      </c>
      <c r="BS64" s="22">
        <f t="shared" si="9"/>
        <v>33.114479297650384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8.5662500000000001</v>
      </c>
      <c r="N65" s="13">
        <f>IF('Données projet'!$A$36&gt;35,N64+M65-V64,IF(A65&lt;'Données projet'!$A$36,$K$205^A65,IF(A65='Données projet'!$A$36,'Données projet'!$B$36,N64+M65-V64)))</f>
        <v>190.24875000000029</v>
      </c>
      <c r="O65" s="13">
        <f>N65*VLOOKUP('Données projet'!$B$9,Paramètres!$A$1:$I$89,3,0)*VLOOKUP('Données projet'!$B$9,Paramètres!$A$1:$I$89,5,0)</f>
        <v>172.13706900000025</v>
      </c>
      <c r="P65" s="13">
        <f t="shared" si="33"/>
        <v>43.5683073950158</v>
      </c>
      <c r="Q65" s="20">
        <f t="shared" si="53"/>
        <v>375.68686388798625</v>
      </c>
      <c r="R65" s="59">
        <f t="shared" si="0"/>
        <v>669.02019722131956</v>
      </c>
      <c r="S65" s="59">
        <f ca="1">AVERAGE(OFFSET($R$3,0,0,'Données projet'!$E$9+1,1))-AVERAGE(OFFSET($H$3,0,0,'Données projet'!$E$9+1,1))</f>
        <v>298.01613436147056</v>
      </c>
      <c r="T65" s="59">
        <f t="shared" si="34"/>
        <v>212.70221374431253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7.4826614321085065</v>
      </c>
      <c r="AA65" s="21">
        <f>EXP(-LN(2)/25)*AA64+(1-EXP(-LN(2)/25))/(LN(2)/25)*Calculateur!V65*Calculateur!X65*VLOOKUP('Données projet'!$B$9,Paramètres!$A$1:$I$89,3,0)*0.475*44/12</f>
        <v>32.434480843178278</v>
      </c>
      <c r="AB65" s="21">
        <f>EXP(-LN(2)/2)*AB64+(1-EXP(-LN(2)/2))/(LN(2)/2)*V65*Y65*VLOOKUP('Données projet'!$B$9,Paramètres!$A$1:$I$89,3,0)*0.475*44/12</f>
        <v>1.8017253464595528</v>
      </c>
      <c r="AC65" s="22">
        <f t="shared" si="3"/>
        <v>41.718867621746341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18.617142857142849</v>
      </c>
      <c r="AI65" s="13">
        <f>IF('Données projet'!$A$62&gt;35,AI64+AH65-AQ64,IF(A65&lt;'Données projet'!$A$62,$AF$205^A65,IF(A65='Données projet'!$A$62,'Données projet'!$B$62,AI64+AH65-AQ64)))</f>
        <v>551.06285714285741</v>
      </c>
      <c r="AJ65" s="13">
        <f>AI65*VLOOKUP('Données projet'!$B$10,Paramètres!$A$1:$I$89,3,0)*VLOOKUP('Données projet'!$B$10,Paramètres!$A$1:$I$89,5,0)</f>
        <v>308.04413714285727</v>
      </c>
      <c r="AK65" s="13">
        <f t="shared" si="35"/>
        <v>72.860217822174434</v>
      </c>
      <c r="AL65" s="20">
        <f t="shared" si="4"/>
        <v>663.40841823076346</v>
      </c>
      <c r="AM65" s="59">
        <f t="shared" si="5"/>
        <v>956.74175156409683</v>
      </c>
      <c r="AN65" s="59">
        <f ca="1">AVERAGE(OFFSET($AM$3,0,0,'Données projet'!$E$10+1,1))-AVERAGE(OFFSET($H$3,0,0,'Données projet'!$E$10+1,1))</f>
        <v>287.413090017863</v>
      </c>
      <c r="AO65" s="59">
        <f t="shared" si="36"/>
        <v>258.48456031927117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77.235907500334903</v>
      </c>
      <c r="AV65" s="21">
        <f>EXP(-LN(2)/25)*AV64+(1-EXP(-LN(2)/25))/(LN(2)/25)*Calculateur!AQ65*Calculateur!AS65*VLOOKUP('Données projet'!$B$10,Paramètres!$A$1:$I$89,3,0)*0.475*44/12</f>
        <v>27.975768252014561</v>
      </c>
      <c r="AW65" s="21">
        <f>EXP(-LN(2)/2)*AW64+(1-EXP(-LN(2)/2))/(LN(2)/2)*AQ65*AT65*VLOOKUP('Données projet'!$B$10,Paramètres!$A$1:$I$89,3,0)*0.475*44/12</f>
        <v>1.6690250264488731</v>
      </c>
      <c r="AX65" s="21">
        <f t="shared" si="6"/>
        <v>106.88070077879834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231.04223999999991</v>
      </c>
      <c r="BF65" s="13">
        <f t="shared" si="37"/>
        <v>56.507978852931409</v>
      </c>
      <c r="BG65" s="20">
        <f t="shared" si="7"/>
        <v>500.81663116885539</v>
      </c>
      <c r="BH65" s="59">
        <f t="shared" si="8"/>
        <v>794.14996450218871</v>
      </c>
      <c r="BI65" s="59">
        <f ca="1">AVERAGE(OFFSET($BH$3,0,0,'Données projet'!$E$11+1,1))-AVERAGE(OFFSET($H$3,0,0,'Données projet'!$E$11+1,1))</f>
        <v>243.33915530322201</v>
      </c>
      <c r="BJ65" s="59">
        <f t="shared" si="38"/>
        <v>247.73814704672577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14.126390194145351</v>
      </c>
      <c r="BQ65" s="21">
        <f>EXP(-LN(2)/25)*BQ64+(1-EXP(-LN(2)/25))/(LN(2)/25)*Calculateur!BL65*Calculateur!BN65*VLOOKUP('Données projet'!$B$11,Paramètres!$A$1:$I$89,3,0)*0.475*44/12</f>
        <v>15.922843548454681</v>
      </c>
      <c r="BR65" s="21">
        <f>EXP(-LN(2)/2)*BR64+(1-EXP(-LN(2)/2))/(LN(2)/2)*BL65*BO65*VLOOKUP('Données projet'!$B$11,Paramètres!$A$1:$I$89,3,0)*0.475*44/12</f>
        <v>1.6511247060482159</v>
      </c>
      <c r="BS65" s="22">
        <f t="shared" si="9"/>
        <v>31.700358448648245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8.5662500000000001</v>
      </c>
      <c r="N66" s="13">
        <f>IF('Données projet'!$A$36&gt;35,N65+M66-V65,IF(A66&lt;'Données projet'!$A$36,$K$205^A66,IF(A66='Données projet'!$A$36,'Données projet'!$B$36,N65+M66-V65)))</f>
        <v>198.81500000000028</v>
      </c>
      <c r="O66" s="13">
        <f>N66*VLOOKUP('Données projet'!$B$9,Paramètres!$A$1:$I$89,3,0)*VLOOKUP('Données projet'!$B$9,Paramètres!$A$1:$I$89,5,0)</f>
        <v>179.88781200000022</v>
      </c>
      <c r="P66" s="13">
        <f t="shared" si="33"/>
        <v>45.297225497901827</v>
      </c>
      <c r="Q66" s="20">
        <f t="shared" si="53"/>
        <v>392.19727364217937</v>
      </c>
      <c r="R66" s="59">
        <f t="shared" si="0"/>
        <v>685.53060697551268</v>
      </c>
      <c r="S66" s="59">
        <f ca="1">AVERAGE(OFFSET($R$3,0,0,'Données projet'!$E$9+1,1))-AVERAGE(OFFSET($H$3,0,0,'Données projet'!$E$9+1,1))</f>
        <v>298.01613436147056</v>
      </c>
      <c r="T66" s="59">
        <f t="shared" si="34"/>
        <v>212.70221374431253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7.3359310053976774</v>
      </c>
      <c r="AA66" s="21">
        <f>EXP(-LN(2)/25)*AA65+(1-EXP(-LN(2)/25))/(LN(2)/25)*Calculateur!V66*Calculateur!X66*VLOOKUP('Données projet'!$B$9,Paramètres!$A$1:$I$89,3,0)*0.475*44/12</f>
        <v>31.547558258866349</v>
      </c>
      <c r="AB66" s="21">
        <f>EXP(-LN(2)/2)*AB65+(1-EXP(-LN(2)/2))/(LN(2)/2)*V66*Y66*VLOOKUP('Données projet'!$B$9,Paramètres!$A$1:$I$89,3,0)*0.475*44/12</f>
        <v>1.2740122103172316</v>
      </c>
      <c r="AC66" s="22">
        <f t="shared" si="3"/>
        <v>40.15750147458126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569.67999999999995</v>
      </c>
      <c r="AG66" s="12">
        <f>VLOOKUP(A66,'Données projet'!$A$61:$I$81,9,0)</f>
        <v>18.617142857142849</v>
      </c>
      <c r="AH66" s="12">
        <f t="array" ref="AH66">INDEX(AG:AG,MIN(IF(ISNUMBER(AG66:AG262),ROW(AG66:AG262),"")))</f>
        <v>18.617142857142849</v>
      </c>
      <c r="AI66" s="13">
        <f>IF('Données projet'!$A$62&gt;35,AI65+AH66-AQ65,IF(A66&lt;'Données projet'!$A$62,$AF$205^A66,IF(A66='Données projet'!$A$62,'Données projet'!$B$62,AI65+AH66-AQ65)))</f>
        <v>569.68000000000029</v>
      </c>
      <c r="AJ66" s="13">
        <f>AI66*VLOOKUP('Données projet'!$B$10,Paramètres!$A$1:$I$89,3,0)*VLOOKUP('Données projet'!$B$10,Paramètres!$A$1:$I$89,5,0)</f>
        <v>318.45112000000017</v>
      </c>
      <c r="AK66" s="13">
        <f t="shared" si="35"/>
        <v>75.030988106995281</v>
      </c>
      <c r="AL66" s="20">
        <f t="shared" si="4"/>
        <v>685.31467161968374</v>
      </c>
      <c r="AM66" s="59">
        <f t="shared" si="5"/>
        <v>978.64800495301711</v>
      </c>
      <c r="AN66" s="59">
        <f ca="1">AVERAGE(OFFSET($AM$3,0,0,'Données projet'!$E$10+1,1))-AVERAGE(OFFSET($H$3,0,0,'Données projet'!$E$10+1,1))</f>
        <v>287.413090017863</v>
      </c>
      <c r="AO66" s="59">
        <f t="shared" si="36"/>
        <v>258.48456031927117</v>
      </c>
      <c r="AP66" s="15">
        <f>IF(ISNA(VLOOKUP(A66,'Données projet'!$A$61:$I$81,3,0)),0,VLOOKUP(A66,'Données projet'!$A$61:$I$81,3,0))</f>
        <v>7</v>
      </c>
      <c r="AQ66" s="15">
        <f>IF(ISNA(VLOOKUP(A66,'Données projet'!$A$61:$I$81,4,0)),0,VLOOKUP(A66,'Données projet'!$A$61:$I$81,4,0))</f>
        <v>99.599999999999966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100.09460843496048</v>
      </c>
      <c r="AV66" s="21">
        <f>EXP(-LN(2)/25)*AV65+(1-EXP(-LN(2)/25))/(LN(2)/25)*Calculateur!AQ66*Calculateur!AS66*VLOOKUP('Données projet'!$B$10,Paramètres!$A$1:$I$89,3,0)*0.475*44/12</f>
        <v>35.303197131108604</v>
      </c>
      <c r="AW66" s="21">
        <f>EXP(-LN(2)/2)*AW65+(1-EXP(-LN(2)/2))/(LN(2)/2)*AQ66*AT66*VLOOKUP('Données projet'!$B$10,Paramètres!$A$1:$I$89,3,0)*0.475*44/12</f>
        <v>13.787902572172555</v>
      </c>
      <c r="AX66" s="21">
        <f t="shared" si="6"/>
        <v>149.18570813824164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235.17935999999989</v>
      </c>
      <c r="BF66" s="13">
        <f t="shared" si="37"/>
        <v>57.401124668909425</v>
      </c>
      <c r="BG66" s="20">
        <f t="shared" si="7"/>
        <v>509.57767746501708</v>
      </c>
      <c r="BH66" s="59">
        <f t="shared" si="8"/>
        <v>802.91101079835039</v>
      </c>
      <c r="BI66" s="59">
        <f ca="1">AVERAGE(OFFSET($BH$3,0,0,'Données projet'!$E$11+1,1))-AVERAGE(OFFSET($H$3,0,0,'Données projet'!$E$11+1,1))</f>
        <v>243.33915530322201</v>
      </c>
      <c r="BJ66" s="59">
        <f t="shared" si="38"/>
        <v>247.73814704672577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13.849380298685395</v>
      </c>
      <c r="BQ66" s="21">
        <f>EXP(-LN(2)/25)*BQ65+(1-EXP(-LN(2)/25))/(LN(2)/25)*Calculateur!BL66*Calculateur!BN66*VLOOKUP('Données projet'!$B$11,Paramètres!$A$1:$I$89,3,0)*0.475*44/12</f>
        <v>15.487432554276237</v>
      </c>
      <c r="BR66" s="21">
        <f>EXP(-LN(2)/2)*BR65+(1-EXP(-LN(2)/2))/(LN(2)/2)*BL66*BO66*VLOOKUP('Données projet'!$B$11,Paramètres!$A$1:$I$89,3,0)*0.475*44/12</f>
        <v>1.1675214762313384</v>
      </c>
      <c r="BS66" s="22">
        <f t="shared" si="9"/>
        <v>30.504334329192972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8.5662500000000001</v>
      </c>
      <c r="N67" s="13">
        <f>IF('Données projet'!$A$36&gt;35,N66+M67-V66,IF(A67&lt;'Données projet'!$A$36,$K$205^A67,IF(A67='Données projet'!$A$36,'Données projet'!$B$36,N66+M67-V66)))</f>
        <v>207.38125000000028</v>
      </c>
      <c r="O67" s="13">
        <f>N67*VLOOKUP('Données projet'!$B$9,Paramètres!$A$1:$I$89,3,0)*VLOOKUP('Données projet'!$B$9,Paramètres!$A$1:$I$89,5,0)</f>
        <v>187.63855500000025</v>
      </c>
      <c r="P67" s="13">
        <f t="shared" si="33"/>
        <v>47.017491484907552</v>
      </c>
      <c r="Q67" s="20">
        <f t="shared" ref="Q67:Q98" si="54">(O67+P67)*0.475*44/12</f>
        <v>408.6926142945477</v>
      </c>
      <c r="R67" s="59">
        <f t="shared" ref="R67:R130" si="55">Q67+(I67+J67)*44/12</f>
        <v>702.02594762788101</v>
      </c>
      <c r="S67" s="59">
        <f ca="1">AVERAGE(OFFSET($R$3,0,0,'Données projet'!$E$9+1,1))-AVERAGE(OFFSET($H$3,0,0,'Données projet'!$E$9+1,1))</f>
        <v>298.01613436147056</v>
      </c>
      <c r="T67" s="59">
        <f t="shared" si="34"/>
        <v>212.70221374431253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7.192077872857924</v>
      </c>
      <c r="AA67" s="21">
        <f>EXP(-LN(2)/25)*AA66+(1-EXP(-LN(2)/25))/(LN(2)/25)*Calculateur!V67*Calculateur!X67*VLOOKUP('Données projet'!$B$9,Paramètres!$A$1:$I$89,3,0)*0.475*44/12</f>
        <v>30.684888619263663</v>
      </c>
      <c r="AB67" s="21">
        <f>EXP(-LN(2)/2)*AB66+(1-EXP(-LN(2)/2))/(LN(2)/2)*V67*Y67*VLOOKUP('Données projet'!$B$9,Paramètres!$A$1:$I$89,3,0)*0.475*44/12</f>
        <v>0.90086267322977642</v>
      </c>
      <c r="AC67" s="22">
        <f t="shared" si="3"/>
        <v>38.777829165351363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16.682857142857149</v>
      </c>
      <c r="AI67" s="13">
        <f>IF('Données projet'!$A$62&gt;35,AI66+AH67-AQ66,IF(A67&lt;'Données projet'!$A$62,$AF$205^A67,IF(A67='Données projet'!$A$62,'Données projet'!$B$62,AI66+AH67-AQ66)))</f>
        <v>486.76285714285751</v>
      </c>
      <c r="AJ67" s="13">
        <f>AI67*VLOOKUP('Données projet'!$B$10,Paramètres!$A$1:$I$89,3,0)*VLOOKUP('Données projet'!$B$10,Paramètres!$A$1:$I$89,5,0)</f>
        <v>272.10043714285734</v>
      </c>
      <c r="AK67" s="13">
        <f t="shared" si="35"/>
        <v>65.294833817604186</v>
      </c>
      <c r="AL67" s="20">
        <f t="shared" si="4"/>
        <v>587.63009692280377</v>
      </c>
      <c r="AM67" s="59">
        <f t="shared" si="5"/>
        <v>880.96343025613714</v>
      </c>
      <c r="AN67" s="59">
        <f ca="1">AVERAGE(OFFSET($AM$3,0,0,'Données projet'!$E$10+1,1))-AVERAGE(OFFSET($H$3,0,0,'Données projet'!$E$10+1,1))</f>
        <v>287.413090017863</v>
      </c>
      <c r="AO67" s="59">
        <f t="shared" si="36"/>
        <v>258.48456031927117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98.131814215233689</v>
      </c>
      <c r="AV67" s="21">
        <f>EXP(-LN(2)/25)*AV66+(1-EXP(-LN(2)/25))/(LN(2)/25)*Calculateur!AQ67*Calculateur!AS67*VLOOKUP('Données projet'!$B$10,Paramètres!$A$1:$I$89,3,0)*0.475*44/12</f>
        <v>34.337829349043986</v>
      </c>
      <c r="AW67" s="21">
        <f>EXP(-LN(2)/2)*AW66+(1-EXP(-LN(2)/2))/(LN(2)/2)*AQ67*AT67*VLOOKUP('Données projet'!$B$10,Paramètres!$A$1:$I$89,3,0)*0.475*44/12</f>
        <v>9.749519407122655</v>
      </c>
      <c r="AX67" s="21">
        <f t="shared" si="6"/>
        <v>142.21916297140032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239.3164799999999</v>
      </c>
      <c r="BF67" s="13">
        <f t="shared" si="37"/>
        <v>58.292443422481945</v>
      </c>
      <c r="BG67" s="20">
        <f t="shared" si="7"/>
        <v>518.33554162748919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243.33915530322201</v>
      </c>
      <c r="BJ67" s="59">
        <f t="shared" si="38"/>
        <v>247.73814704672577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13.577802398316056</v>
      </c>
      <c r="BQ67" s="21">
        <f>EXP(-LN(2)/25)*BQ66+(1-EXP(-LN(2)/25))/(LN(2)/25)*Calculateur!BL67*Calculateur!BN67*VLOOKUP('Données projet'!$B$11,Paramètres!$A$1:$I$89,3,0)*0.475*44/12</f>
        <v>15.063927896630872</v>
      </c>
      <c r="BR67" s="21">
        <f>EXP(-LN(2)/2)*BR66+(1-EXP(-LN(2)/2))/(LN(2)/2)*BL67*BO67*VLOOKUP('Données projet'!$B$11,Paramètres!$A$1:$I$89,3,0)*0.475*44/12</f>
        <v>0.82556235302410796</v>
      </c>
      <c r="BS67" s="22">
        <f t="shared" si="9"/>
        <v>29.467292647971036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8.5662500000000001</v>
      </c>
      <c r="N68" s="13">
        <f>IF('Données projet'!$A$36&gt;35,N67+M68-V67,IF(A68&lt;'Données projet'!$A$36,$K$205^A68,IF(A68='Données projet'!$A$36,'Données projet'!$B$36,N67+M68-V67)))</f>
        <v>215.94750000000028</v>
      </c>
      <c r="O68" s="13">
        <f>N68*VLOOKUP('Données projet'!$B$9,Paramètres!$A$1:$I$89,3,0)*VLOOKUP('Données projet'!$B$9,Paramètres!$A$1:$I$89,5,0)</f>
        <v>195.38929800000025</v>
      </c>
      <c r="P68" s="13">
        <f t="shared" si="33"/>
        <v>48.729503620609371</v>
      </c>
      <c r="Q68" s="20">
        <f t="shared" si="54"/>
        <v>425.17357948922836</v>
      </c>
      <c r="R68" s="59">
        <f t="shared" si="55"/>
        <v>718.50691282256162</v>
      </c>
      <c r="S68" s="59">
        <f ca="1">AVERAGE(OFFSET($R$3,0,0,'Données projet'!$E$9+1,1))-AVERAGE(OFFSET($H$3,0,0,'Données projet'!$E$9+1,1))</f>
        <v>298.01613436147056</v>
      </c>
      <c r="T68" s="59">
        <f t="shared" si="34"/>
        <v>212.70221374431253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7.0510456125055283</v>
      </c>
      <c r="AA68" s="21">
        <f>EXP(-LN(2)/25)*AA67+(1-EXP(-LN(2)/25))/(LN(2)/25)*Calculateur!V68*Calculateur!X68*VLOOKUP('Données projet'!$B$9,Paramètres!$A$1:$I$89,3,0)*0.475*44/12</f>
        <v>29.845808726321739</v>
      </c>
      <c r="AB68" s="21">
        <f>EXP(-LN(2)/2)*AB67+(1-EXP(-LN(2)/2))/(LN(2)/2)*V68*Y68*VLOOKUP('Données projet'!$B$9,Paramètres!$A$1:$I$89,3,0)*0.475*44/12</f>
        <v>0.63700610515861578</v>
      </c>
      <c r="AC68" s="22">
        <f t="shared" ref="AC68:AC131" si="57">SUM(Z68:AB68)</f>
        <v>37.533860443985887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16.682857142857149</v>
      </c>
      <c r="AI68" s="13">
        <f>IF('Données projet'!$A$62&gt;35,AI67+AH68-AQ67,IF(A68&lt;'Données projet'!$A$62,$AF$205^A68,IF(A68='Données projet'!$A$62,'Données projet'!$B$62,AI67+AH68-AQ67)))</f>
        <v>503.44571428571464</v>
      </c>
      <c r="AJ68" s="13">
        <f>AI68*VLOOKUP('Données projet'!$B$10,Paramètres!$A$1:$I$89,3,0)*VLOOKUP('Données projet'!$B$10,Paramètres!$A$1:$I$89,5,0)</f>
        <v>281.42615428571452</v>
      </c>
      <c r="AK68" s="13">
        <f t="shared" si="35"/>
        <v>67.268307105467983</v>
      </c>
      <c r="AL68" s="20">
        <f t="shared" ref="AL68:AL131" si="58">(AJ68+AK68)*0.475*44/12</f>
        <v>607.30952025630938</v>
      </c>
      <c r="AM68" s="59">
        <f t="shared" ref="AM68:AM131" si="59">AL68+(AD68+AE68)*44/12</f>
        <v>900.64285358964275</v>
      </c>
      <c r="AN68" s="59">
        <f ca="1">AVERAGE(OFFSET($AM$3,0,0,'Données projet'!$E$10+1,1))-AVERAGE(OFFSET($H$3,0,0,'Données projet'!$E$10+1,1))</f>
        <v>287.413090017863</v>
      </c>
      <c r="AO68" s="59">
        <f t="shared" si="36"/>
        <v>258.48456031927117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96.207509192969482</v>
      </c>
      <c r="AV68" s="21">
        <f>EXP(-LN(2)/25)*AV67+(1-EXP(-LN(2)/25))/(LN(2)/25)*Calculateur!AQ68*Calculateur!AS68*VLOOKUP('Données projet'!$B$10,Paramètres!$A$1:$I$89,3,0)*0.475*44/12</f>
        <v>33.398859599746416</v>
      </c>
      <c r="AW68" s="21">
        <f>EXP(-LN(2)/2)*AW67+(1-EXP(-LN(2)/2))/(LN(2)/2)*AQ68*AT68*VLOOKUP('Données projet'!$B$10,Paramètres!$A$1:$I$89,3,0)*0.475*44/12</f>
        <v>6.8939512860862786</v>
      </c>
      <c r="AX68" s="21">
        <f t="shared" ref="AX68:AX131" si="60">SUM(AU68:AW68)</f>
        <v>136.50032007880219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243.45359999999988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243.33915530322201</v>
      </c>
      <c r="BJ68" s="59">
        <f t="shared" si="38"/>
        <v>247.73814704672577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14.826509797916721</v>
      </c>
      <c r="BQ68" s="21">
        <f>EXP(-LN(2)/25)*BQ67+(1-EXP(-LN(2)/25))/(LN(2)/25)*Calculateur!BL68*Calculateur!BN68*VLOOKUP('Données projet'!$B$11,Paramètres!$A$1:$I$89,3,0)*0.475*44/12</f>
        <v>16.160998845041828</v>
      </c>
      <c r="BR68" s="21">
        <f>EXP(-LN(2)/2)*BR67+(1-EXP(-LN(2)/2))/(LN(2)/2)*BL68*BO68*VLOOKUP('Données projet'!$B$11,Paramètres!$A$1:$I$89,3,0)*0.475*44/12</f>
        <v>3.0234382812108214</v>
      </c>
      <c r="BS68" s="22">
        <f t="shared" ref="BS68:BS131" si="63">SUM(BP68:BR68)</f>
        <v>34.010946924169367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8.5662500000000001</v>
      </c>
      <c r="N69" s="13">
        <f>IF('Données projet'!$A$36&gt;35,N68+M69-V68,IF(A69&lt;'Données projet'!$A$36,$K$205^A69,IF(A69='Données projet'!$A$36,'Données projet'!$B$36,N68+M69-V68)))</f>
        <v>224.51375000000027</v>
      </c>
      <c r="O69" s="13">
        <f>N69*VLOOKUP('Données projet'!$B$9,Paramètres!$A$1:$I$89,3,0)*VLOOKUP('Données projet'!$B$9,Paramètres!$A$1:$I$89,5,0)</f>
        <v>203.14004100000022</v>
      </c>
      <c r="P69" s="13">
        <f t="shared" ref="P69:P132" si="87">EXP(-1.0587+0.8836*LN(O69)+0.284)</f>
        <v>50.433626784032469</v>
      </c>
      <c r="Q69" s="20">
        <f t="shared" si="54"/>
        <v>441.64080472385695</v>
      </c>
      <c r="R69" s="59">
        <f t="shared" si="55"/>
        <v>734.9741380571902</v>
      </c>
      <c r="S69" s="59">
        <f ca="1">AVERAGE(OFFSET($R$3,0,0,'Données projet'!$E$9+1,1))-AVERAGE(OFFSET($H$3,0,0,'Données projet'!$E$9+1,1))</f>
        <v>298.01613436147056</v>
      </c>
      <c r="T69" s="59">
        <f t="shared" ref="T69:T132" si="88">$T$3</f>
        <v>212.70221374431253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6.912778908757458</v>
      </c>
      <c r="AA69" s="21">
        <f>EXP(-LN(2)/25)*AA68+(1-EXP(-LN(2)/25))/(LN(2)/25)*Calculateur!V69*Calculateur!X69*VLOOKUP('Données projet'!$B$9,Paramètres!$A$1:$I$89,3,0)*0.475*44/12</f>
        <v>29.029673517177603</v>
      </c>
      <c r="AB69" s="21">
        <f>EXP(-LN(2)/2)*AB68+(1-EXP(-LN(2)/2))/(LN(2)/2)*V69*Y69*VLOOKUP('Données projet'!$B$9,Paramètres!$A$1:$I$89,3,0)*0.475*44/12</f>
        <v>0.45043133661488821</v>
      </c>
      <c r="AC69" s="22">
        <f t="shared" si="57"/>
        <v>36.39288376254995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16.682857142857149</v>
      </c>
      <c r="AI69" s="13">
        <f>IF('Données projet'!$A$62&gt;35,AI68+AH69-AQ68,IF(A69&lt;'Données projet'!$A$62,$AF$205^A69,IF(A69='Données projet'!$A$62,'Données projet'!$B$62,AI68+AH69-AQ68)))</f>
        <v>520.12857142857183</v>
      </c>
      <c r="AJ69" s="13">
        <f>AI69*VLOOKUP('Données projet'!$B$10,Paramètres!$A$1:$I$89,3,0)*VLOOKUP('Données projet'!$B$10,Paramètres!$A$1:$I$89,5,0)</f>
        <v>290.75187142857169</v>
      </c>
      <c r="AK69" s="13">
        <f t="shared" ref="AK69:AK132" si="89">EXP(-1.0587+0.8836*LN(AJ69)+0.284)</f>
        <v>69.23418152913365</v>
      </c>
      <c r="AL69" s="20">
        <f t="shared" si="58"/>
        <v>626.97570890133682</v>
      </c>
      <c r="AM69" s="59">
        <f t="shared" si="59"/>
        <v>920.30904223467019</v>
      </c>
      <c r="AN69" s="59">
        <f ca="1">AVERAGE(OFFSET($AM$3,0,0,'Données projet'!$E$10+1,1))-AVERAGE(OFFSET($H$3,0,0,'Données projet'!$E$10+1,1))</f>
        <v>287.413090017863</v>
      </c>
      <c r="AO69" s="59">
        <f t="shared" ref="AO69:AO132" si="90">$AO$3</f>
        <v>258.48456031927117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94.320938618481705</v>
      </c>
      <c r="AV69" s="21">
        <f>EXP(-LN(2)/25)*AV68+(1-EXP(-LN(2)/25))/(LN(2)/25)*Calculateur!AQ69*Calculateur!AS69*VLOOKUP('Données projet'!$B$10,Paramètres!$A$1:$I$89,3,0)*0.475*44/12</f>
        <v>32.485566027621658</v>
      </c>
      <c r="AW69" s="21">
        <f>EXP(-LN(2)/2)*AW68+(1-EXP(-LN(2)/2))/(LN(2)/2)*AQ69*AT69*VLOOKUP('Données projet'!$B$10,Paramètres!$A$1:$I$89,3,0)*0.475*44/12</f>
        <v>4.8747597035613284</v>
      </c>
      <c r="AX69" s="21">
        <f t="shared" si="60"/>
        <v>131.6812643496647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236.7705599999999</v>
      </c>
      <c r="BF69" s="13">
        <f t="shared" ref="BF69:BF132" si="91">EXP(-1.0587+0.8836*LN(BE69)+0.284)</f>
        <v>57.744153841586879</v>
      </c>
      <c r="BG69" s="20">
        <f t="shared" si="61"/>
        <v>512.9464599407637</v>
      </c>
      <c r="BH69" s="59">
        <f t="shared" si="62"/>
        <v>806.27979327409707</v>
      </c>
      <c r="BI69" s="59">
        <f ca="1">AVERAGE(OFFSET($BH$3,0,0,'Données projet'!$E$11+1,1))-AVERAGE(OFFSET($H$3,0,0,'Données projet'!$E$11+1,1))</f>
        <v>243.33915530322201</v>
      </c>
      <c r="BJ69" s="59">
        <f t="shared" ref="BJ69:BJ132" si="92">$BJ$3</f>
        <v>247.73814704672577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14.535770984057601</v>
      </c>
      <c r="BQ69" s="21">
        <f>EXP(-LN(2)/25)*BQ68+(1-EXP(-LN(2)/25))/(LN(2)/25)*Calculateur!BL69*Calculateur!BN69*VLOOKUP('Données projet'!$B$11,Paramètres!$A$1:$I$89,3,0)*0.475*44/12</f>
        <v>15.719075481754166</v>
      </c>
      <c r="BR69" s="21">
        <f>EXP(-LN(2)/2)*BR68+(1-EXP(-LN(2)/2))/(LN(2)/2)*BL69*BO69*VLOOKUP('Données projet'!$B$11,Paramètres!$A$1:$I$89,3,0)*0.475*44/12</f>
        <v>2.1378937111431719</v>
      </c>
      <c r="BS69" s="22">
        <f t="shared" si="63"/>
        <v>32.392740176954938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233.08</v>
      </c>
      <c r="L70" s="12">
        <f>VLOOKUP(A70,'Données projet'!$A$35:$I$55,9,0)</f>
        <v>8.5662500000000001</v>
      </c>
      <c r="M70" s="12">
        <f t="array" ref="M70">INDEX(L:L,MIN(IF(ISNUMBER(L70:L266),ROW(L70:L266),"")))</f>
        <v>8.5662500000000001</v>
      </c>
      <c r="N70" s="13">
        <f>IF('Données projet'!$A$36&gt;35,N69+M70-V69,IF(A70&lt;'Données projet'!$A$36,$K$205^A70,IF(A70='Données projet'!$A$36,'Données projet'!$B$36,N69+M70-V69)))</f>
        <v>233.08000000000027</v>
      </c>
      <c r="O70" s="13">
        <f>N70*VLOOKUP('Données projet'!$B$9,Paramètres!$A$1:$I$89,3,0)*VLOOKUP('Données projet'!$B$9,Paramètres!$A$1:$I$89,5,0)</f>
        <v>210.89078400000022</v>
      </c>
      <c r="P70" s="13">
        <f t="shared" si="87"/>
        <v>52.130196433530017</v>
      </c>
      <c r="Q70" s="20">
        <f t="shared" si="54"/>
        <v>458.09487425506512</v>
      </c>
      <c r="R70" s="59">
        <f t="shared" si="55"/>
        <v>751.42820758839844</v>
      </c>
      <c r="S70" s="59">
        <f ca="1">AVERAGE(OFFSET($R$3,0,0,'Données projet'!$E$9+1,1))-AVERAGE(OFFSET($H$3,0,0,'Données projet'!$E$9+1,1))</f>
        <v>298.01613436147056</v>
      </c>
      <c r="T70" s="59">
        <f t="shared" si="88"/>
        <v>212.70221374431253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44.170000000000016</v>
      </c>
      <c r="W70" s="16">
        <f>IF(ISNA(VLOOKUP(A70,'Données projet'!$A$35:$I$55,5,0)),0%,VLOOKUP(A70,'Données projet'!$A$35:$I$55,5,0)*VLOOKUP('Données projet'!$B$9,Paramètres!$A$1:$I$89,7,0))</f>
        <v>0.15049999999999999</v>
      </c>
      <c r="X70" s="16">
        <f>IF(ISNA(VLOOKUP(A70,'Données projet'!$A$35:$I$55,6,0)),0%,VLOOKUP(A70,'Données projet'!$A$35:$I$55,6,0)*VLOOKUP('Données projet'!$B$9,Paramètres!$A$1:$I$89,7,0))</f>
        <v>8.6000000000000007E-2</v>
      </c>
      <c r="Y70" s="16">
        <f>IF(ISNA(VLOOKUP(A70,'Données projet'!$A$35:$I$55,7,0)),0%,VLOOKUP(A70,'Données projet'!$A$35:$I$55,7,0))</f>
        <v>0.1</v>
      </c>
      <c r="Z70" s="21">
        <f>EXP(-LN(2)/35)*Z69+(1-EXP(-LN(2)/35))/(LN(2)/35)*V70*W70*VLOOKUP('Données projet'!$B$9,Paramètres!$A$1:$I$89,3,0)*0.475*44/12</f>
        <v>13.426334812272373</v>
      </c>
      <c r="AA70" s="21">
        <f>EXP(-LN(2)/25)*AA69+(1-EXP(-LN(2)/25))/(LN(2)/25)*Calculateur!V70*Calculateur!X70*VLOOKUP('Données projet'!$B$9,Paramètres!$A$1:$I$89,3,0)*0.475*44/12</f>
        <v>32.020387680767008</v>
      </c>
      <c r="AB70" s="21">
        <f>EXP(-LN(2)/2)*AB69+(1-EXP(-LN(2)/2))/(LN(2)/2)*V70*Y70*VLOOKUP('Données projet'!$B$9,Paramètres!$A$1:$I$89,3,0)*0.475*44/12</f>
        <v>4.0893098764428064</v>
      </c>
      <c r="AC70" s="22">
        <f t="shared" si="57"/>
        <v>49.536032369482186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16.682857142857149</v>
      </c>
      <c r="AI70" s="13">
        <f>IF('Données projet'!$A$62&gt;35,AI69+AH70-AQ69,IF(A70&lt;'Données projet'!$A$62,$AF$205^A70,IF(A70='Données projet'!$A$62,'Données projet'!$B$62,AI69+AH70-AQ69)))</f>
        <v>536.81142857142902</v>
      </c>
      <c r="AJ70" s="13">
        <f>AI70*VLOOKUP('Données projet'!$B$10,Paramètres!$A$1:$I$89,3,0)*VLOOKUP('Données projet'!$B$10,Paramètres!$A$1:$I$89,5,0)</f>
        <v>300.07758857142881</v>
      </c>
      <c r="AK70" s="13">
        <f t="shared" si="89"/>
        <v>71.19272877566128</v>
      </c>
      <c r="AL70" s="20">
        <f t="shared" si="58"/>
        <v>646.62913604618188</v>
      </c>
      <c r="AM70" s="59">
        <f t="shared" si="59"/>
        <v>939.96246937951514</v>
      </c>
      <c r="AN70" s="59">
        <f ca="1">AVERAGE(OFFSET($AM$3,0,0,'Données projet'!$E$10+1,1))-AVERAGE(OFFSET($H$3,0,0,'Données projet'!$E$10+1,1))</f>
        <v>287.413090017863</v>
      </c>
      <c r="AO70" s="59">
        <f t="shared" si="90"/>
        <v>258.48456031927117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92.471362542265211</v>
      </c>
      <c r="AV70" s="21">
        <f>EXP(-LN(2)/25)*AV69+(1-EXP(-LN(2)/25))/(LN(2)/25)*Calculateur!AQ70*Calculateur!AS70*VLOOKUP('Données projet'!$B$10,Paramètres!$A$1:$I$89,3,0)*0.475*44/12</f>
        <v>31.597246516254675</v>
      </c>
      <c r="AW70" s="21">
        <f>EXP(-LN(2)/2)*AW69+(1-EXP(-LN(2)/2))/(LN(2)/2)*AQ70*AT70*VLOOKUP('Données projet'!$B$10,Paramètres!$A$1:$I$89,3,0)*0.475*44/12</f>
        <v>3.4469756430431397</v>
      </c>
      <c r="AX70" s="21">
        <f t="shared" si="60"/>
        <v>127.51558470156303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240.43031999999991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243.33915530322201</v>
      </c>
      <c r="BJ70" s="59">
        <f t="shared" si="92"/>
        <v>247.73814704672577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14.250733381005093</v>
      </c>
      <c r="BQ70" s="21">
        <f>EXP(-LN(2)/25)*BQ69+(1-EXP(-LN(2)/25))/(LN(2)/25)*Calculateur!BL70*Calculateur!BN70*VLOOKUP('Données projet'!$B$11,Paramètres!$A$1:$I$89,3,0)*0.475*44/12</f>
        <v>15.289236536075345</v>
      </c>
      <c r="BR70" s="21">
        <f>EXP(-LN(2)/2)*BR69+(1-EXP(-LN(2)/2))/(LN(2)/2)*BL70*BO70*VLOOKUP('Données projet'!$B$11,Paramètres!$A$1:$I$89,3,0)*0.475*44/12</f>
        <v>1.5117191406054111</v>
      </c>
      <c r="BS70" s="22">
        <f t="shared" si="63"/>
        <v>31.051689057685849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8.2474999999999987</v>
      </c>
      <c r="N71" s="13">
        <f>IF('Données projet'!$A$36&gt;35,N70+M71-V70,IF(A71&lt;'Données projet'!$A$36,$K$205^A71,IF(A71='Données projet'!$A$36,'Données projet'!$B$36,N70+M71-V70)))</f>
        <v>197.15750000000025</v>
      </c>
      <c r="O71" s="13">
        <f>N71*VLOOKUP('Données projet'!$B$9,Paramètres!$A$1:$I$89,3,0)*VLOOKUP('Données projet'!$B$9,Paramètres!$A$1:$I$89,5,0)</f>
        <v>178.38810600000022</v>
      </c>
      <c r="P71" s="13">
        <f t="shared" si="87"/>
        <v>44.96338191961236</v>
      </c>
      <c r="Q71" s="20">
        <f t="shared" si="54"/>
        <v>389.00384145999186</v>
      </c>
      <c r="R71" s="59">
        <f t="shared" si="55"/>
        <v>682.33717479332518</v>
      </c>
      <c r="S71" s="59">
        <f ca="1">AVERAGE(OFFSET($R$3,0,0,'Données projet'!$E$9+1,1))-AVERAGE(OFFSET($H$3,0,0,'Données projet'!$E$9+1,1))</f>
        <v>298.01613436147056</v>
      </c>
      <c r="T71" s="59">
        <f t="shared" si="88"/>
        <v>212.70221374431253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13.163052575859325</v>
      </c>
      <c r="AA71" s="21">
        <f>EXP(-LN(2)/25)*AA70+(1-EXP(-LN(2)/25))/(LN(2)/25)*Calculateur!V71*Calculateur!X71*VLOOKUP('Données projet'!$B$9,Paramètres!$A$1:$I$89,3,0)*0.475*44/12</f>
        <v>31.144788495757432</v>
      </c>
      <c r="AB71" s="21">
        <f>EXP(-LN(2)/2)*AB70+(1-EXP(-LN(2)/2))/(LN(2)/2)*V71*Y71*VLOOKUP('Données projet'!$B$9,Paramètres!$A$1:$I$89,3,0)*0.475*44/12</f>
        <v>2.8915787440058316</v>
      </c>
      <c r="AC71" s="22">
        <f t="shared" si="57"/>
        <v>47.199419815622591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16.682857142857149</v>
      </c>
      <c r="AI71" s="13">
        <f>IF('Données projet'!$A$62&gt;35,AI70+AH71-AQ70,IF(A71&lt;'Données projet'!$A$62,$AF$205^A71,IF(A71='Données projet'!$A$62,'Données projet'!$B$62,AI70+AH71-AQ70)))</f>
        <v>553.49428571428621</v>
      </c>
      <c r="AJ71" s="13">
        <f>AI71*VLOOKUP('Données projet'!$B$10,Paramètres!$A$1:$I$89,3,0)*VLOOKUP('Données projet'!$B$10,Paramètres!$A$1:$I$89,5,0)</f>
        <v>309.40330571428598</v>
      </c>
      <c r="AK71" s="13">
        <f t="shared" si="89"/>
        <v>73.144202686055834</v>
      </c>
      <c r="AL71" s="20">
        <f t="shared" si="58"/>
        <v>666.27024379726197</v>
      </c>
      <c r="AM71" s="59">
        <f t="shared" si="59"/>
        <v>959.60357713059534</v>
      </c>
      <c r="AN71" s="59">
        <f ca="1">AVERAGE(OFFSET($AM$3,0,0,'Données projet'!$E$10+1,1))-AVERAGE(OFFSET($H$3,0,0,'Données projet'!$E$10+1,1))</f>
        <v>287.413090017863</v>
      </c>
      <c r="AO71" s="59">
        <f t="shared" si="90"/>
        <v>258.48456031927117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90.658055524773317</v>
      </c>
      <c r="AV71" s="21">
        <f>EXP(-LN(2)/25)*AV70+(1-EXP(-LN(2)/25))/(LN(2)/25)*Calculateur!AQ71*Calculateur!AS71*VLOOKUP('Données projet'!$B$10,Paramètres!$A$1:$I$89,3,0)*0.475*44/12</f>
        <v>30.733218148640713</v>
      </c>
      <c r="AW71" s="21">
        <f>EXP(-LN(2)/2)*AW70+(1-EXP(-LN(2)/2))/(LN(2)/2)*AQ71*AT71*VLOOKUP('Données projet'!$B$10,Paramètres!$A$1:$I$89,3,0)*0.475*44/12</f>
        <v>2.4373798517806646</v>
      </c>
      <c r="AX71" s="21">
        <f t="shared" si="60"/>
        <v>123.8286535251947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244.09007999999994</v>
      </c>
      <c r="BF71" s="13">
        <f t="shared" si="91"/>
        <v>59.318663780863893</v>
      </c>
      <c r="BG71" s="20">
        <f t="shared" si="61"/>
        <v>528.43689541833794</v>
      </c>
      <c r="BH71" s="59">
        <f t="shared" si="62"/>
        <v>821.77022875167131</v>
      </c>
      <c r="BI71" s="59">
        <f ca="1">AVERAGE(OFFSET($BH$3,0,0,'Données projet'!$E$11+1,1))-AVERAGE(OFFSET($H$3,0,0,'Données projet'!$E$11+1,1))</f>
        <v>243.33915530322201</v>
      </c>
      <c r="BJ71" s="59">
        <f t="shared" si="92"/>
        <v>247.73814704672577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13.971285191492672</v>
      </c>
      <c r="BQ71" s="21">
        <f>EXP(-LN(2)/25)*BQ70+(1-EXP(-LN(2)/25))/(LN(2)/25)*Calculateur!BL71*Calculateur!BN71*VLOOKUP('Données projet'!$B$11,Paramètres!$A$1:$I$89,3,0)*0.475*44/12</f>
        <v>14.871151558970359</v>
      </c>
      <c r="BR71" s="21">
        <f>EXP(-LN(2)/2)*BR70+(1-EXP(-LN(2)/2))/(LN(2)/2)*BL71*BO71*VLOOKUP('Données projet'!$B$11,Paramètres!$A$1:$I$89,3,0)*0.475*44/12</f>
        <v>1.0689468555715862</v>
      </c>
      <c r="BS71" s="22">
        <f t="shared" si="63"/>
        <v>29.911383606034615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8.2474999999999987</v>
      </c>
      <c r="N72" s="13">
        <f>IF('Données projet'!$A$36&gt;35,N71+M72-V71,IF(A72&lt;'Données projet'!$A$36,$K$205^A72,IF(A72='Données projet'!$A$36,'Données projet'!$B$36,N71+M72-V71)))</f>
        <v>205.40500000000026</v>
      </c>
      <c r="O72" s="13">
        <f>N72*VLOOKUP('Données projet'!$B$9,Paramètres!$A$1:$I$89,3,0)*VLOOKUP('Données projet'!$B$9,Paramètres!$A$1:$I$89,5,0)</f>
        <v>185.85044400000024</v>
      </c>
      <c r="P72" s="13">
        <f t="shared" si="87"/>
        <v>46.621369253856919</v>
      </c>
      <c r="Q72" s="20">
        <f t="shared" si="54"/>
        <v>404.88840808380127</v>
      </c>
      <c r="R72" s="59">
        <f t="shared" si="55"/>
        <v>698.22174141713458</v>
      </c>
      <c r="S72" s="59">
        <f ca="1">AVERAGE(OFFSET($R$3,0,0,'Données projet'!$E$9+1,1))-AVERAGE(OFFSET($H$3,0,0,'Données projet'!$E$9+1,1))</f>
        <v>298.01613436147056</v>
      </c>
      <c r="T72" s="59">
        <f t="shared" si="88"/>
        <v>212.70221374431253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12.904933143516029</v>
      </c>
      <c r="AA72" s="21">
        <f>EXP(-LN(2)/25)*AA71+(1-EXP(-LN(2)/25))/(LN(2)/25)*Calculateur!V72*Calculateur!X72*VLOOKUP('Données projet'!$B$9,Paramètres!$A$1:$I$89,3,0)*0.475*44/12</f>
        <v>30.293132616507702</v>
      </c>
      <c r="AB72" s="21">
        <f>EXP(-LN(2)/2)*AB71+(1-EXP(-LN(2)/2))/(LN(2)/2)*V72*Y72*VLOOKUP('Données projet'!$B$9,Paramètres!$A$1:$I$89,3,0)*0.475*44/12</f>
        <v>2.0446549382214037</v>
      </c>
      <c r="AC72" s="22">
        <f t="shared" si="57"/>
        <v>45.242720698245137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16.682857142857149</v>
      </c>
      <c r="AI72" s="13">
        <f>IF('Données projet'!$A$62&gt;35,AI71+AH72-AQ71,IF(A72&lt;'Données projet'!$A$62,$AF$205^A72,IF(A72='Données projet'!$A$62,'Données projet'!$B$62,AI71+AH72-AQ71)))</f>
        <v>570.17714285714339</v>
      </c>
      <c r="AJ72" s="13">
        <f>AI72*VLOOKUP('Données projet'!$B$10,Paramètres!$A$1:$I$89,3,0)*VLOOKUP('Données projet'!$B$10,Paramètres!$A$1:$I$89,5,0)</f>
        <v>318.72902285714315</v>
      </c>
      <c r="AK72" s="13">
        <f t="shared" si="89"/>
        <v>75.088840929664514</v>
      </c>
      <c r="AL72" s="20">
        <f t="shared" si="58"/>
        <v>685.89944609535667</v>
      </c>
      <c r="AM72" s="59">
        <f t="shared" si="59"/>
        <v>979.23277942869004</v>
      </c>
      <c r="AN72" s="59">
        <f ca="1">AVERAGE(OFFSET($AM$3,0,0,'Données projet'!$E$10+1,1))-AVERAGE(OFFSET($H$3,0,0,'Données projet'!$E$10+1,1))</f>
        <v>287.413090017863</v>
      </c>
      <c r="AO72" s="59">
        <f t="shared" si="90"/>
        <v>258.48456031927117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88.880306351886361</v>
      </c>
      <c r="AV72" s="21">
        <f>EXP(-LN(2)/25)*AV71+(1-EXP(-LN(2)/25))/(LN(2)/25)*Calculateur!AQ72*Calculateur!AS72*VLOOKUP('Données projet'!$B$10,Paramètres!$A$1:$I$89,3,0)*0.475*44/12</f>
        <v>29.892816682176431</v>
      </c>
      <c r="AW72" s="21">
        <f>EXP(-LN(2)/2)*AW71+(1-EXP(-LN(2)/2))/(LN(2)/2)*AQ72*AT72*VLOOKUP('Données projet'!$B$10,Paramètres!$A$1:$I$89,3,0)*0.475*44/12</f>
        <v>1.7234878215215701</v>
      </c>
      <c r="AX72" s="21">
        <f t="shared" si="60"/>
        <v>120.49661085558436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247.74983999999995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243.33915530322201</v>
      </c>
      <c r="BJ72" s="59">
        <f t="shared" si="92"/>
        <v>247.73814704672577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13.697316810530026</v>
      </c>
      <c r="BQ72" s="21">
        <f>EXP(-LN(2)/25)*BQ71+(1-EXP(-LN(2)/25))/(LN(2)/25)*Calculateur!BL72*Calculateur!BN72*VLOOKUP('Données projet'!$B$11,Paramètres!$A$1:$I$89,3,0)*0.475*44/12</f>
        <v>14.464499137550442</v>
      </c>
      <c r="BR72" s="21">
        <f>EXP(-LN(2)/2)*BR71+(1-EXP(-LN(2)/2))/(LN(2)/2)*BL72*BO72*VLOOKUP('Données projet'!$B$11,Paramètres!$A$1:$I$89,3,0)*0.475*44/12</f>
        <v>0.75585957030270567</v>
      </c>
      <c r="BS72" s="22">
        <f t="shared" si="63"/>
        <v>28.917675518383174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8.2474999999999987</v>
      </c>
      <c r="N73" s="13">
        <f>IF('Données projet'!$A$36&gt;35,N72+M73-V72,IF(A73&lt;'Données projet'!$A$36,$K$205^A73,IF(A73='Données projet'!$A$36,'Données projet'!$B$36,N72+M73-V72)))</f>
        <v>213.65250000000026</v>
      </c>
      <c r="O73" s="13">
        <f>N73*VLOOKUP('Données projet'!$B$9,Paramètres!$A$1:$I$89,3,0)*VLOOKUP('Données projet'!$B$9,Paramètres!$A$1:$I$89,5,0)</f>
        <v>193.31278200000023</v>
      </c>
      <c r="P73" s="13">
        <f t="shared" si="87"/>
        <v>48.271623476583684</v>
      </c>
      <c r="Q73" s="20">
        <f t="shared" si="54"/>
        <v>420.75950620505029</v>
      </c>
      <c r="R73" s="59">
        <f t="shared" si="55"/>
        <v>714.0928395383836</v>
      </c>
      <c r="S73" s="59">
        <f ca="1">AVERAGE(OFFSET($R$3,0,0,'Données projet'!$E$9+1,1))-AVERAGE(OFFSET($H$3,0,0,'Données projet'!$E$9+1,1))</f>
        <v>298.01613436147056</v>
      </c>
      <c r="T73" s="59">
        <f t="shared" si="88"/>
        <v>212.70221374431253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12.651875275803677</v>
      </c>
      <c r="AA73" s="21">
        <f>EXP(-LN(2)/25)*AA72+(1-EXP(-LN(2)/25))/(LN(2)/25)*Calculateur!V73*Calculateur!X73*VLOOKUP('Données projet'!$B$9,Paramètres!$A$1:$I$89,3,0)*0.475*44/12</f>
        <v>29.464765312062688</v>
      </c>
      <c r="AB73" s="21">
        <f>EXP(-LN(2)/2)*AB72+(1-EXP(-LN(2)/2))/(LN(2)/2)*V73*Y73*VLOOKUP('Données projet'!$B$9,Paramètres!$A$1:$I$89,3,0)*0.475*44/12</f>
        <v>1.445789372002916</v>
      </c>
      <c r="AC73" s="22">
        <f t="shared" si="57"/>
        <v>43.562429959869277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586.86</v>
      </c>
      <c r="AG73" s="12">
        <f>VLOOKUP(A73,'Données projet'!$A$61:$I$81,9,0)</f>
        <v>16.682857142857149</v>
      </c>
      <c r="AH73" s="12">
        <f t="array" ref="AH73">INDEX(AG:AG,MIN(IF(ISNUMBER(AG73:AG269),ROW(AG73:AG269),"")))</f>
        <v>16.682857142857149</v>
      </c>
      <c r="AI73" s="13">
        <f>IF('Données projet'!$A$62&gt;35,AI72+AH73-AQ72,IF(A73&lt;'Données projet'!$A$62,$AF$205^A73,IF(A73='Données projet'!$A$62,'Données projet'!$B$62,AI72+AH73-AQ72)))</f>
        <v>586.86000000000058</v>
      </c>
      <c r="AJ73" s="13">
        <f>AI73*VLOOKUP('Données projet'!$B$10,Paramètres!$A$1:$I$89,3,0)*VLOOKUP('Données projet'!$B$10,Paramètres!$A$1:$I$89,5,0)</f>
        <v>328.05474000000032</v>
      </c>
      <c r="AK73" s="13">
        <f t="shared" si="89"/>
        <v>77.026866477102189</v>
      </c>
      <c r="AL73" s="20">
        <f t="shared" si="58"/>
        <v>705.51713128095355</v>
      </c>
      <c r="AM73" s="59">
        <f t="shared" si="59"/>
        <v>998.85046461428692</v>
      </c>
      <c r="AN73" s="59">
        <f ca="1">AVERAGE(OFFSET($AM$3,0,0,'Données projet'!$E$10+1,1))-AVERAGE(OFFSET($H$3,0,0,'Données projet'!$E$10+1,1))</f>
        <v>287.413090017863</v>
      </c>
      <c r="AO73" s="59">
        <f t="shared" si="90"/>
        <v>258.48456031927117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586.86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230.74871773837151</v>
      </c>
      <c r="AV73" s="21">
        <f>EXP(-LN(2)/25)*AV72+(1-EXP(-LN(2)/25))/(LN(2)/25)*Calculateur!AQ73*Calculateur!AS73*VLOOKUP('Données projet'!$B$10,Paramètres!$A$1:$I$89,3,0)*0.475*44/12</f>
        <v>76.757345229402674</v>
      </c>
      <c r="AW73" s="21">
        <f>EXP(-LN(2)/2)*AW72+(1-EXP(-LN(2)/2))/(LN(2)/2)*AQ73*AT73*VLOOKUP('Données projet'!$B$10,Paramètres!$A$1:$I$89,3,0)*0.475*44/12</f>
        <v>75.505524322819824</v>
      </c>
      <c r="AX73" s="21">
        <f t="shared" si="60"/>
        <v>383.01158729059404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251.40959999999995</v>
      </c>
      <c r="BF73" s="13">
        <f t="shared" si="91"/>
        <v>60.887686632376123</v>
      </c>
      <c r="BG73" s="20">
        <f t="shared" si="61"/>
        <v>543.917774218055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243.33915530322201</v>
      </c>
      <c r="BJ73" s="59">
        <f t="shared" si="92"/>
        <v>247.73814704672577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14.94368060540377</v>
      </c>
      <c r="BQ73" s="21">
        <f>EXP(-LN(2)/25)*BQ72+(1-EXP(-LN(2)/25))/(LN(2)/25)*Calculateur!BL73*Calculateur!BN73*VLOOKUP('Données projet'!$B$11,Paramètres!$A$1:$I$89,3,0)*0.475*44/12</f>
        <v>15.57796149690104</v>
      </c>
      <c r="BR73" s="21">
        <f>EXP(-LN(2)/2)*BR72+(1-EXP(-LN(2)/2))/(LN(2)/2)*BL73*BO73*VLOOKUP('Données projet'!$B$11,Paramètres!$A$1:$I$89,3,0)*0.475*44/12</f>
        <v>2.9741509708809453</v>
      </c>
      <c r="BS73" s="22">
        <f t="shared" si="63"/>
        <v>33.495793073185752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8.2474999999999987</v>
      </c>
      <c r="N74" s="13">
        <f>IF('Données projet'!$A$36&gt;35,N73+M74-V73,IF(A74&lt;'Données projet'!$A$36,$K$205^A74,IF(A74='Données projet'!$A$36,'Données projet'!$B$36,N73+M74-V73)))</f>
        <v>221.90000000000026</v>
      </c>
      <c r="O74" s="13">
        <f>N74*VLOOKUP('Données projet'!$B$9,Paramètres!$A$1:$I$89,3,0)*VLOOKUP('Données projet'!$B$9,Paramètres!$A$1:$I$89,5,0)</f>
        <v>200.77512000000021</v>
      </c>
      <c r="P74" s="13">
        <f t="shared" si="87"/>
        <v>49.914477272475111</v>
      </c>
      <c r="Q74" s="20">
        <f t="shared" si="54"/>
        <v>436.61771524956117</v>
      </c>
      <c r="R74" s="59">
        <f t="shared" si="55"/>
        <v>729.95104858289449</v>
      </c>
      <c r="S74" s="59">
        <f ca="1">AVERAGE(OFFSET($R$3,0,0,'Données projet'!$E$9+1,1))-AVERAGE(OFFSET($H$3,0,0,'Données projet'!$E$9+1,1))</f>
        <v>298.01613436147056</v>
      </c>
      <c r="T74" s="59">
        <f t="shared" si="88"/>
        <v>212.70221374431253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12.403779718527106</v>
      </c>
      <c r="AA74" s="21">
        <f>EXP(-LN(2)/25)*AA73+(1-EXP(-LN(2)/25))/(LN(2)/25)*Calculateur!V74*Calculateur!X74*VLOOKUP('Données projet'!$B$9,Paramètres!$A$1:$I$89,3,0)*0.475*44/12</f>
        <v>28.659049755119668</v>
      </c>
      <c r="AB74" s="21">
        <f>EXP(-LN(2)/2)*AB73+(1-EXP(-LN(2)/2))/(LN(2)/2)*V74*Y74*VLOOKUP('Données projet'!$B$9,Paramètres!$A$1:$I$89,3,0)*0.475*44/12</f>
        <v>1.022327469110702</v>
      </c>
      <c r="AC74" s="22">
        <f t="shared" si="57"/>
        <v>42.085156942757472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5.6843418860808015E-13</v>
      </c>
      <c r="AJ74" s="13">
        <f>AI74*VLOOKUP('Données projet'!$B$10,Paramètres!$A$1:$I$89,3,0)*VLOOKUP('Données projet'!$B$10,Paramètres!$A$1:$I$89,5,0)</f>
        <v>3.177547114319168E-13</v>
      </c>
      <c r="AK74" s="13">
        <f t="shared" si="89"/>
        <v>4.1725404435445377E-12</v>
      </c>
      <c r="AL74" s="20">
        <f t="shared" si="58"/>
        <v>7.820597394917325E-12</v>
      </c>
      <c r="AM74" s="59">
        <f t="shared" si="59"/>
        <v>293.33333333334116</v>
      </c>
      <c r="AN74" s="59">
        <f ca="1">AVERAGE(OFFSET($AM$3,0,0,'Données projet'!$E$10+1,1))-AVERAGE(OFFSET($H$3,0,0,'Données projet'!$E$10+1,1))</f>
        <v>287.413090017863</v>
      </c>
      <c r="AO74" s="59">
        <f t="shared" si="90"/>
        <v>258.48456031927117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226.22387612634267</v>
      </c>
      <c r="AV74" s="21">
        <f>EXP(-LN(2)/25)*AV73+(1-EXP(-LN(2)/25))/(LN(2)/25)*Calculateur!AQ74*Calculateur!AS74*VLOOKUP('Données projet'!$B$10,Paramètres!$A$1:$I$89,3,0)*0.475*44/12</f>
        <v>74.658411587611297</v>
      </c>
      <c r="AW74" s="21">
        <f>EXP(-LN(2)/2)*AW73+(1-EXP(-LN(2)/2))/(LN(2)/2)*AQ74*AT74*VLOOKUP('Données projet'!$B$10,Paramètres!$A$1:$I$89,3,0)*0.475*44/12</f>
        <v>53.390468265711704</v>
      </c>
      <c r="AX74" s="21">
        <f t="shared" si="60"/>
        <v>354.2727559796657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244.40831999999995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243.33915530322201</v>
      </c>
      <c r="BJ74" s="59">
        <f t="shared" si="92"/>
        <v>247.73814704672577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14.650644143476965</v>
      </c>
      <c r="BQ74" s="21">
        <f>EXP(-LN(2)/25)*BQ73+(1-EXP(-LN(2)/25))/(LN(2)/25)*Calculateur!BL74*Calculateur!BN74*VLOOKUP('Données projet'!$B$11,Paramètres!$A$1:$I$89,3,0)*0.475*44/12</f>
        <v>15.151981320558889</v>
      </c>
      <c r="BR74" s="21">
        <f>EXP(-LN(2)/2)*BR73+(1-EXP(-LN(2)/2))/(LN(2)/2)*BL74*BO74*VLOOKUP('Données projet'!$B$11,Paramètres!$A$1:$I$89,3,0)*0.475*44/12</f>
        <v>2.1030423197824706</v>
      </c>
      <c r="BS74" s="22">
        <f t="shared" si="63"/>
        <v>31.905667783818327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8.2474999999999987</v>
      </c>
      <c r="N75" s="13">
        <f>IF('Données projet'!$A$36&gt;35,N74+M75-V74,IF(A75&lt;'Données projet'!$A$36,$K$205^A75,IF(A75='Données projet'!$A$36,'Données projet'!$B$36,N74+M75-V74)))</f>
        <v>230.14750000000026</v>
      </c>
      <c r="O75" s="13">
        <f>N75*VLOOKUP('Données projet'!$B$9,Paramètres!$A$1:$I$89,3,0)*VLOOKUP('Données projet'!$B$9,Paramètres!$A$1:$I$89,5,0)</f>
        <v>208.2374580000002</v>
      </c>
      <c r="P75" s="13">
        <f t="shared" si="87"/>
        <v>51.550237194862532</v>
      </c>
      <c r="Q75" s="20">
        <f t="shared" si="54"/>
        <v>452.46356913105257</v>
      </c>
      <c r="R75" s="59">
        <f t="shared" si="55"/>
        <v>745.79690246438588</v>
      </c>
      <c r="S75" s="59">
        <f ca="1">AVERAGE(OFFSET($R$3,0,0,'Données projet'!$E$9+1,1))-AVERAGE(OFFSET($H$3,0,0,'Données projet'!$E$9+1,1))</f>
        <v>298.01613436147056</v>
      </c>
      <c r="T75" s="59">
        <f t="shared" si="88"/>
        <v>212.70221374431253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12.160549163805381</v>
      </c>
      <c r="AA75" s="21">
        <f>EXP(-LN(2)/25)*AA74+(1-EXP(-LN(2)/25))/(LN(2)/25)*Calculateur!V75*Calculateur!X75*VLOOKUP('Données projet'!$B$9,Paramètres!$A$1:$I$89,3,0)*0.475*44/12</f>
        <v>27.875366532451995</v>
      </c>
      <c r="AB75" s="21">
        <f>EXP(-LN(2)/2)*AB74+(1-EXP(-LN(2)/2))/(LN(2)/2)*V75*Y75*VLOOKUP('Données projet'!$B$9,Paramètres!$A$1:$I$89,3,0)*0.475*44/12</f>
        <v>0.72289468600145812</v>
      </c>
      <c r="AC75" s="22">
        <f t="shared" si="57"/>
        <v>40.758810382258837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5.6843418860808015E-13</v>
      </c>
      <c r="AJ75" s="13">
        <f>AI75*VLOOKUP('Données projet'!$B$10,Paramètres!$A$1:$I$89,3,0)*VLOOKUP('Données projet'!$B$10,Paramètres!$A$1:$I$89,5,0)</f>
        <v>3.177547114319168E-13</v>
      </c>
      <c r="AK75" s="13">
        <f t="shared" si="89"/>
        <v>4.1725404435445377E-12</v>
      </c>
      <c r="AL75" s="20">
        <f t="shared" si="58"/>
        <v>7.820597394917325E-12</v>
      </c>
      <c r="AM75" s="59">
        <f t="shared" si="59"/>
        <v>293.33333333334116</v>
      </c>
      <c r="AN75" s="59">
        <f ca="1">AVERAGE(OFFSET($AM$3,0,0,'Données projet'!$E$10+1,1))-AVERAGE(OFFSET($H$3,0,0,'Données projet'!$E$10+1,1))</f>
        <v>287.413090017863</v>
      </c>
      <c r="AO75" s="59">
        <f t="shared" si="90"/>
        <v>258.48456031927117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221.78776389844484</v>
      </c>
      <c r="AV75" s="21">
        <f>EXP(-LN(2)/25)*AV74+(1-EXP(-LN(2)/25))/(LN(2)/25)*Calculateur!AQ75*Calculateur!AS75*VLOOKUP('Données projet'!$B$10,Paramètres!$A$1:$I$89,3,0)*0.475*44/12</f>
        <v>72.61687339663284</v>
      </c>
      <c r="AW75" s="21">
        <f>EXP(-LN(2)/2)*AW74+(1-EXP(-LN(2)/2))/(LN(2)/2)*AQ75*AT75*VLOOKUP('Données projet'!$B$10,Paramètres!$A$1:$I$89,3,0)*0.475*44/12</f>
        <v>37.752762161409919</v>
      </c>
      <c r="AX75" s="21">
        <f t="shared" si="60"/>
        <v>332.15739945648761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247.74983999999995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243.33915530322201</v>
      </c>
      <c r="BJ75" s="59">
        <f t="shared" si="92"/>
        <v>247.73814704672577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14.363353947833952</v>
      </c>
      <c r="BQ75" s="21">
        <f>EXP(-LN(2)/25)*BQ74+(1-EXP(-LN(2)/25))/(LN(2)/25)*Calculateur!BL75*Calculateur!BN75*VLOOKUP('Données projet'!$B$11,Paramètres!$A$1:$I$89,3,0)*0.475*44/12</f>
        <v>14.737649594540139</v>
      </c>
      <c r="BR75" s="21">
        <f>EXP(-LN(2)/2)*BR74+(1-EXP(-LN(2)/2))/(LN(2)/2)*BL75*BO75*VLOOKUP('Données projet'!$B$11,Paramètres!$A$1:$I$89,3,0)*0.475*44/12</f>
        <v>1.4870754854404729</v>
      </c>
      <c r="BS75" s="22">
        <f t="shared" si="63"/>
        <v>30.588079027814565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8.2474999999999987</v>
      </c>
      <c r="N76" s="13">
        <f>IF('Données projet'!$A$36&gt;35,N75+M76-V75,IF(A76&lt;'Données projet'!$A$36,$K$205^A76,IF(A76='Données projet'!$A$36,'Données projet'!$B$36,N75+M76-V75)))</f>
        <v>238.39500000000027</v>
      </c>
      <c r="O76" s="13">
        <f>N76*VLOOKUP('Données projet'!$B$9,Paramètres!$A$1:$I$89,3,0)*VLOOKUP('Données projet'!$B$9,Paramètres!$A$1:$I$89,5,0)</f>
        <v>215.69979600000025</v>
      </c>
      <c r="P76" s="13">
        <f t="shared" si="87"/>
        <v>53.179186580516586</v>
      </c>
      <c r="Q76" s="20">
        <f t="shared" si="54"/>
        <v>468.29756132773349</v>
      </c>
      <c r="R76" s="59">
        <f t="shared" si="55"/>
        <v>761.6308946610668</v>
      </c>
      <c r="S76" s="59">
        <f ca="1">AVERAGE(OFFSET($R$3,0,0,'Données projet'!$E$9+1,1))-AVERAGE(OFFSET($H$3,0,0,'Données projet'!$E$9+1,1))</f>
        <v>298.01613436147056</v>
      </c>
      <c r="T76" s="59">
        <f t="shared" si="88"/>
        <v>212.70221374431253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11.922088211905759</v>
      </c>
      <c r="AA76" s="21">
        <f>EXP(-LN(2)/25)*AA75+(1-EXP(-LN(2)/25))/(LN(2)/25)*Calculateur!V76*Calculateur!X76*VLOOKUP('Données projet'!$B$9,Paramètres!$A$1:$I$89,3,0)*0.475*44/12</f>
        <v>27.113113168720279</v>
      </c>
      <c r="AB76" s="21">
        <f>EXP(-LN(2)/2)*AB75+(1-EXP(-LN(2)/2))/(LN(2)/2)*V76*Y76*VLOOKUP('Données projet'!$B$9,Paramètres!$A$1:$I$89,3,0)*0.475*44/12</f>
        <v>0.51116373455535102</v>
      </c>
      <c r="AC76" s="22">
        <f t="shared" si="57"/>
        <v>39.546365115181388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5.6843418860808015E-13</v>
      </c>
      <c r="AJ76" s="13">
        <f>AI76*VLOOKUP('Données projet'!$B$10,Paramètres!$A$1:$I$89,3,0)*VLOOKUP('Données projet'!$B$10,Paramètres!$A$1:$I$89,5,0)</f>
        <v>3.177547114319168E-13</v>
      </c>
      <c r="AK76" s="13">
        <f t="shared" si="89"/>
        <v>4.1725404435445377E-12</v>
      </c>
      <c r="AL76" s="20">
        <f t="shared" si="58"/>
        <v>7.820597394917325E-12</v>
      </c>
      <c r="AM76" s="59">
        <f t="shared" si="59"/>
        <v>293.33333333334116</v>
      </c>
      <c r="AN76" s="59">
        <f ca="1">AVERAGE(OFFSET($AM$3,0,0,'Données projet'!$E$10+1,1))-AVERAGE(OFFSET($H$3,0,0,'Données projet'!$E$10+1,1))</f>
        <v>287.413090017863</v>
      </c>
      <c r="AO76" s="59">
        <f t="shared" si="90"/>
        <v>258.48456031927117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217.4386411255748</v>
      </c>
      <c r="AV76" s="21">
        <f>EXP(-LN(2)/25)*AV75+(1-EXP(-LN(2)/25))/(LN(2)/25)*Calculateur!AQ76*Calculateur!AS76*VLOOKUP('Données projet'!$B$10,Paramètres!$A$1:$I$89,3,0)*0.475*44/12</f>
        <v>70.631161174846511</v>
      </c>
      <c r="AW76" s="21">
        <f>EXP(-LN(2)/2)*AW75+(1-EXP(-LN(2)/2))/(LN(2)/2)*AQ76*AT76*VLOOKUP('Données projet'!$B$10,Paramètres!$A$1:$I$89,3,0)*0.475*44/12</f>
        <v>26.695234132855855</v>
      </c>
      <c r="AX76" s="21">
        <f t="shared" si="60"/>
        <v>314.76503643327715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251.09135999999995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243.33915530322201</v>
      </c>
      <c r="BJ76" s="59">
        <f t="shared" si="92"/>
        <v>247.73814704672577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14.081697337697781</v>
      </c>
      <c r="BQ76" s="21">
        <f>EXP(-LN(2)/25)*BQ75+(1-EXP(-LN(2)/25))/(LN(2)/25)*Calculateur!BL76*Calculateur!BN76*VLOOKUP('Données projet'!$B$11,Paramètres!$A$1:$I$89,3,0)*0.475*44/12</f>
        <v>14.33464779135813</v>
      </c>
      <c r="BR76" s="21">
        <f>EXP(-LN(2)/2)*BR75+(1-EXP(-LN(2)/2))/(LN(2)/2)*BL76*BO76*VLOOKUP('Données projet'!$B$11,Paramètres!$A$1:$I$89,3,0)*0.475*44/12</f>
        <v>1.0515211598912355</v>
      </c>
      <c r="BS76" s="22">
        <f t="shared" si="63"/>
        <v>29.46786628894715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8.2474999999999987</v>
      </c>
      <c r="N77" s="13">
        <f>IF('Données projet'!$A$36&gt;35,N76+M77-V76,IF(A77&lt;'Données projet'!$A$36,$K$205^A77,IF(A77='Données projet'!$A$36,'Données projet'!$B$36,N76+M77-V76)))</f>
        <v>246.64250000000027</v>
      </c>
      <c r="O77" s="13">
        <f>N77*VLOOKUP('Données projet'!$B$9,Paramètres!$A$1:$I$89,3,0)*VLOOKUP('Données projet'!$B$9,Paramètres!$A$1:$I$89,5,0)</f>
        <v>223.16213400000024</v>
      </c>
      <c r="P77" s="13">
        <f t="shared" si="87"/>
        <v>54.801588049746073</v>
      </c>
      <c r="Q77" s="20">
        <f t="shared" si="54"/>
        <v>484.12014923664145</v>
      </c>
      <c r="R77" s="59">
        <f t="shared" si="55"/>
        <v>777.45348256997477</v>
      </c>
      <c r="S77" s="59">
        <f ca="1">AVERAGE(OFFSET($R$3,0,0,'Données projet'!$E$9+1,1))-AVERAGE(OFFSET($H$3,0,0,'Données projet'!$E$9+1,1))</f>
        <v>298.01613436147056</v>
      </c>
      <c r="T77" s="59">
        <f t="shared" si="88"/>
        <v>212.70221374431253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11.68830333382607</v>
      </c>
      <c r="AA77" s="21">
        <f>EXP(-LN(2)/25)*AA76+(1-EXP(-LN(2)/25))/(LN(2)/25)*Calculateur!V77*Calculateur!X77*VLOOKUP('Données projet'!$B$9,Paramètres!$A$1:$I$89,3,0)*0.475*44/12</f>
        <v>26.37170366330497</v>
      </c>
      <c r="AB77" s="21">
        <f>EXP(-LN(2)/2)*AB76+(1-EXP(-LN(2)/2))/(LN(2)/2)*V77*Y77*VLOOKUP('Données projet'!$B$9,Paramètres!$A$1:$I$89,3,0)*0.475*44/12</f>
        <v>0.36144734300072906</v>
      </c>
      <c r="AC77" s="22">
        <f t="shared" si="57"/>
        <v>38.421454340131767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5.6843418860808015E-13</v>
      </c>
      <c r="AJ77" s="13">
        <f>AI77*VLOOKUP('Données projet'!$B$10,Paramètres!$A$1:$I$89,3,0)*VLOOKUP('Données projet'!$B$10,Paramètres!$A$1:$I$89,5,0)</f>
        <v>3.177547114319168E-13</v>
      </c>
      <c r="AK77" s="13">
        <f t="shared" si="89"/>
        <v>4.1725404435445377E-12</v>
      </c>
      <c r="AL77" s="20">
        <f t="shared" si="58"/>
        <v>7.820597394917325E-12</v>
      </c>
      <c r="AM77" s="59">
        <f t="shared" si="59"/>
        <v>293.33333333334116</v>
      </c>
      <c r="AN77" s="59">
        <f ca="1">AVERAGE(OFFSET($AM$3,0,0,'Données projet'!$E$10+1,1))-AVERAGE(OFFSET($H$3,0,0,'Données projet'!$E$10+1,1))</f>
        <v>287.413090017863</v>
      </c>
      <c r="AO77" s="59">
        <f t="shared" si="90"/>
        <v>258.48456031927117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213.17480199757779</v>
      </c>
      <c r="AV77" s="21">
        <f>EXP(-LN(2)/25)*AV76+(1-EXP(-LN(2)/25))/(LN(2)/25)*Calculateur!AQ77*Calculateur!AS77*VLOOKUP('Données projet'!$B$10,Paramètres!$A$1:$I$89,3,0)*0.475*44/12</f>
        <v>68.699748358188998</v>
      </c>
      <c r="AW77" s="21">
        <f>EXP(-LN(2)/2)*AW76+(1-EXP(-LN(2)/2))/(LN(2)/2)*AQ77*AT77*VLOOKUP('Données projet'!$B$10,Paramètres!$A$1:$I$89,3,0)*0.475*44/12</f>
        <v>18.876381080704963</v>
      </c>
      <c r="AX77" s="21">
        <f t="shared" si="60"/>
        <v>300.75093143647177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254.43287999999995</v>
      </c>
      <c r="BF77" s="13">
        <f t="shared" si="91"/>
        <v>61.534202204620392</v>
      </c>
      <c r="BG77" s="20">
        <f t="shared" si="61"/>
        <v>550.30933483971376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243.33915530322201</v>
      </c>
      <c r="BJ77" s="59">
        <f t="shared" si="92"/>
        <v>247.73814704672577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13.805563841892811</v>
      </c>
      <c r="BQ77" s="21">
        <f>EXP(-LN(2)/25)*BQ76+(1-EXP(-LN(2)/25))/(LN(2)/25)*Calculateur!BL77*Calculateur!BN77*VLOOKUP('Données projet'!$B$11,Paramètres!$A$1:$I$89,3,0)*0.475*44/12</f>
        <v>13.942666093677076</v>
      </c>
      <c r="BR77" s="21">
        <f>EXP(-LN(2)/2)*BR76+(1-EXP(-LN(2)/2))/(LN(2)/2)*BL77*BO77*VLOOKUP('Données projet'!$B$11,Paramètres!$A$1:$I$89,3,0)*0.475*44/12</f>
        <v>0.74353774272023654</v>
      </c>
      <c r="BS77" s="22">
        <f t="shared" si="63"/>
        <v>28.491767678290124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254.89</v>
      </c>
      <c r="L78" s="12">
        <f>VLOOKUP(A78,'Données projet'!$A$35:$I$55,9,0)</f>
        <v>8.2474999999999987</v>
      </c>
      <c r="M78" s="12">
        <f t="array" ref="M78">INDEX(L:L,MIN(IF(ISNUMBER(L78:L274),ROW(L78:L274),"")))</f>
        <v>8.2474999999999987</v>
      </c>
      <c r="N78" s="13">
        <f>IF('Données projet'!$A$36&gt;35,N77+M78-V77,IF(A78&lt;'Données projet'!$A$36,$K$205^A78,IF(A78='Données projet'!$A$36,'Données projet'!$B$36,N77+M78-V77)))</f>
        <v>254.89000000000027</v>
      </c>
      <c r="O78" s="13">
        <f>N78*VLOOKUP('Données projet'!$B$9,Paramètres!$A$1:$I$89,3,0)*VLOOKUP('Données projet'!$B$9,Paramètres!$A$1:$I$89,5,0)</f>
        <v>230.62447200000022</v>
      </c>
      <c r="P78" s="13">
        <f t="shared" si="87"/>
        <v>56.417685662698347</v>
      </c>
      <c r="Q78" s="20">
        <f t="shared" si="54"/>
        <v>499.93175792920005</v>
      </c>
      <c r="R78" s="59">
        <f t="shared" si="55"/>
        <v>793.26509126253336</v>
      </c>
      <c r="S78" s="59">
        <f ca="1">AVERAGE(OFFSET($R$3,0,0,'Données projet'!$E$9+1,1))-AVERAGE(OFFSET($H$3,0,0,'Données projet'!$E$9+1,1))</f>
        <v>298.01613436147056</v>
      </c>
      <c r="T78" s="59">
        <f t="shared" si="88"/>
        <v>212.70221374431253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43.289999999999992</v>
      </c>
      <c r="W78" s="16">
        <f>IF(ISNA(VLOOKUP(A78,'Données projet'!$A$35:$I$55,5,0)),0%,VLOOKUP(A78,'Données projet'!$A$35:$I$55,5,0)*VLOOKUP('Données projet'!$B$9,Paramètres!$A$1:$I$89,7,0))</f>
        <v>0.15049999999999999</v>
      </c>
      <c r="X78" s="16">
        <f>IF(ISNA(VLOOKUP(A78,'Données projet'!$A$35:$I$55,6,0)),0%,VLOOKUP(A78,'Données projet'!$A$35:$I$55,6,0)*VLOOKUP('Données projet'!$B$9,Paramètres!$A$1:$I$89,7,0))</f>
        <v>8.6000000000000007E-2</v>
      </c>
      <c r="Y78" s="16">
        <f>IF(ISNA(VLOOKUP(A78,'Données projet'!$A$35:$I$55,7,0)),0%,VLOOKUP(A78,'Données projet'!$A$35:$I$55,7,0))</f>
        <v>0.1</v>
      </c>
      <c r="Z78" s="21">
        <f>EXP(-LN(2)/35)*Z77+(1-EXP(-LN(2)/35))/(LN(2)/35)*V78*W78*VLOOKUP('Données projet'!$B$9,Paramètres!$A$1:$I$89,3,0)*0.475*44/12</f>
        <v>17.975743708002948</v>
      </c>
      <c r="AA78" s="21">
        <f>EXP(-LN(2)/25)*AA77+(1-EXP(-LN(2)/25))/(LN(2)/25)*Calculateur!V78*Calculateur!X78*VLOOKUP('Données projet'!$B$9,Paramètres!$A$1:$I$89,3,0)*0.475*44/12</f>
        <v>29.359700825654979</v>
      </c>
      <c r="AB78" s="21">
        <f>EXP(-LN(2)/2)*AB77+(1-EXP(-LN(2)/2))/(LN(2)/2)*V78*Y78*VLOOKUP('Données projet'!$B$9,Paramètres!$A$1:$I$89,3,0)*0.475*44/12</f>
        <v>3.9512628137356964</v>
      </c>
      <c r="AC78" s="22">
        <f t="shared" si="57"/>
        <v>51.286707347393623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5.6843418860808015E-13</v>
      </c>
      <c r="AJ78" s="13">
        <f>AI78*VLOOKUP('Données projet'!$B$10,Paramètres!$A$1:$I$89,3,0)*VLOOKUP('Données projet'!$B$10,Paramètres!$A$1:$I$89,5,0)</f>
        <v>3.177547114319168E-13</v>
      </c>
      <c r="AK78" s="13">
        <f t="shared" si="89"/>
        <v>4.1725404435445377E-12</v>
      </c>
      <c r="AL78" s="20">
        <f t="shared" si="58"/>
        <v>7.820597394917325E-12</v>
      </c>
      <c r="AM78" s="59">
        <f t="shared" si="59"/>
        <v>293.33333333334116</v>
      </c>
      <c r="AN78" s="59">
        <f ca="1">AVERAGE(OFFSET($AM$3,0,0,'Données projet'!$E$10+1,1))-AVERAGE(OFFSET($H$3,0,0,'Données projet'!$E$10+1,1))</f>
        <v>287.413090017863</v>
      </c>
      <c r="AO78" s="59">
        <f t="shared" si="90"/>
        <v>258.48456031927117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208.99457415419573</v>
      </c>
      <c r="AV78" s="21">
        <f>EXP(-LN(2)/25)*AV77+(1-EXP(-LN(2)/25))/(LN(2)/25)*Calculateur!AQ78*Calculateur!AS78*VLOOKUP('Données projet'!$B$10,Paramètres!$A$1:$I$89,3,0)*0.475*44/12</f>
        <v>66.821150126571567</v>
      </c>
      <c r="AW78" s="21">
        <f>EXP(-LN(2)/2)*AW77+(1-EXP(-LN(2)/2))/(LN(2)/2)*AQ78*AT78*VLOOKUP('Données projet'!$B$10,Paramètres!$A$1:$I$89,3,0)*0.475*44/12</f>
        <v>13.347617066427931</v>
      </c>
      <c r="AX78" s="21">
        <f t="shared" si="60"/>
        <v>289.16334134719523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257.77439999999996</v>
      </c>
      <c r="BF78" s="13">
        <f t="shared" si="91"/>
        <v>62.247732872134293</v>
      </c>
      <c r="BG78" s="20">
        <f t="shared" si="61"/>
        <v>557.37188141896718</v>
      </c>
      <c r="BH78" s="59">
        <f t="shared" si="62"/>
        <v>850.70521475230044</v>
      </c>
      <c r="BI78" s="59">
        <f ca="1">AVERAGE(OFFSET($BH$3,0,0,'Données projet'!$E$11+1,1))-AVERAGE(OFFSET($H$3,0,0,'Données projet'!$E$11+1,1))</f>
        <v>243.33915530322201</v>
      </c>
      <c r="BJ78" s="59">
        <f t="shared" si="92"/>
        <v>247.73814704672577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14.933269607506475</v>
      </c>
      <c r="BQ78" s="21">
        <f>EXP(-LN(2)/25)*BQ77+(1-EXP(-LN(2)/25))/(LN(2)/25)*Calculateur!BL78*Calculateur!BN78*VLOOKUP('Données projet'!$B$11,Paramètres!$A$1:$I$89,3,0)*0.475*44/12</f>
        <v>14.954321478214256</v>
      </c>
      <c r="BR78" s="21">
        <f>EXP(-LN(2)/2)*BR77+(1-EXP(-LN(2)/2))/(LN(2)/2)*BL78*BO78*VLOOKUP('Données projet'!$B$11,Paramètres!$A$1:$I$89,3,0)*0.475*44/12</f>
        <v>2.7777706197257581</v>
      </c>
      <c r="BS78" s="22">
        <f t="shared" si="63"/>
        <v>32.665361705446486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8.0188888888888883</v>
      </c>
      <c r="N79" s="13">
        <f>IF('Données projet'!$A$36&gt;35,N78+M79-V78,IF(A79&lt;'Données projet'!$A$36,$K$205^A79,IF(A79='Données projet'!$A$36,'Données projet'!$B$36,N78+M79-V78)))</f>
        <v>219.61888888888919</v>
      </c>
      <c r="O79" s="13">
        <f>N79*VLOOKUP('Données projet'!$B$9,Paramètres!$A$1:$I$89,3,0)*VLOOKUP('Données projet'!$B$9,Paramètres!$A$1:$I$89,5,0)</f>
        <v>198.71117066666693</v>
      </c>
      <c r="P79" s="13">
        <f t="shared" si="87"/>
        <v>49.460815560173565</v>
      </c>
      <c r="Q79" s="20">
        <f t="shared" si="54"/>
        <v>432.23287601174712</v>
      </c>
      <c r="R79" s="59">
        <f t="shared" si="55"/>
        <v>725.56620934508044</v>
      </c>
      <c r="S79" s="59">
        <f ca="1">AVERAGE(OFFSET($R$3,0,0,'Données projet'!$E$9+1,1))-AVERAGE(OFFSET($H$3,0,0,'Données projet'!$E$9+1,1))</f>
        <v>298.01613436147056</v>
      </c>
      <c r="T79" s="59">
        <f t="shared" si="88"/>
        <v>212.70221374431253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17.623250338010056</v>
      </c>
      <c r="AA79" s="21">
        <f>EXP(-LN(2)/25)*AA78+(1-EXP(-LN(2)/25))/(LN(2)/25)*Calculateur!V79*Calculateur!X79*VLOOKUP('Données projet'!$B$9,Paramètres!$A$1:$I$89,3,0)*0.475*44/12</f>
        <v>28.55685826261788</v>
      </c>
      <c r="AB79" s="21">
        <f>EXP(-LN(2)/2)*AB78+(1-EXP(-LN(2)/2))/(LN(2)/2)*V79*Y79*VLOOKUP('Données projet'!$B$9,Paramètres!$A$1:$I$89,3,0)*0.475*44/12</f>
        <v>2.7939647298427492</v>
      </c>
      <c r="AC79" s="22">
        <f t="shared" si="57"/>
        <v>48.974073330470681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5.6843418860808015E-13</v>
      </c>
      <c r="AJ79" s="13">
        <f>AI79*VLOOKUP('Données projet'!$B$10,Paramètres!$A$1:$I$89,3,0)*VLOOKUP('Données projet'!$B$10,Paramètres!$A$1:$I$89,5,0)</f>
        <v>3.177547114319168E-13</v>
      </c>
      <c r="AK79" s="13">
        <f t="shared" si="89"/>
        <v>4.1725404435445377E-12</v>
      </c>
      <c r="AL79" s="20">
        <f t="shared" si="58"/>
        <v>7.820597394917325E-12</v>
      </c>
      <c r="AM79" s="59">
        <f t="shared" si="59"/>
        <v>293.33333333334116</v>
      </c>
      <c r="AN79" s="59">
        <f ca="1">AVERAGE(OFFSET($AM$3,0,0,'Données projet'!$E$10+1,1))-AVERAGE(OFFSET($H$3,0,0,'Données projet'!$E$10+1,1))</f>
        <v>287.413090017863</v>
      </c>
      <c r="AO79" s="59">
        <f t="shared" si="90"/>
        <v>258.48456031927117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204.89631802913516</v>
      </c>
      <c r="AV79" s="21">
        <f>EXP(-LN(2)/25)*AV78+(1-EXP(-LN(2)/25))/(LN(2)/25)*Calculateur!AQ79*Calculateur!AS79*VLOOKUP('Données projet'!$B$10,Paramètres!$A$1:$I$89,3,0)*0.475*44/12</f>
        <v>64.993922262388907</v>
      </c>
      <c r="AW79" s="21">
        <f>EXP(-LN(2)/2)*AW78+(1-EXP(-LN(2)/2))/(LN(2)/2)*AQ79*AT79*VLOOKUP('Données projet'!$B$10,Paramètres!$A$1:$I$89,3,0)*0.475*44/12</f>
        <v>9.4381905403524833</v>
      </c>
      <c r="AX79" s="21">
        <f t="shared" si="60"/>
        <v>279.32843083187652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251.09135999999995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243.33915530322201</v>
      </c>
      <c r="BJ79" s="59">
        <f t="shared" si="92"/>
        <v>247.73814704672577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14.640437298898354</v>
      </c>
      <c r="BQ79" s="21">
        <f>EXP(-LN(2)/25)*BQ78+(1-EXP(-LN(2)/25))/(LN(2)/25)*Calculateur!BL79*Calculateur!BN79*VLOOKUP('Données projet'!$B$11,Paramètres!$A$1:$I$89,3,0)*0.475*44/12</f>
        <v>14.545394770978898</v>
      </c>
      <c r="BR79" s="21">
        <f>EXP(-LN(2)/2)*BR78+(1-EXP(-LN(2)/2))/(LN(2)/2)*BL79*BO79*VLOOKUP('Données projet'!$B$11,Paramètres!$A$1:$I$89,3,0)*0.475*44/12</f>
        <v>1.9641804417888422</v>
      </c>
      <c r="BS79" s="22">
        <f t="shared" si="63"/>
        <v>31.150012511666091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8.0188888888888883</v>
      </c>
      <c r="N80" s="13">
        <f>IF('Données projet'!$A$36&gt;35,N79+M80-V79,IF(A80&lt;'Données projet'!$A$36,$K$205^A80,IF(A80='Données projet'!$A$36,'Données projet'!$B$36,N79+M80-V79)))</f>
        <v>227.63777777777807</v>
      </c>
      <c r="O80" s="13">
        <f>N80*VLOOKUP('Données projet'!$B$9,Paramètres!$A$1:$I$89,3,0)*VLOOKUP('Données projet'!$B$9,Paramètres!$A$1:$I$89,5,0)</f>
        <v>205.96666133333358</v>
      </c>
      <c r="P80" s="13">
        <f t="shared" si="87"/>
        <v>51.053207385228809</v>
      </c>
      <c r="Q80" s="20">
        <f t="shared" si="54"/>
        <v>447.64293801816285</v>
      </c>
      <c r="R80" s="59">
        <f t="shared" si="55"/>
        <v>740.97627135149617</v>
      </c>
      <c r="S80" s="59">
        <f ca="1">AVERAGE(OFFSET($R$3,0,0,'Données projet'!$E$9+1,1))-AVERAGE(OFFSET($H$3,0,0,'Données projet'!$E$9+1,1))</f>
        <v>298.01613436147056</v>
      </c>
      <c r="T80" s="59">
        <f t="shared" si="88"/>
        <v>212.70221374431253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17.277669148002996</v>
      </c>
      <c r="AA80" s="21">
        <f>EXP(-LN(2)/25)*AA79+(1-EXP(-LN(2)/25))/(LN(2)/25)*Calculateur!V80*Calculateur!X80*VLOOKUP('Données projet'!$B$9,Paramètres!$A$1:$I$89,3,0)*0.475*44/12</f>
        <v>27.775969471686686</v>
      </c>
      <c r="AB80" s="21">
        <f>EXP(-LN(2)/2)*AB79+(1-EXP(-LN(2)/2))/(LN(2)/2)*V80*Y80*VLOOKUP('Données projet'!$B$9,Paramètres!$A$1:$I$89,3,0)*0.475*44/12</f>
        <v>1.9756314068678484</v>
      </c>
      <c r="AC80" s="22">
        <f t="shared" si="57"/>
        <v>47.029270026557526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5.6843418860808015E-13</v>
      </c>
      <c r="AJ80" s="13">
        <f>AI80*VLOOKUP('Données projet'!$B$10,Paramètres!$A$1:$I$89,3,0)*VLOOKUP('Données projet'!$B$10,Paramètres!$A$1:$I$89,5,0)</f>
        <v>3.177547114319168E-13</v>
      </c>
      <c r="AK80" s="13">
        <f t="shared" si="89"/>
        <v>4.1725404435445377E-12</v>
      </c>
      <c r="AL80" s="20">
        <f t="shared" si="58"/>
        <v>7.820597394917325E-12</v>
      </c>
      <c r="AM80" s="59">
        <f t="shared" si="59"/>
        <v>293.33333333334116</v>
      </c>
      <c r="AN80" s="59">
        <f ca="1">AVERAGE(OFFSET($AM$3,0,0,'Données projet'!$E$10+1,1))-AVERAGE(OFFSET($H$3,0,0,'Données projet'!$E$10+1,1))</f>
        <v>287.413090017863</v>
      </c>
      <c r="AO80" s="59">
        <f t="shared" si="90"/>
        <v>258.48456031927117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200.87842620699763</v>
      </c>
      <c r="AV80" s="21">
        <f>EXP(-LN(2)/25)*AV79+(1-EXP(-LN(2)/25))/(LN(2)/25)*Calculateur!AQ80*Calculateur!AS80*VLOOKUP('Données projet'!$B$10,Paramètres!$A$1:$I$89,3,0)*0.475*44/12</f>
        <v>63.216660040242054</v>
      </c>
      <c r="AW80" s="21">
        <f>EXP(-LN(2)/2)*AW79+(1-EXP(-LN(2)/2))/(LN(2)/2)*AQ80*AT80*VLOOKUP('Données projet'!$B$10,Paramètres!$A$1:$I$89,3,0)*0.475*44/12</f>
        <v>6.6738085332139665</v>
      </c>
      <c r="AX80" s="21">
        <f t="shared" si="60"/>
        <v>270.76889478045365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253.95551999999998</v>
      </c>
      <c r="BF80" s="13">
        <f t="shared" si="91"/>
        <v>61.432180511879253</v>
      </c>
      <c r="BG80" s="20">
        <f t="shared" si="61"/>
        <v>549.30024505818972</v>
      </c>
      <c r="BH80" s="59">
        <f t="shared" si="62"/>
        <v>842.63357839152309</v>
      </c>
      <c r="BI80" s="59">
        <f ca="1">AVERAGE(OFFSET($BH$3,0,0,'Données projet'!$E$11+1,1))-AVERAGE(OFFSET($H$3,0,0,'Données projet'!$E$11+1,1))</f>
        <v>243.33915530322201</v>
      </c>
      <c r="BJ80" s="59">
        <f t="shared" si="92"/>
        <v>247.73814704672577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14.353347253251966</v>
      </c>
      <c r="BQ80" s="21">
        <f>EXP(-LN(2)/25)*BQ79+(1-EXP(-LN(2)/25))/(LN(2)/25)*Calculateur!BL80*Calculateur!BN80*VLOOKUP('Données projet'!$B$11,Paramètres!$A$1:$I$89,3,0)*0.475*44/12</f>
        <v>14.147650186057414</v>
      </c>
      <c r="BR80" s="21">
        <f>EXP(-LN(2)/2)*BR79+(1-EXP(-LN(2)/2))/(LN(2)/2)*BL80*BO80*VLOOKUP('Données projet'!$B$11,Paramètres!$A$1:$I$89,3,0)*0.475*44/12</f>
        <v>1.3888853098628793</v>
      </c>
      <c r="BS80" s="22">
        <f t="shared" si="63"/>
        <v>29.889882749172259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8.0188888888888883</v>
      </c>
      <c r="N81" s="13">
        <f>IF('Données projet'!$A$36&gt;35,N80+M81-V80,IF(A81&lt;'Données projet'!$A$36,$K$205^A81,IF(A81='Données projet'!$A$36,'Données projet'!$B$36,N80+M81-V80)))</f>
        <v>235.65666666666695</v>
      </c>
      <c r="O81" s="13">
        <f>N81*VLOOKUP('Données projet'!$B$9,Paramètres!$A$1:$I$89,3,0)*VLOOKUP('Données projet'!$B$9,Paramètres!$A$1:$I$89,5,0)</f>
        <v>213.22215200000025</v>
      </c>
      <c r="P81" s="13">
        <f t="shared" si="87"/>
        <v>52.639081762048846</v>
      </c>
      <c r="Q81" s="20">
        <f t="shared" si="54"/>
        <v>463.04164880223556</v>
      </c>
      <c r="R81" s="59">
        <f t="shared" si="55"/>
        <v>756.37498213556887</v>
      </c>
      <c r="S81" s="59">
        <f ca="1">AVERAGE(OFFSET($R$3,0,0,'Données projet'!$E$9+1,1))-AVERAGE(OFFSET($H$3,0,0,'Données projet'!$E$9+1,1))</f>
        <v>298.01613436147056</v>
      </c>
      <c r="T81" s="59">
        <f t="shared" si="88"/>
        <v>212.70221374431253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16.938864594348264</v>
      </c>
      <c r="AA81" s="21">
        <f>EXP(-LN(2)/25)*AA80+(1-EXP(-LN(2)/25))/(LN(2)/25)*Calculateur!V81*Calculateur!X81*VLOOKUP('Données projet'!$B$9,Paramètres!$A$1:$I$89,3,0)*0.475*44/12</f>
        <v>27.016434125808662</v>
      </c>
      <c r="AB81" s="21">
        <f>EXP(-LN(2)/2)*AB80+(1-EXP(-LN(2)/2))/(LN(2)/2)*V81*Y81*VLOOKUP('Données projet'!$B$9,Paramètres!$A$1:$I$89,3,0)*0.475*44/12</f>
        <v>1.3969823649213748</v>
      </c>
      <c r="AC81" s="22">
        <f t="shared" si="57"/>
        <v>45.352281085078303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5.6843418860808015E-13</v>
      </c>
      <c r="AJ81" s="13">
        <f>AI81*VLOOKUP('Données projet'!$B$10,Paramètres!$A$1:$I$89,3,0)*VLOOKUP('Données projet'!$B$10,Paramètres!$A$1:$I$89,5,0)</f>
        <v>3.177547114319168E-13</v>
      </c>
      <c r="AK81" s="13">
        <f t="shared" si="89"/>
        <v>4.1725404435445377E-12</v>
      </c>
      <c r="AL81" s="20">
        <f t="shared" si="58"/>
        <v>7.820597394917325E-12</v>
      </c>
      <c r="AM81" s="59">
        <f t="shared" si="59"/>
        <v>293.33333333334116</v>
      </c>
      <c r="AN81" s="59">
        <f ca="1">AVERAGE(OFFSET($AM$3,0,0,'Données projet'!$E$10+1,1))-AVERAGE(OFFSET($H$3,0,0,'Données projet'!$E$10+1,1))</f>
        <v>287.413090017863</v>
      </c>
      <c r="AO81" s="59">
        <f t="shared" si="90"/>
        <v>258.48456031927117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196.93932279282018</v>
      </c>
      <c r="AV81" s="21">
        <f>EXP(-LN(2)/25)*AV80+(1-EXP(-LN(2)/25))/(LN(2)/25)*Calculateur!AQ81*Calculateur!AS81*VLOOKUP('Données projet'!$B$10,Paramètres!$A$1:$I$89,3,0)*0.475*44/12</f>
        <v>61.487997147021964</v>
      </c>
      <c r="AW81" s="21">
        <f>EXP(-LN(2)/2)*AW80+(1-EXP(-LN(2)/2))/(LN(2)/2)*AQ81*AT81*VLOOKUP('Données projet'!$B$10,Paramètres!$A$1:$I$89,3,0)*0.475*44/12</f>
        <v>4.7190952701762425</v>
      </c>
      <c r="AX81" s="21">
        <f t="shared" si="60"/>
        <v>263.1464152100184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256.81968000000001</v>
      </c>
      <c r="BF81" s="13">
        <f t="shared" si="91"/>
        <v>62.043977430851903</v>
      </c>
      <c r="BG81" s="20">
        <f t="shared" si="61"/>
        <v>555.35420335873368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243.33915530322201</v>
      </c>
      <c r="BJ81" s="59">
        <f t="shared" si="92"/>
        <v>247.73814704672577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14.071886868293067</v>
      </c>
      <c r="BQ81" s="21">
        <f>EXP(-LN(2)/25)*BQ80+(1-EXP(-LN(2)/25))/(LN(2)/25)*Calculateur!BL81*Calculateur!BN81*VLOOKUP('Données projet'!$B$11,Paramètres!$A$1:$I$89,3,0)*0.475*44/12</f>
        <v>13.760781947727086</v>
      </c>
      <c r="BR81" s="21">
        <f>EXP(-LN(2)/2)*BR80+(1-EXP(-LN(2)/2))/(LN(2)/2)*BL81*BO81*VLOOKUP('Données projet'!$B$11,Paramètres!$A$1:$I$89,3,0)*0.475*44/12</f>
        <v>0.98209022089442133</v>
      </c>
      <c r="BS81" s="22">
        <f t="shared" si="63"/>
        <v>28.814759036914573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8.0188888888888883</v>
      </c>
      <c r="N82" s="13">
        <f>IF('Données projet'!$A$36&gt;35,N81+M82-V81,IF(A82&lt;'Données projet'!$A$36,$K$205^A82,IF(A82='Données projet'!$A$36,'Données projet'!$B$36,N81+M82-V81)))</f>
        <v>243.67555555555583</v>
      </c>
      <c r="O82" s="13">
        <f>N82*VLOOKUP('Données projet'!$B$9,Paramètres!$A$1:$I$89,3,0)*VLOOKUP('Données projet'!$B$9,Paramètres!$A$1:$I$89,5,0)</f>
        <v>220.4776426666669</v>
      </c>
      <c r="P82" s="13">
        <f t="shared" si="87"/>
        <v>54.21868588718452</v>
      </c>
      <c r="Q82" s="20">
        <f t="shared" si="54"/>
        <v>478.42943889795788</v>
      </c>
      <c r="R82" s="59">
        <f t="shared" si="55"/>
        <v>771.76277223129114</v>
      </c>
      <c r="S82" s="59">
        <f ca="1">AVERAGE(OFFSET($R$3,0,0,'Données projet'!$E$9+1,1))-AVERAGE(OFFSET($H$3,0,0,'Données projet'!$E$9+1,1))</f>
        <v>298.01613436147056</v>
      </c>
      <c r="T82" s="59">
        <f t="shared" si="88"/>
        <v>212.70221374431253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16.606703791340326</v>
      </c>
      <c r="AA82" s="21">
        <f>EXP(-LN(2)/25)*AA81+(1-EXP(-LN(2)/25))/(LN(2)/25)*Calculateur!V82*Calculateur!X82*VLOOKUP('Données projet'!$B$9,Paramètres!$A$1:$I$89,3,0)*0.475*44/12</f>
        <v>26.277668313905899</v>
      </c>
      <c r="AB82" s="21">
        <f>EXP(-LN(2)/2)*AB81+(1-EXP(-LN(2)/2))/(LN(2)/2)*V82*Y82*VLOOKUP('Données projet'!$B$9,Paramètres!$A$1:$I$89,3,0)*0.475*44/12</f>
        <v>0.98781570343392433</v>
      </c>
      <c r="AC82" s="22">
        <f t="shared" si="57"/>
        <v>43.872187808680152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5.6843418860808015E-13</v>
      </c>
      <c r="AJ82" s="13">
        <f>AI82*VLOOKUP('Données projet'!$B$10,Paramètres!$A$1:$I$89,3,0)*VLOOKUP('Données projet'!$B$10,Paramètres!$A$1:$I$89,5,0)</f>
        <v>3.177547114319168E-13</v>
      </c>
      <c r="AK82" s="13">
        <f t="shared" si="89"/>
        <v>4.1725404435445377E-12</v>
      </c>
      <c r="AL82" s="20">
        <f t="shared" si="58"/>
        <v>7.820597394917325E-12</v>
      </c>
      <c r="AM82" s="59">
        <f t="shared" si="59"/>
        <v>293.33333333334116</v>
      </c>
      <c r="AN82" s="59">
        <f ca="1">AVERAGE(OFFSET($AM$3,0,0,'Données projet'!$E$10+1,1))-AVERAGE(OFFSET($H$3,0,0,'Données projet'!$E$10+1,1))</f>
        <v>287.413090017863</v>
      </c>
      <c r="AO82" s="59">
        <f t="shared" si="90"/>
        <v>258.48456031927117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193.0774627939789</v>
      </c>
      <c r="AV82" s="21">
        <f>EXP(-LN(2)/25)*AV81+(1-EXP(-LN(2)/25))/(LN(2)/25)*Calculateur!AQ82*Calculateur!AS82*VLOOKUP('Données projet'!$B$10,Paramètres!$A$1:$I$89,3,0)*0.475*44/12</f>
        <v>59.806604631523413</v>
      </c>
      <c r="AW82" s="21">
        <f>EXP(-LN(2)/2)*AW81+(1-EXP(-LN(2)/2))/(LN(2)/2)*AQ82*AT82*VLOOKUP('Données projet'!$B$10,Paramètres!$A$1:$I$89,3,0)*0.475*44/12</f>
        <v>3.3369042666069841</v>
      </c>
      <c r="AX82" s="21">
        <f t="shared" si="60"/>
        <v>256.22097169210929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259.68384000000003</v>
      </c>
      <c r="BF82" s="13">
        <f t="shared" si="91"/>
        <v>62.654980648867358</v>
      </c>
      <c r="BG82" s="20">
        <f t="shared" si="61"/>
        <v>561.40677929677736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243.33915530322201</v>
      </c>
      <c r="BJ82" s="59">
        <f t="shared" si="92"/>
        <v>247.73814704672577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13.795945749809329</v>
      </c>
      <c r="BQ82" s="21">
        <f>EXP(-LN(2)/25)*BQ81+(1-EXP(-LN(2)/25))/(LN(2)/25)*Calculateur!BL82*Calculateur!BN82*VLOOKUP('Données projet'!$B$11,Paramètres!$A$1:$I$89,3,0)*0.475*44/12</f>
        <v>13.384492641718417</v>
      </c>
      <c r="BR82" s="21">
        <f>EXP(-LN(2)/2)*BR81+(1-EXP(-LN(2)/2))/(LN(2)/2)*BL82*BO82*VLOOKUP('Données projet'!$B$11,Paramètres!$A$1:$I$89,3,0)*0.475*44/12</f>
        <v>0.69444265493143975</v>
      </c>
      <c r="BS82" s="22">
        <f t="shared" si="63"/>
        <v>27.874881046459183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8.0188888888888883</v>
      </c>
      <c r="N83" s="13">
        <f>IF('Données projet'!$A$36&gt;35,N82+M83-V82,IF(A83&lt;'Données projet'!$A$36,$K$205^A83,IF(A83='Données projet'!$A$36,'Données projet'!$B$36,N82+M83-V82)))</f>
        <v>251.69444444444471</v>
      </c>
      <c r="O83" s="13">
        <f>N83*VLOOKUP('Données projet'!$B$9,Paramètres!$A$1:$I$89,3,0)*VLOOKUP('Données projet'!$B$9,Paramètres!$A$1:$I$89,5,0)</f>
        <v>227.73313333333357</v>
      </c>
      <c r="P83" s="13">
        <f t="shared" si="87"/>
        <v>55.792249764284776</v>
      </c>
      <c r="Q83" s="20">
        <f t="shared" si="54"/>
        <v>493.80670889501863</v>
      </c>
      <c r="R83" s="59">
        <f t="shared" si="55"/>
        <v>787.14004222835194</v>
      </c>
      <c r="S83" s="59">
        <f ca="1">AVERAGE(OFFSET($R$3,0,0,'Données projet'!$E$9+1,1))-AVERAGE(OFFSET($H$3,0,0,'Données projet'!$E$9+1,1))</f>
        <v>298.01613436147056</v>
      </c>
      <c r="T83" s="59">
        <f t="shared" si="88"/>
        <v>212.70221374431253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16.281056459081292</v>
      </c>
      <c r="AA83" s="21">
        <f>EXP(-LN(2)/25)*AA82+(1-EXP(-LN(2)/25))/(LN(2)/25)*Calculateur!V83*Calculateur!X83*VLOOKUP('Données projet'!$B$9,Paramètres!$A$1:$I$89,3,0)*0.475*44/12</f>
        <v>25.559104091979624</v>
      </c>
      <c r="AB83" s="21">
        <f>EXP(-LN(2)/2)*AB82+(1-EXP(-LN(2)/2))/(LN(2)/2)*V83*Y83*VLOOKUP('Données projet'!$B$9,Paramètres!$A$1:$I$89,3,0)*0.475*44/12</f>
        <v>0.69849118246068753</v>
      </c>
      <c r="AC83" s="22">
        <f t="shared" si="57"/>
        <v>42.538651733521604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5.6843418860808015E-13</v>
      </c>
      <c r="AJ83" s="13">
        <f>AI83*VLOOKUP('Données projet'!$B$10,Paramètres!$A$1:$I$89,3,0)*VLOOKUP('Données projet'!$B$10,Paramètres!$A$1:$I$89,5,0)</f>
        <v>3.177547114319168E-13</v>
      </c>
      <c r="AK83" s="13">
        <f t="shared" si="89"/>
        <v>4.1725404435445377E-12</v>
      </c>
      <c r="AL83" s="20">
        <f t="shared" si="58"/>
        <v>7.820597394917325E-12</v>
      </c>
      <c r="AM83" s="59">
        <f t="shared" si="59"/>
        <v>293.33333333334116</v>
      </c>
      <c r="AN83" s="59">
        <f ca="1">AVERAGE(OFFSET($AM$3,0,0,'Données projet'!$E$10+1,1))-AVERAGE(OFFSET($H$3,0,0,'Données projet'!$E$10+1,1))</f>
        <v>287.413090017863</v>
      </c>
      <c r="AO83" s="59">
        <f t="shared" si="90"/>
        <v>258.48456031927117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189.29133151421289</v>
      </c>
      <c r="AV83" s="21">
        <f>EXP(-LN(2)/25)*AV82+(1-EXP(-LN(2)/25))/(LN(2)/25)*Calculateur!AQ83*Calculateur!AS83*VLOOKUP('Données projet'!$B$10,Paramètres!$A$1:$I$89,3,0)*0.475*44/12</f>
        <v>58.171189882781761</v>
      </c>
      <c r="AW83" s="21">
        <f>EXP(-LN(2)/2)*AW82+(1-EXP(-LN(2)/2))/(LN(2)/2)*AQ83*AT83*VLOOKUP('Données projet'!$B$10,Paramètres!$A$1:$I$89,3,0)*0.475*44/12</f>
        <v>2.3595476350881217</v>
      </c>
      <c r="AX83" s="21">
        <f t="shared" si="60"/>
        <v>249.82206903208277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243.33915530322201</v>
      </c>
      <c r="BJ83" s="59">
        <f t="shared" si="92"/>
        <v>247.73814704672577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51.982088098095851</v>
      </c>
      <c r="BQ83" s="21">
        <f>EXP(-LN(2)/25)*BQ82+(1-EXP(-LN(2)/25))/(LN(2)/25)*Calculateur!BL83*Calculateur!BN83*VLOOKUP('Données projet'!$B$11,Paramètres!$A$1:$I$89,3,0)*0.475*44/12</f>
        <v>51.323746843818121</v>
      </c>
      <c r="BR83" s="21">
        <f>EXP(-LN(2)/2)*BR82+(1-EXP(-LN(2)/2))/(LN(2)/2)*BL83*BO83*VLOOKUP('Données projet'!$B$11,Paramètres!$A$1:$I$89,3,0)*0.475*44/12</f>
        <v>62.421321204401075</v>
      </c>
      <c r="BS83" s="22">
        <f t="shared" si="63"/>
        <v>165.72715614631505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8.0188888888888883</v>
      </c>
      <c r="N84" s="13">
        <f>IF('Données projet'!$A$36&gt;35,N83+M84-V83,IF(A84&lt;'Données projet'!$A$36,$K$205^A84,IF(A84='Données projet'!$A$36,'Données projet'!$B$36,N83+M84-V83)))</f>
        <v>259.71333333333359</v>
      </c>
      <c r="O84" s="13">
        <f>N84*VLOOKUP('Données projet'!$B$9,Paramètres!$A$1:$I$89,3,0)*VLOOKUP('Données projet'!$B$9,Paramètres!$A$1:$I$89,5,0)</f>
        <v>234.98862400000024</v>
      </c>
      <c r="P84" s="13">
        <f t="shared" si="87"/>
        <v>57.359987909148515</v>
      </c>
      <c r="Q84" s="20">
        <f t="shared" si="54"/>
        <v>509.17383240843407</v>
      </c>
      <c r="R84" s="59">
        <f t="shared" si="55"/>
        <v>802.50716574176738</v>
      </c>
      <c r="S84" s="59">
        <f ca="1">AVERAGE(OFFSET($R$3,0,0,'Données projet'!$E$9+1,1))-AVERAGE(OFFSET($H$3,0,0,'Données projet'!$E$9+1,1))</f>
        <v>298.01613436147056</v>
      </c>
      <c r="T84" s="59">
        <f t="shared" si="88"/>
        <v>212.70221374431253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15.961794872382596</v>
      </c>
      <c r="AA84" s="21">
        <f>EXP(-LN(2)/25)*AA83+(1-EXP(-LN(2)/25))/(LN(2)/25)*Calculateur!V84*Calculateur!X84*VLOOKUP('Données projet'!$B$9,Paramètres!$A$1:$I$89,3,0)*0.475*44/12</f>
        <v>24.860189046489573</v>
      </c>
      <c r="AB84" s="21">
        <f>EXP(-LN(2)/2)*AB83+(1-EXP(-LN(2)/2))/(LN(2)/2)*V84*Y84*VLOOKUP('Données projet'!$B$9,Paramètres!$A$1:$I$89,3,0)*0.475*44/12</f>
        <v>0.49390785171696228</v>
      </c>
      <c r="AC84" s="22">
        <f t="shared" si="57"/>
        <v>41.315891770589133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5.6843418860808015E-13</v>
      </c>
      <c r="AJ84" s="13">
        <f>AI84*VLOOKUP('Données projet'!$B$10,Paramètres!$A$1:$I$89,3,0)*VLOOKUP('Données projet'!$B$10,Paramètres!$A$1:$I$89,5,0)</f>
        <v>3.177547114319168E-13</v>
      </c>
      <c r="AK84" s="13">
        <f t="shared" si="89"/>
        <v>4.1725404435445377E-12</v>
      </c>
      <c r="AL84" s="20">
        <f t="shared" si="58"/>
        <v>7.820597394917325E-12</v>
      </c>
      <c r="AM84" s="59">
        <f t="shared" si="59"/>
        <v>293.33333333334116</v>
      </c>
      <c r="AN84" s="59">
        <f ca="1">AVERAGE(OFFSET($AM$3,0,0,'Données projet'!$E$10+1,1))-AVERAGE(OFFSET($H$3,0,0,'Données projet'!$E$10+1,1))</f>
        <v>287.413090017863</v>
      </c>
      <c r="AO84" s="59">
        <f t="shared" si="90"/>
        <v>258.48456031927117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185.57944395953103</v>
      </c>
      <c r="AV84" s="21">
        <f>EXP(-LN(2)/25)*AV83+(1-EXP(-LN(2)/25))/(LN(2)/25)*Calculateur!AQ84*Calculateur!AS84*VLOOKUP('Données projet'!$B$10,Paramètres!$A$1:$I$89,3,0)*0.475*44/12</f>
        <v>56.580495636347166</v>
      </c>
      <c r="AW84" s="21">
        <f>EXP(-LN(2)/2)*AW83+(1-EXP(-LN(2)/2))/(LN(2)/2)*AQ84*AT84*VLOOKUP('Données projet'!$B$10,Paramètres!$A$1:$I$89,3,0)*0.475*44/12</f>
        <v>1.6684521333034923</v>
      </c>
      <c r="AX84" s="21">
        <f t="shared" si="60"/>
        <v>243.8283917291817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243.33915530322201</v>
      </c>
      <c r="BJ84" s="59">
        <f t="shared" si="92"/>
        <v>247.73814704672577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50.962751056435231</v>
      </c>
      <c r="BQ84" s="21">
        <f>EXP(-LN(2)/25)*BQ83+(1-EXP(-LN(2)/25))/(LN(2)/25)*Calculateur!BL84*Calculateur!BN84*VLOOKUP('Données projet'!$B$11,Paramètres!$A$1:$I$89,3,0)*0.475*44/12</f>
        <v>49.920296287375372</v>
      </c>
      <c r="BR84" s="21">
        <f>EXP(-LN(2)/2)*BR83+(1-EXP(-LN(2)/2))/(LN(2)/2)*BL84*BO84*VLOOKUP('Données projet'!$B$11,Paramètres!$A$1:$I$89,3,0)*0.475*44/12</f>
        <v>44.138539514255633</v>
      </c>
      <c r="BS84" s="22">
        <f t="shared" si="63"/>
        <v>145.02158685806623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8.0188888888888883</v>
      </c>
      <c r="N85" s="13">
        <f>IF('Données projet'!$A$36&gt;35,N84+M85-V84,IF(A85&lt;'Données projet'!$A$36,$K$205^A85,IF(A85='Données projet'!$A$36,'Données projet'!$B$36,N84+M85-V84)))</f>
        <v>267.7322222222225</v>
      </c>
      <c r="O85" s="13">
        <f>N85*VLOOKUP('Données projet'!$B$9,Paramètres!$A$1:$I$89,3,0)*VLOOKUP('Données projet'!$B$9,Paramètres!$A$1:$I$89,5,0)</f>
        <v>242.24411466666692</v>
      </c>
      <c r="P85" s="13">
        <f t="shared" si="87"/>
        <v>58.922100838280507</v>
      </c>
      <c r="Q85" s="20">
        <f t="shared" si="54"/>
        <v>524.53115867111683</v>
      </c>
      <c r="R85" s="59">
        <f t="shared" si="55"/>
        <v>817.86449200445009</v>
      </c>
      <c r="S85" s="59">
        <f ca="1">AVERAGE(OFFSET($R$3,0,0,'Données projet'!$E$9+1,1))-AVERAGE(OFFSET($H$3,0,0,'Données projet'!$E$9+1,1))</f>
        <v>298.01613436147056</v>
      </c>
      <c r="T85" s="59">
        <f t="shared" si="88"/>
        <v>212.70221374431253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15.648793810668721</v>
      </c>
      <c r="AA85" s="21">
        <f>EXP(-LN(2)/25)*AA84+(1-EXP(-LN(2)/25))/(LN(2)/25)*Calculateur!V85*Calculateur!X85*VLOOKUP('Données projet'!$B$9,Paramètres!$A$1:$I$89,3,0)*0.475*44/12</f>
        <v>24.180385869672794</v>
      </c>
      <c r="AB85" s="21">
        <f>EXP(-LN(2)/2)*AB84+(1-EXP(-LN(2)/2))/(LN(2)/2)*V85*Y85*VLOOKUP('Données projet'!$B$9,Paramètres!$A$1:$I$89,3,0)*0.475*44/12</f>
        <v>0.34924559123034382</v>
      </c>
      <c r="AC85" s="22">
        <f t="shared" si="57"/>
        <v>40.178425271571854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5.6843418860808015E-13</v>
      </c>
      <c r="AJ85" s="13">
        <f>AI85*VLOOKUP('Données projet'!$B$10,Paramètres!$A$1:$I$89,3,0)*VLOOKUP('Données projet'!$B$10,Paramètres!$A$1:$I$89,5,0)</f>
        <v>3.177547114319168E-13</v>
      </c>
      <c r="AK85" s="13">
        <f t="shared" si="89"/>
        <v>4.1725404435445377E-12</v>
      </c>
      <c r="AL85" s="20">
        <f t="shared" si="58"/>
        <v>7.820597394917325E-12</v>
      </c>
      <c r="AM85" s="59">
        <f t="shared" si="59"/>
        <v>293.33333333334116</v>
      </c>
      <c r="AN85" s="59">
        <f ca="1">AVERAGE(OFFSET($AM$3,0,0,'Données projet'!$E$10+1,1))-AVERAGE(OFFSET($H$3,0,0,'Données projet'!$E$10+1,1))</f>
        <v>287.413090017863</v>
      </c>
      <c r="AO85" s="59">
        <f t="shared" si="90"/>
        <v>258.48456031927117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181.94034425576862</v>
      </c>
      <c r="AV85" s="21">
        <f>EXP(-LN(2)/25)*AV84+(1-EXP(-LN(2)/25))/(LN(2)/25)*Calculateur!AQ85*Calculateur!AS85*VLOOKUP('Données projet'!$B$10,Paramètres!$A$1:$I$89,3,0)*0.475*44/12</f>
        <v>55.033299007732303</v>
      </c>
      <c r="AW85" s="21">
        <f>EXP(-LN(2)/2)*AW84+(1-EXP(-LN(2)/2))/(LN(2)/2)*AQ85*AT85*VLOOKUP('Données projet'!$B$10,Paramètres!$A$1:$I$89,3,0)*0.475*44/12</f>
        <v>1.1797738175440611</v>
      </c>
      <c r="AX85" s="21">
        <f t="shared" si="60"/>
        <v>238.15341708104498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243.33915530322201</v>
      </c>
      <c r="BJ85" s="59">
        <f t="shared" si="92"/>
        <v>247.73814704672577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49.963402592427371</v>
      </c>
      <c r="BQ85" s="21">
        <f>EXP(-LN(2)/25)*BQ84+(1-EXP(-LN(2)/25))/(LN(2)/25)*Calculateur!BL85*Calculateur!BN85*VLOOKUP('Données projet'!$B$11,Paramètres!$A$1:$I$89,3,0)*0.475*44/12</f>
        <v>48.555223160202807</v>
      </c>
      <c r="BR85" s="21">
        <f>EXP(-LN(2)/2)*BR84+(1-EXP(-LN(2)/2))/(LN(2)/2)*BL85*BO85*VLOOKUP('Données projet'!$B$11,Paramètres!$A$1:$I$89,3,0)*0.475*44/12</f>
        <v>31.210660602200541</v>
      </c>
      <c r="BS85" s="22">
        <f t="shared" si="63"/>
        <v>129.72928635483072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8.0188888888888883</v>
      </c>
      <c r="N86" s="13">
        <f>IF('Données projet'!$A$36&gt;35,N85+M86-V85,IF(A86&lt;'Données projet'!$A$36,$K$205^A86,IF(A86='Données projet'!$A$36,'Données projet'!$B$36,N85+M86-V85)))</f>
        <v>275.75111111111141</v>
      </c>
      <c r="O86" s="13">
        <f>N86*VLOOKUP('Données projet'!$B$9,Paramètres!$A$1:$I$89,3,0)*VLOOKUP('Données projet'!$B$9,Paramètres!$A$1:$I$89,5,0)</f>
        <v>249.49960533333362</v>
      </c>
      <c r="P86" s="13">
        <f t="shared" si="87"/>
        <v>60.478776374100285</v>
      </c>
      <c r="Q86" s="20">
        <f t="shared" si="54"/>
        <v>539.879014807114</v>
      </c>
      <c r="R86" s="59">
        <f t="shared" si="55"/>
        <v>833.21234814044738</v>
      </c>
      <c r="S86" s="59">
        <f ca="1">AVERAGE(OFFSET($R$3,0,0,'Données projet'!$E$9+1,1))-AVERAGE(OFFSET($H$3,0,0,'Données projet'!$E$9+1,1))</f>
        <v>298.01613436147056</v>
      </c>
      <c r="T86" s="59">
        <f t="shared" si="88"/>
        <v>212.70221374431253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15.341930508863259</v>
      </c>
      <c r="AA86" s="21">
        <f>EXP(-LN(2)/25)*AA85+(1-EXP(-LN(2)/25))/(LN(2)/25)*Calculateur!V86*Calculateur!X86*VLOOKUP('Données projet'!$B$9,Paramètres!$A$1:$I$89,3,0)*0.475*44/12</f>
        <v>23.519171946475364</v>
      </c>
      <c r="AB86" s="21">
        <f>EXP(-LN(2)/2)*AB85+(1-EXP(-LN(2)/2))/(LN(2)/2)*V86*Y86*VLOOKUP('Données projet'!$B$9,Paramètres!$A$1:$I$89,3,0)*0.475*44/12</f>
        <v>0.24695392585848117</v>
      </c>
      <c r="AC86" s="22">
        <f t="shared" si="57"/>
        <v>39.108056381197109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5.6843418860808015E-13</v>
      </c>
      <c r="AJ86" s="13">
        <f>AI86*VLOOKUP('Données projet'!$B$10,Paramètres!$A$1:$I$89,3,0)*VLOOKUP('Données projet'!$B$10,Paramètres!$A$1:$I$89,5,0)</f>
        <v>3.177547114319168E-13</v>
      </c>
      <c r="AK86" s="13">
        <f t="shared" si="89"/>
        <v>4.1725404435445377E-12</v>
      </c>
      <c r="AL86" s="20">
        <f t="shared" si="58"/>
        <v>7.820597394917325E-12</v>
      </c>
      <c r="AM86" s="59">
        <f t="shared" si="59"/>
        <v>293.33333333334116</v>
      </c>
      <c r="AN86" s="59">
        <f ca="1">AVERAGE(OFFSET($AM$3,0,0,'Données projet'!$E$10+1,1))-AVERAGE(OFFSET($H$3,0,0,'Données projet'!$E$10+1,1))</f>
        <v>287.413090017863</v>
      </c>
      <c r="AO86" s="59">
        <f t="shared" si="90"/>
        <v>258.48456031927117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178.37260507756537</v>
      </c>
      <c r="AV86" s="21">
        <f>EXP(-LN(2)/25)*AV85+(1-EXP(-LN(2)/25))/(LN(2)/25)*Calculateur!AQ86*Calculateur!AS86*VLOOKUP('Données projet'!$B$10,Paramètres!$A$1:$I$89,3,0)*0.475*44/12</f>
        <v>53.528410552290445</v>
      </c>
      <c r="AW86" s="21">
        <f>EXP(-LN(2)/2)*AW85+(1-EXP(-LN(2)/2))/(LN(2)/2)*AQ86*AT86*VLOOKUP('Données projet'!$B$10,Paramètres!$A$1:$I$89,3,0)*0.475*44/12</f>
        <v>0.83422606665174626</v>
      </c>
      <c r="AX86" s="21">
        <f t="shared" si="60"/>
        <v>232.73524169650756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243.33915530322201</v>
      </c>
      <c r="BJ86" s="59">
        <f t="shared" si="92"/>
        <v>247.73814704672577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48.98365074225633</v>
      </c>
      <c r="BQ86" s="21">
        <f>EXP(-LN(2)/25)*BQ85+(1-EXP(-LN(2)/25))/(LN(2)/25)*Calculateur!BL86*Calculateur!BN86*VLOOKUP('Données projet'!$B$11,Paramètres!$A$1:$I$89,3,0)*0.475*44/12</f>
        <v>47.227478029478853</v>
      </c>
      <c r="BR86" s="21">
        <f>EXP(-LN(2)/2)*BR85+(1-EXP(-LN(2)/2))/(LN(2)/2)*BL86*BO86*VLOOKUP('Données projet'!$B$11,Paramètres!$A$1:$I$89,3,0)*0.475*44/12</f>
        <v>22.06926975712782</v>
      </c>
      <c r="BS86" s="22">
        <f t="shared" si="63"/>
        <v>118.280398528863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283.77</v>
      </c>
      <c r="L87" s="12">
        <f>VLOOKUP(A87,'Données projet'!$A$35:$I$55,9,0)</f>
        <v>8.0188888888888883</v>
      </c>
      <c r="M87" s="12">
        <f t="array" ref="M87">INDEX(L:L,MIN(IF(ISNUMBER(L87:L283),ROW(L87:L283),"")))</f>
        <v>8.0188888888888883</v>
      </c>
      <c r="N87" s="13">
        <f>IF('Données projet'!$A$36&gt;35,N86+M87-V86,IF(A87&lt;'Données projet'!$A$36,$K$205^A87,IF(A87='Données projet'!$A$36,'Données projet'!$B$36,N86+M87-V86)))</f>
        <v>283.77000000000032</v>
      </c>
      <c r="O87" s="13">
        <f>N87*VLOOKUP('Données projet'!$B$9,Paramètres!$A$1:$I$89,3,0)*VLOOKUP('Données projet'!$B$9,Paramètres!$A$1:$I$89,5,0)</f>
        <v>256.75509600000026</v>
      </c>
      <c r="P87" s="13">
        <f t="shared" si="87"/>
        <v>62.030190794062349</v>
      </c>
      <c r="Q87" s="20">
        <f t="shared" si="54"/>
        <v>555.21770783299235</v>
      </c>
      <c r="R87" s="59">
        <f t="shared" si="55"/>
        <v>848.5510411663256</v>
      </c>
      <c r="S87" s="59">
        <f ca="1">AVERAGE(OFFSET($R$3,0,0,'Données projet'!$E$9+1,1))-AVERAGE(OFFSET($H$3,0,0,'Données projet'!$E$9+1,1))</f>
        <v>298.01613436147056</v>
      </c>
      <c r="T87" s="59">
        <f t="shared" si="88"/>
        <v>212.70221374431253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49.669999999999987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22.518135941679432</v>
      </c>
      <c r="AA87" s="21">
        <f>EXP(-LN(2)/25)*AA86+(1-EXP(-LN(2)/25))/(LN(2)/25)*Calculateur!V87*Calculateur!X87*VLOOKUP('Données projet'!$B$9,Paramètres!$A$1:$I$89,3,0)*0.475*44/12</f>
        <v>27.131816856988426</v>
      </c>
      <c r="AB87" s="21">
        <f>EXP(-LN(2)/2)*AB86+(1-EXP(-LN(2)/2))/(LN(2)/2)*V87*Y87*VLOOKUP('Données projet'!$B$9,Paramètres!$A$1:$I$89,3,0)*0.475*44/12</f>
        <v>4.4149663532628933</v>
      </c>
      <c r="AC87" s="22">
        <f t="shared" si="57"/>
        <v>54.064919151930745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5.6843418860808015E-13</v>
      </c>
      <c r="AJ87" s="13">
        <f>AI87*VLOOKUP('Données projet'!$B$10,Paramètres!$A$1:$I$89,3,0)*VLOOKUP('Données projet'!$B$10,Paramètres!$A$1:$I$89,5,0)</f>
        <v>3.177547114319168E-13</v>
      </c>
      <c r="AK87" s="13">
        <f t="shared" si="89"/>
        <v>4.1725404435445377E-12</v>
      </c>
      <c r="AL87" s="20">
        <f t="shared" si="58"/>
        <v>7.820597394917325E-12</v>
      </c>
      <c r="AM87" s="59">
        <f t="shared" si="59"/>
        <v>293.33333333334116</v>
      </c>
      <c r="AN87" s="59">
        <f ca="1">AVERAGE(OFFSET($AM$3,0,0,'Données projet'!$E$10+1,1))-AVERAGE(OFFSET($H$3,0,0,'Données projet'!$E$10+1,1))</f>
        <v>287.413090017863</v>
      </c>
      <c r="AO87" s="59">
        <f t="shared" si="90"/>
        <v>258.48456031927117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174.87482708854066</v>
      </c>
      <c r="AV87" s="21">
        <f>EXP(-LN(2)/25)*AV86+(1-EXP(-LN(2)/25))/(LN(2)/25)*Calculateur!AQ87*Calculateur!AS87*VLOOKUP('Données projet'!$B$10,Paramètres!$A$1:$I$89,3,0)*0.475*44/12</f>
        <v>52.064673350801293</v>
      </c>
      <c r="AW87" s="21">
        <f>EXP(-LN(2)/2)*AW86+(1-EXP(-LN(2)/2))/(LN(2)/2)*AQ87*AT87*VLOOKUP('Données projet'!$B$10,Paramètres!$A$1:$I$89,3,0)*0.475*44/12</f>
        <v>0.58988690877203054</v>
      </c>
      <c r="AX87" s="21">
        <f t="shared" si="60"/>
        <v>227.52938734811397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243.33915530322201</v>
      </c>
      <c r="BJ87" s="59">
        <f t="shared" si="92"/>
        <v>247.73814704672577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48.023111228277521</v>
      </c>
      <c r="BQ87" s="21">
        <f>EXP(-LN(2)/25)*BQ86+(1-EXP(-LN(2)/25))/(LN(2)/25)*Calculateur!BL87*Calculateur!BN87*VLOOKUP('Données projet'!$B$11,Paramètres!$A$1:$I$89,3,0)*0.475*44/12</f>
        <v>45.936040159177622</v>
      </c>
      <c r="BR87" s="21">
        <f>EXP(-LN(2)/2)*BR86+(1-EXP(-LN(2)/2))/(LN(2)/2)*BL87*BO87*VLOOKUP('Données projet'!$B$11,Paramètres!$A$1:$I$89,3,0)*0.475*44/12</f>
        <v>15.605330301100274</v>
      </c>
      <c r="BS87" s="22">
        <f t="shared" si="63"/>
        <v>109.56448168855542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7.6966666666666681</v>
      </c>
      <c r="N88" s="13">
        <f>IF('Données projet'!$A$36&gt;35,N87+M88-V87,IF(A88&lt;'Données projet'!$A$36,$K$205^A88,IF(A88='Données projet'!$A$36,'Données projet'!$B$36,N87+M88-V87)))</f>
        <v>241.79666666666699</v>
      </c>
      <c r="O88" s="13">
        <f>N88*VLOOKUP('Données projet'!$B$9,Paramètres!$A$1:$I$89,3,0)*VLOOKUP('Données projet'!$B$9,Paramètres!$A$1:$I$89,5,0)</f>
        <v>218.77762400000032</v>
      </c>
      <c r="P88" s="13">
        <f t="shared" si="87"/>
        <v>53.849122245192362</v>
      </c>
      <c r="Q88" s="20">
        <f t="shared" si="54"/>
        <v>474.82491637704396</v>
      </c>
      <c r="R88" s="59">
        <f t="shared" si="55"/>
        <v>768.15824971037728</v>
      </c>
      <c r="S88" s="59">
        <f ca="1">AVERAGE(OFFSET($R$3,0,0,'Données projet'!$E$9+1,1))-AVERAGE(OFFSET($H$3,0,0,'Données projet'!$E$9+1,1))</f>
        <v>298.01613436147056</v>
      </c>
      <c r="T88" s="59">
        <f t="shared" si="88"/>
        <v>212.70221374431253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22.076569030569832</v>
      </c>
      <c r="AA88" s="21">
        <f>EXP(-LN(2)/25)*AA87+(1-EXP(-LN(2)/25))/(LN(2)/25)*Calculateur!V88*Calculateur!X88*VLOOKUP('Données projet'!$B$9,Paramètres!$A$1:$I$89,3,0)*0.475*44/12</f>
        <v>26.389895898233839</v>
      </c>
      <c r="AB88" s="21">
        <f>EXP(-LN(2)/2)*AB87+(1-EXP(-LN(2)/2))/(LN(2)/2)*V88*Y88*VLOOKUP('Données projet'!$B$9,Paramètres!$A$1:$I$89,3,0)*0.475*44/12</f>
        <v>3.1218526471026347</v>
      </c>
      <c r="AC88" s="22">
        <f t="shared" si="57"/>
        <v>51.588317575906309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5.6843418860808015E-13</v>
      </c>
      <c r="AJ88" s="13">
        <f>AI88*VLOOKUP('Données projet'!$B$10,Paramètres!$A$1:$I$89,3,0)*VLOOKUP('Données projet'!$B$10,Paramètres!$A$1:$I$89,5,0)</f>
        <v>3.177547114319168E-13</v>
      </c>
      <c r="AK88" s="13">
        <f t="shared" si="89"/>
        <v>4.1725404435445377E-12</v>
      </c>
      <c r="AL88" s="20">
        <f t="shared" si="58"/>
        <v>7.820597394917325E-12</v>
      </c>
      <c r="AM88" s="59">
        <f t="shared" si="59"/>
        <v>293.33333333334116</v>
      </c>
      <c r="AN88" s="59">
        <f ca="1">AVERAGE(OFFSET($AM$3,0,0,'Données projet'!$E$10+1,1))-AVERAGE(OFFSET($H$3,0,0,'Données projet'!$E$10+1,1))</f>
        <v>287.413090017863</v>
      </c>
      <c r="AO88" s="59">
        <f t="shared" si="90"/>
        <v>258.48456031927117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171.4456383924468</v>
      </c>
      <c r="AV88" s="21">
        <f>EXP(-LN(2)/25)*AV87+(1-EXP(-LN(2)/25))/(LN(2)/25)*Calculateur!AQ88*Calculateur!AS88*VLOOKUP('Données projet'!$B$10,Paramètres!$A$1:$I$89,3,0)*0.475*44/12</f>
        <v>50.640962120061452</v>
      </c>
      <c r="AW88" s="21">
        <f>EXP(-LN(2)/2)*AW87+(1-EXP(-LN(2)/2))/(LN(2)/2)*AQ88*AT88*VLOOKUP('Données projet'!$B$10,Paramètres!$A$1:$I$89,3,0)*0.475*44/12</f>
        <v>0.41711303332587313</v>
      </c>
      <c r="AX88" s="21">
        <f t="shared" si="60"/>
        <v>222.50371354583413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243.33915530322201</v>
      </c>
      <c r="BJ88" s="59">
        <f t="shared" si="92"/>
        <v>247.73814704672577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47.081407308296583</v>
      </c>
      <c r="BQ88" s="21">
        <f>EXP(-LN(2)/25)*BQ87+(1-EXP(-LN(2)/25))/(LN(2)/25)*Calculateur!BL88*Calculateur!BN88*VLOOKUP('Données projet'!$B$11,Paramètres!$A$1:$I$89,3,0)*0.475*44/12</f>
        <v>44.67991672535355</v>
      </c>
      <c r="BR88" s="21">
        <f>EXP(-LN(2)/2)*BR87+(1-EXP(-LN(2)/2))/(LN(2)/2)*BL88*BO88*VLOOKUP('Données projet'!$B$11,Paramètres!$A$1:$I$89,3,0)*0.475*44/12</f>
        <v>11.034634878563912</v>
      </c>
      <c r="BS88" s="22">
        <f t="shared" si="63"/>
        <v>102.79595891221405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7.6966666666666681</v>
      </c>
      <c r="N89" s="13">
        <f>IF('Données projet'!$A$36&gt;35,N88+M89-V88,IF(A89&lt;'Données projet'!$A$36,$K$205^A89,IF(A89='Données projet'!$A$36,'Données projet'!$B$36,N88+M89-V88)))</f>
        <v>249.49333333333365</v>
      </c>
      <c r="O89" s="13">
        <f>N89*VLOOKUP('Données projet'!$B$9,Paramètres!$A$1:$I$89,3,0)*VLOOKUP('Données projet'!$B$9,Paramètres!$A$1:$I$89,5,0)</f>
        <v>225.74156800000026</v>
      </c>
      <c r="P89" s="13">
        <f t="shared" si="87"/>
        <v>55.360909871129053</v>
      </c>
      <c r="Q89" s="20">
        <f t="shared" si="54"/>
        <v>489.58681562555012</v>
      </c>
      <c r="R89" s="59">
        <f t="shared" si="55"/>
        <v>782.92014895888337</v>
      </c>
      <c r="S89" s="59">
        <f ca="1">AVERAGE(OFFSET($R$3,0,0,'Données projet'!$E$9+1,1))-AVERAGE(OFFSET($H$3,0,0,'Données projet'!$E$9+1,1))</f>
        <v>298.01613436147056</v>
      </c>
      <c r="T89" s="59">
        <f t="shared" si="88"/>
        <v>212.70221374431253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21.64366097725787</v>
      </c>
      <c r="AA89" s="21">
        <f>EXP(-LN(2)/25)*AA88+(1-EXP(-LN(2)/25))/(LN(2)/25)*Calculateur!V89*Calculateur!X89*VLOOKUP('Données projet'!$B$9,Paramètres!$A$1:$I$89,3,0)*0.475*44/12</f>
        <v>25.668262807112324</v>
      </c>
      <c r="AB89" s="21">
        <f>EXP(-LN(2)/2)*AB88+(1-EXP(-LN(2)/2))/(LN(2)/2)*V89*Y89*VLOOKUP('Données projet'!$B$9,Paramètres!$A$1:$I$89,3,0)*0.475*44/12</f>
        <v>2.2074831766314471</v>
      </c>
      <c r="AC89" s="22">
        <f t="shared" si="57"/>
        <v>49.519406961001643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5.6843418860808015E-13</v>
      </c>
      <c r="AJ89" s="13">
        <f>AI89*VLOOKUP('Données projet'!$B$10,Paramètres!$A$1:$I$89,3,0)*VLOOKUP('Données projet'!$B$10,Paramètres!$A$1:$I$89,5,0)</f>
        <v>3.177547114319168E-13</v>
      </c>
      <c r="AK89" s="13">
        <f t="shared" si="89"/>
        <v>4.1725404435445377E-12</v>
      </c>
      <c r="AL89" s="20">
        <f t="shared" si="58"/>
        <v>7.820597394917325E-12</v>
      </c>
      <c r="AM89" s="59">
        <f t="shared" si="59"/>
        <v>293.33333333334116</v>
      </c>
      <c r="AN89" s="59">
        <f ca="1">AVERAGE(OFFSET($AM$3,0,0,'Données projet'!$E$10+1,1))-AVERAGE(OFFSET($H$3,0,0,'Données projet'!$E$10+1,1))</f>
        <v>287.413090017863</v>
      </c>
      <c r="AO89" s="59">
        <f t="shared" si="90"/>
        <v>258.48456031927117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168.08369399508476</v>
      </c>
      <c r="AV89" s="21">
        <f>EXP(-LN(2)/25)*AV88+(1-EXP(-LN(2)/25))/(LN(2)/25)*Calculateur!AQ89*Calculateur!AS89*VLOOKUP('Données projet'!$B$10,Paramètres!$A$1:$I$89,3,0)*0.475*44/12</f>
        <v>49.256182347795914</v>
      </c>
      <c r="AW89" s="21">
        <f>EXP(-LN(2)/2)*AW88+(1-EXP(-LN(2)/2))/(LN(2)/2)*AQ89*AT89*VLOOKUP('Données projet'!$B$10,Paramètres!$A$1:$I$89,3,0)*0.475*44/12</f>
        <v>0.29494345438601527</v>
      </c>
      <c r="AX89" s="21">
        <f t="shared" si="60"/>
        <v>217.63481979726669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243.33915530322201</v>
      </c>
      <c r="BJ89" s="59">
        <f t="shared" si="92"/>
        <v>247.73814704672577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46.158169627803794</v>
      </c>
      <c r="BQ89" s="21">
        <f>EXP(-LN(2)/25)*BQ88+(1-EXP(-LN(2)/25))/(LN(2)/25)*Calculateur!BL89*Calculateur!BN89*VLOOKUP('Données projet'!$B$11,Paramètres!$A$1:$I$89,3,0)*0.475*44/12</f>
        <v>43.458142052884057</v>
      </c>
      <c r="BR89" s="21">
        <f>EXP(-LN(2)/2)*BR88+(1-EXP(-LN(2)/2))/(LN(2)/2)*BL89*BO89*VLOOKUP('Données projet'!$B$11,Paramètres!$A$1:$I$89,3,0)*0.475*44/12</f>
        <v>7.8026651505501379</v>
      </c>
      <c r="BS89" s="22">
        <f t="shared" si="63"/>
        <v>97.418976831237998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7.6966666666666681</v>
      </c>
      <c r="N90" s="13">
        <f>IF('Données projet'!$A$36&gt;35,N89+M90-V89,IF(A90&lt;'Données projet'!$A$36,$K$205^A90,IF(A90='Données projet'!$A$36,'Données projet'!$B$36,N89+M90-V89)))</f>
        <v>257.19000000000034</v>
      </c>
      <c r="O90" s="13">
        <f>N90*VLOOKUP('Données projet'!$B$9,Paramètres!$A$1:$I$89,3,0)*VLOOKUP('Données projet'!$B$9,Paramètres!$A$1:$I$89,5,0)</f>
        <v>232.70551200000031</v>
      </c>
      <c r="P90" s="13">
        <f t="shared" si="87"/>
        <v>56.867277728071947</v>
      </c>
      <c r="Q90" s="20">
        <f t="shared" si="54"/>
        <v>504.33927544305925</v>
      </c>
      <c r="R90" s="59">
        <f t="shared" si="55"/>
        <v>797.67260877639251</v>
      </c>
      <c r="S90" s="59">
        <f ca="1">AVERAGE(OFFSET($R$3,0,0,'Données projet'!$E$9+1,1))-AVERAGE(OFFSET($H$3,0,0,'Données projet'!$E$9+1,1))</f>
        <v>298.01613436147056</v>
      </c>
      <c r="T90" s="59">
        <f t="shared" si="88"/>
        <v>212.70221374431253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21.219241986823516</v>
      </c>
      <c r="AA90" s="21">
        <f>EXP(-LN(2)/25)*AA89+(1-EXP(-LN(2)/25))/(LN(2)/25)*Calculateur!V90*Calculateur!X90*VLOOKUP('Données projet'!$B$9,Paramètres!$A$1:$I$89,3,0)*0.475*44/12</f>
        <v>24.966362810816563</v>
      </c>
      <c r="AB90" s="21">
        <f>EXP(-LN(2)/2)*AB89+(1-EXP(-LN(2)/2))/(LN(2)/2)*V90*Y90*VLOOKUP('Données projet'!$B$9,Paramètres!$A$1:$I$89,3,0)*0.475*44/12</f>
        <v>1.5609263235513176</v>
      </c>
      <c r="AC90" s="22">
        <f t="shared" si="57"/>
        <v>47.746531121191396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5.6843418860808015E-13</v>
      </c>
      <c r="AJ90" s="13">
        <f>AI90*VLOOKUP('Données projet'!$B$10,Paramètres!$A$1:$I$89,3,0)*VLOOKUP('Données projet'!$B$10,Paramètres!$A$1:$I$89,5,0)</f>
        <v>3.177547114319168E-13</v>
      </c>
      <c r="AK90" s="13">
        <f t="shared" si="89"/>
        <v>4.1725404435445377E-12</v>
      </c>
      <c r="AL90" s="20">
        <f t="shared" si="58"/>
        <v>7.820597394917325E-12</v>
      </c>
      <c r="AM90" s="59">
        <f t="shared" si="59"/>
        <v>293.33333333334116</v>
      </c>
      <c r="AN90" s="59">
        <f ca="1">AVERAGE(OFFSET($AM$3,0,0,'Données projet'!$E$10+1,1))-AVERAGE(OFFSET($H$3,0,0,'Données projet'!$E$10+1,1))</f>
        <v>287.413090017863</v>
      </c>
      <c r="AO90" s="59">
        <f t="shared" si="90"/>
        <v>258.48456031927117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164.78767527677138</v>
      </c>
      <c r="AV90" s="21">
        <f>EXP(-LN(2)/25)*AV89+(1-EXP(-LN(2)/25))/(LN(2)/25)*Calculateur!AQ90*Calculateur!AS90*VLOOKUP('Données projet'!$B$10,Paramètres!$A$1:$I$89,3,0)*0.475*44/12</f>
        <v>47.909269451225384</v>
      </c>
      <c r="AW90" s="21">
        <f>EXP(-LN(2)/2)*AW89+(1-EXP(-LN(2)/2))/(LN(2)/2)*AQ90*AT90*VLOOKUP('Données projet'!$B$10,Paramètres!$A$1:$I$89,3,0)*0.475*44/12</f>
        <v>0.20855651666293656</v>
      </c>
      <c r="AX90" s="21">
        <f t="shared" si="60"/>
        <v>212.90550124465969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243.33915530322201</v>
      </c>
      <c r="BJ90" s="59">
        <f t="shared" si="92"/>
        <v>247.73814704672577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45.253036075106088</v>
      </c>
      <c r="BQ90" s="21">
        <f>EXP(-LN(2)/25)*BQ89+(1-EXP(-LN(2)/25))/(LN(2)/25)*Calculateur!BL90*Calculateur!BN90*VLOOKUP('Données projet'!$B$11,Paramètres!$A$1:$I$89,3,0)*0.475*44/12</f>
        <v>42.269776873083579</v>
      </c>
      <c r="BR90" s="21">
        <f>EXP(-LN(2)/2)*BR89+(1-EXP(-LN(2)/2))/(LN(2)/2)*BL90*BO90*VLOOKUP('Données projet'!$B$11,Paramètres!$A$1:$I$89,3,0)*0.475*44/12</f>
        <v>5.5173174392819568</v>
      </c>
      <c r="BS90" s="22">
        <f t="shared" si="63"/>
        <v>93.040130387471621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7.6966666666666681</v>
      </c>
      <c r="N91" s="13">
        <f>IF('Données projet'!$A$36&gt;35,N90+M91-V90,IF(A91&lt;'Données projet'!$A$36,$K$205^A91,IF(A91='Données projet'!$A$36,'Données projet'!$B$36,N90+M91-V90)))</f>
        <v>264.886666666667</v>
      </c>
      <c r="O91" s="13">
        <f>N91*VLOOKUP('Données projet'!$B$9,Paramètres!$A$1:$I$89,3,0)*VLOOKUP('Données projet'!$B$9,Paramètres!$A$1:$I$89,5,0)</f>
        <v>239.66945600000031</v>
      </c>
      <c r="P91" s="13">
        <f t="shared" si="87"/>
        <v>58.368406626869316</v>
      </c>
      <c r="Q91" s="20">
        <f t="shared" si="54"/>
        <v>519.08261074179791</v>
      </c>
      <c r="R91" s="59">
        <f t="shared" si="55"/>
        <v>812.41594407513116</v>
      </c>
      <c r="S91" s="59">
        <f ca="1">AVERAGE(OFFSET($R$3,0,0,'Données projet'!$E$9+1,1))-AVERAGE(OFFSET($H$3,0,0,'Données projet'!$E$9+1,1))</f>
        <v>298.01613436147056</v>
      </c>
      <c r="T91" s="59">
        <f t="shared" si="88"/>
        <v>212.70221374431253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20.803145593921556</v>
      </c>
      <c r="AA91" s="21">
        <f>EXP(-LN(2)/25)*AA90+(1-EXP(-LN(2)/25))/(LN(2)/25)*Calculateur!V91*Calculateur!X91*VLOOKUP('Données projet'!$B$9,Paramètres!$A$1:$I$89,3,0)*0.475*44/12</f>
        <v>24.283656306830824</v>
      </c>
      <c r="AB91" s="21">
        <f>EXP(-LN(2)/2)*AB90+(1-EXP(-LN(2)/2))/(LN(2)/2)*V91*Y91*VLOOKUP('Données projet'!$B$9,Paramètres!$A$1:$I$89,3,0)*0.475*44/12</f>
        <v>1.1037415883157236</v>
      </c>
      <c r="AC91" s="22">
        <f t="shared" si="57"/>
        <v>46.190543489068098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5.6843418860808015E-13</v>
      </c>
      <c r="AJ91" s="13">
        <f>AI91*VLOOKUP('Données projet'!$B$10,Paramètres!$A$1:$I$89,3,0)*VLOOKUP('Données projet'!$B$10,Paramètres!$A$1:$I$89,5,0)</f>
        <v>3.177547114319168E-13</v>
      </c>
      <c r="AK91" s="13">
        <f t="shared" si="89"/>
        <v>4.1725404435445377E-12</v>
      </c>
      <c r="AL91" s="20">
        <f t="shared" si="58"/>
        <v>7.820597394917325E-12</v>
      </c>
      <c r="AM91" s="59">
        <f t="shared" si="59"/>
        <v>293.33333333334116</v>
      </c>
      <c r="AN91" s="59">
        <f ca="1">AVERAGE(OFFSET($AM$3,0,0,'Données projet'!$E$10+1,1))-AVERAGE(OFFSET($H$3,0,0,'Données projet'!$E$10+1,1))</f>
        <v>287.413090017863</v>
      </c>
      <c r="AO91" s="59">
        <f t="shared" si="90"/>
        <v>258.48456031927117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161.55628947515123</v>
      </c>
      <c r="AV91" s="21">
        <f>EXP(-LN(2)/25)*AV90+(1-EXP(-LN(2)/25))/(LN(2)/25)*Calculateur!AQ91*Calculateur!AS91*VLOOKUP('Données projet'!$B$10,Paramètres!$A$1:$I$89,3,0)*0.475*44/12</f>
        <v>46.599187958642645</v>
      </c>
      <c r="AW91" s="21">
        <f>EXP(-LN(2)/2)*AW90+(1-EXP(-LN(2)/2))/(LN(2)/2)*AQ91*AT91*VLOOKUP('Données projet'!$B$10,Paramètres!$A$1:$I$89,3,0)*0.475*44/12</f>
        <v>0.14747172719300763</v>
      </c>
      <c r="AX91" s="21">
        <f t="shared" si="60"/>
        <v>208.30294916098688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243.33915530322201</v>
      </c>
      <c r="BJ91" s="59">
        <f t="shared" si="92"/>
        <v>247.73814704672577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44.365651639299827</v>
      </c>
      <c r="BQ91" s="21">
        <f>EXP(-LN(2)/25)*BQ90+(1-EXP(-LN(2)/25))/(LN(2)/25)*Calculateur!BL91*Calculateur!BN91*VLOOKUP('Données projet'!$B$11,Paramètres!$A$1:$I$89,3,0)*0.475*44/12</f>
        <v>41.113907601618152</v>
      </c>
      <c r="BR91" s="21">
        <f>EXP(-LN(2)/2)*BR90+(1-EXP(-LN(2)/2))/(LN(2)/2)*BL91*BO91*VLOOKUP('Données projet'!$B$11,Paramètres!$A$1:$I$89,3,0)*0.475*44/12</f>
        <v>3.9013325752750698</v>
      </c>
      <c r="BS91" s="22">
        <f t="shared" si="63"/>
        <v>89.380891816193042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7.6966666666666681</v>
      </c>
      <c r="N92" s="13">
        <f>IF('Données projet'!$A$36&gt;35,N91+M92-V91,IF(A92&lt;'Données projet'!$A$36,$K$205^A92,IF(A92='Données projet'!$A$36,'Données projet'!$B$36,N91+M92-V91)))</f>
        <v>272.58333333333366</v>
      </c>
      <c r="O92" s="13">
        <f>N92*VLOOKUP('Données projet'!$B$9,Paramètres!$A$1:$I$89,3,0)*VLOOKUP('Données projet'!$B$9,Paramètres!$A$1:$I$89,5,0)</f>
        <v>246.63340000000028</v>
      </c>
      <c r="P92" s="13">
        <f t="shared" si="87"/>
        <v>59.864466273444549</v>
      </c>
      <c r="Q92" s="20">
        <f t="shared" si="54"/>
        <v>533.81711709291642</v>
      </c>
      <c r="R92" s="59">
        <f t="shared" si="55"/>
        <v>827.15045042624979</v>
      </c>
      <c r="S92" s="59">
        <f ca="1">AVERAGE(OFFSET($R$3,0,0,'Données projet'!$E$9+1,1))-AVERAGE(OFFSET($H$3,0,0,'Données projet'!$E$9+1,1))</f>
        <v>298.01613436147056</v>
      </c>
      <c r="T92" s="59">
        <f t="shared" si="88"/>
        <v>212.70221374431253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20.395208597490665</v>
      </c>
      <c r="AA92" s="21">
        <f>EXP(-LN(2)/25)*AA91+(1-EXP(-LN(2)/25))/(LN(2)/25)*Calculateur!V92*Calculateur!X92*VLOOKUP('Données projet'!$B$9,Paramètres!$A$1:$I$89,3,0)*0.475*44/12</f>
        <v>23.619618448098553</v>
      </c>
      <c r="AB92" s="21">
        <f>EXP(-LN(2)/2)*AB91+(1-EXP(-LN(2)/2))/(LN(2)/2)*V92*Y92*VLOOKUP('Données projet'!$B$9,Paramètres!$A$1:$I$89,3,0)*0.475*44/12</f>
        <v>0.78046316177565878</v>
      </c>
      <c r="AC92" s="22">
        <f t="shared" si="57"/>
        <v>44.795290207364872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5.6843418860808015E-13</v>
      </c>
      <c r="AJ92" s="13">
        <f>AI92*VLOOKUP('Données projet'!$B$10,Paramètres!$A$1:$I$89,3,0)*VLOOKUP('Données projet'!$B$10,Paramètres!$A$1:$I$89,5,0)</f>
        <v>3.177547114319168E-13</v>
      </c>
      <c r="AK92" s="13">
        <f t="shared" si="89"/>
        <v>4.1725404435445377E-12</v>
      </c>
      <c r="AL92" s="20">
        <f t="shared" si="58"/>
        <v>7.820597394917325E-12</v>
      </c>
      <c r="AM92" s="59">
        <f t="shared" si="59"/>
        <v>293.33333333334116</v>
      </c>
      <c r="AN92" s="59">
        <f ca="1">AVERAGE(OFFSET($AM$3,0,0,'Données projet'!$E$10+1,1))-AVERAGE(OFFSET($H$3,0,0,'Données projet'!$E$10+1,1))</f>
        <v>287.413090017863</v>
      </c>
      <c r="AO92" s="59">
        <f t="shared" si="90"/>
        <v>258.48456031927117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158.38826917815013</v>
      </c>
      <c r="AV92" s="21">
        <f>EXP(-LN(2)/25)*AV91+(1-EXP(-LN(2)/25))/(LN(2)/25)*Calculateur!AQ92*Calculateur!AS92*VLOOKUP('Données projet'!$B$10,Paramètres!$A$1:$I$89,3,0)*0.475*44/12</f>
        <v>45.324930713368772</v>
      </c>
      <c r="AW92" s="21">
        <f>EXP(-LN(2)/2)*AW91+(1-EXP(-LN(2)/2))/(LN(2)/2)*AQ92*AT92*VLOOKUP('Données projet'!$B$10,Paramètres!$A$1:$I$89,3,0)*0.475*44/12</f>
        <v>0.10427825833146828</v>
      </c>
      <c r="AX92" s="21">
        <f t="shared" si="60"/>
        <v>203.81747814985039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243.33915530322201</v>
      </c>
      <c r="BJ92" s="59">
        <f t="shared" si="92"/>
        <v>247.73814704672577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43.49566827102867</v>
      </c>
      <c r="BQ92" s="21">
        <f>EXP(-LN(2)/25)*BQ91+(1-EXP(-LN(2)/25))/(LN(2)/25)*Calculateur!BL92*Calculateur!BN92*VLOOKUP('Données projet'!$B$11,Paramètres!$A$1:$I$89,3,0)*0.475*44/12</f>
        <v>39.98964563616547</v>
      </c>
      <c r="BR92" s="21">
        <f>EXP(-LN(2)/2)*BR91+(1-EXP(-LN(2)/2))/(LN(2)/2)*BL92*BO92*VLOOKUP('Données projet'!$B$11,Paramètres!$A$1:$I$89,3,0)*0.475*44/12</f>
        <v>2.7586587196409789</v>
      </c>
      <c r="BS92" s="22">
        <f t="shared" si="63"/>
        <v>86.243972626835117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7.6966666666666681</v>
      </c>
      <c r="N93" s="13">
        <f>IF('Données projet'!$A$36&gt;35,N92+M93-V92,IF(A93&lt;'Données projet'!$A$36,$K$205^A93,IF(A93='Données projet'!$A$36,'Données projet'!$B$36,N92+M93-V92)))</f>
        <v>280.28000000000031</v>
      </c>
      <c r="O93" s="13">
        <f>N93*VLOOKUP('Données projet'!$B$9,Paramètres!$A$1:$I$89,3,0)*VLOOKUP('Données projet'!$B$9,Paramètres!$A$1:$I$89,5,0)</f>
        <v>253.59734400000028</v>
      </c>
      <c r="P93" s="13">
        <f t="shared" si="87"/>
        <v>61.355616244892218</v>
      </c>
      <c r="Q93" s="20">
        <f t="shared" si="54"/>
        <v>548.54307242652112</v>
      </c>
      <c r="R93" s="59">
        <f t="shared" si="55"/>
        <v>841.87640575985438</v>
      </c>
      <c r="S93" s="59">
        <f ca="1">AVERAGE(OFFSET($R$3,0,0,'Données projet'!$E$9+1,1))-AVERAGE(OFFSET($H$3,0,0,'Données projet'!$E$9+1,1))</f>
        <v>298.01613436147056</v>
      </c>
      <c r="T93" s="59">
        <f t="shared" si="88"/>
        <v>212.70221374431253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19.995270996742786</v>
      </c>
      <c r="AA93" s="21">
        <f>EXP(-LN(2)/25)*AA92+(1-EXP(-LN(2)/25))/(LN(2)/25)*Calculateur!V93*Calculateur!X93*VLOOKUP('Données projet'!$B$9,Paramètres!$A$1:$I$89,3,0)*0.475*44/12</f>
        <v>22.973738739533548</v>
      </c>
      <c r="AB93" s="21">
        <f>EXP(-LN(2)/2)*AB92+(1-EXP(-LN(2)/2))/(LN(2)/2)*V93*Y93*VLOOKUP('Données projet'!$B$9,Paramètres!$A$1:$I$89,3,0)*0.475*44/12</f>
        <v>0.55187079415786178</v>
      </c>
      <c r="AC93" s="22">
        <f t="shared" si="57"/>
        <v>43.520880530434198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5.6843418860808015E-13</v>
      </c>
      <c r="AJ93" s="13">
        <f>AI93*VLOOKUP('Données projet'!$B$10,Paramètres!$A$1:$I$89,3,0)*VLOOKUP('Données projet'!$B$10,Paramètres!$A$1:$I$89,5,0)</f>
        <v>3.177547114319168E-13</v>
      </c>
      <c r="AK93" s="13">
        <f t="shared" si="89"/>
        <v>4.1725404435445377E-12</v>
      </c>
      <c r="AL93" s="20">
        <f t="shared" si="58"/>
        <v>7.820597394917325E-12</v>
      </c>
      <c r="AM93" s="59">
        <f t="shared" si="59"/>
        <v>293.33333333334116</v>
      </c>
      <c r="AN93" s="59">
        <f ca="1">AVERAGE(OFFSET($AM$3,0,0,'Données projet'!$E$10+1,1))-AVERAGE(OFFSET($H$3,0,0,'Données projet'!$E$10+1,1))</f>
        <v>287.413090017863</v>
      </c>
      <c r="AO93" s="59">
        <f t="shared" si="90"/>
        <v>258.48456031927117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155.28237182687161</v>
      </c>
      <c r="AV93" s="21">
        <f>EXP(-LN(2)/25)*AV92+(1-EXP(-LN(2)/25))/(LN(2)/25)*Calculateur!AQ93*Calculateur!AS93*VLOOKUP('Données projet'!$B$10,Paramètres!$A$1:$I$89,3,0)*0.475*44/12</f>
        <v>44.085518099477191</v>
      </c>
      <c r="AW93" s="21">
        <f>EXP(-LN(2)/2)*AW92+(1-EXP(-LN(2)/2))/(LN(2)/2)*AQ93*AT93*VLOOKUP('Données projet'!$B$10,Paramètres!$A$1:$I$89,3,0)*0.475*44/12</f>
        <v>7.3735863596503817E-2</v>
      </c>
      <c r="AX93" s="21">
        <f t="shared" si="60"/>
        <v>199.44162578994531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243.33915530322201</v>
      </c>
      <c r="BJ93" s="59">
        <f t="shared" si="92"/>
        <v>247.73814704672577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42.642744745971846</v>
      </c>
      <c r="BQ93" s="21">
        <f>EXP(-LN(2)/25)*BQ92+(1-EXP(-LN(2)/25))/(LN(2)/25)*Calculateur!BL93*Calculateur!BN93*VLOOKUP('Données projet'!$B$11,Paramètres!$A$1:$I$89,3,0)*0.475*44/12</f>
        <v>38.896126673280456</v>
      </c>
      <c r="BR93" s="21">
        <f>EXP(-LN(2)/2)*BR92+(1-EXP(-LN(2)/2))/(LN(2)/2)*BL93*BO93*VLOOKUP('Données projet'!$B$11,Paramètres!$A$1:$I$89,3,0)*0.475*44/12</f>
        <v>1.9506662876375351</v>
      </c>
      <c r="BS93" s="22">
        <f t="shared" si="63"/>
        <v>83.489537706889834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7.6966666666666681</v>
      </c>
      <c r="N94" s="13">
        <f>IF('Données projet'!$A$36&gt;35,N93+M94-V93,IF(A94&lt;'Données projet'!$A$36,$K$205^A94,IF(A94='Données projet'!$A$36,'Données projet'!$B$36,N93+M94-V93)))</f>
        <v>287.97666666666697</v>
      </c>
      <c r="O94" s="13">
        <f>N94*VLOOKUP('Données projet'!$B$9,Paramètres!$A$1:$I$89,3,0)*VLOOKUP('Données projet'!$B$9,Paramètres!$A$1:$I$89,5,0)</f>
        <v>260.56128800000027</v>
      </c>
      <c r="P94" s="13">
        <f t="shared" si="87"/>
        <v>62.842006855343143</v>
      </c>
      <c r="Q94" s="20">
        <f t="shared" si="54"/>
        <v>563.26073853972309</v>
      </c>
      <c r="R94" s="59">
        <f t="shared" si="55"/>
        <v>856.59407187305646</v>
      </c>
      <c r="S94" s="59">
        <f ca="1">AVERAGE(OFFSET($R$3,0,0,'Données projet'!$E$9+1,1))-AVERAGE(OFFSET($H$3,0,0,'Données projet'!$E$9+1,1))</f>
        <v>298.01613436147056</v>
      </c>
      <c r="T94" s="59">
        <f t="shared" si="88"/>
        <v>212.70221374431253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19.603175928407722</v>
      </c>
      <c r="AA94" s="21">
        <f>EXP(-LN(2)/25)*AA93+(1-EXP(-LN(2)/25))/(LN(2)/25)*Calculateur!V94*Calculateur!X94*VLOOKUP('Données projet'!$B$9,Paramètres!$A$1:$I$89,3,0)*0.475*44/12</f>
        <v>22.345520645564591</v>
      </c>
      <c r="AB94" s="21">
        <f>EXP(-LN(2)/2)*AB93+(1-EXP(-LN(2)/2))/(LN(2)/2)*V94*Y94*VLOOKUP('Données projet'!$B$9,Paramètres!$A$1:$I$89,3,0)*0.475*44/12</f>
        <v>0.39023158088782939</v>
      </c>
      <c r="AC94" s="22">
        <f t="shared" si="57"/>
        <v>42.338928154860142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5.6843418860808015E-13</v>
      </c>
      <c r="AJ94" s="13">
        <f>AI94*VLOOKUP('Données projet'!$B$10,Paramètres!$A$1:$I$89,3,0)*VLOOKUP('Données projet'!$B$10,Paramètres!$A$1:$I$89,5,0)</f>
        <v>3.177547114319168E-13</v>
      </c>
      <c r="AK94" s="13">
        <f t="shared" si="89"/>
        <v>4.1725404435445377E-12</v>
      </c>
      <c r="AL94" s="20">
        <f t="shared" si="58"/>
        <v>7.820597394917325E-12</v>
      </c>
      <c r="AM94" s="59">
        <f t="shared" si="59"/>
        <v>293.33333333334116</v>
      </c>
      <c r="AN94" s="59">
        <f ca="1">AVERAGE(OFFSET($AM$3,0,0,'Données projet'!$E$10+1,1))-AVERAGE(OFFSET($H$3,0,0,'Données projet'!$E$10+1,1))</f>
        <v>287.413090017863</v>
      </c>
      <c r="AO94" s="59">
        <f t="shared" si="90"/>
        <v>258.48456031927117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152.23737922824134</v>
      </c>
      <c r="AV94" s="21">
        <f>EXP(-LN(2)/25)*AV93+(1-EXP(-LN(2)/25))/(LN(2)/25)*Calculateur!AQ94*Calculateur!AS94*VLOOKUP('Données projet'!$B$10,Paramètres!$A$1:$I$89,3,0)*0.475*44/12</f>
        <v>42.879997288690348</v>
      </c>
      <c r="AW94" s="21">
        <f>EXP(-LN(2)/2)*AW93+(1-EXP(-LN(2)/2))/(LN(2)/2)*AQ94*AT94*VLOOKUP('Données projet'!$B$10,Paramètres!$A$1:$I$89,3,0)*0.475*44/12</f>
        <v>5.2139129165734141E-2</v>
      </c>
      <c r="AX94" s="21">
        <f t="shared" si="60"/>
        <v>195.16951564609744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243.33915530322201</v>
      </c>
      <c r="BJ94" s="59">
        <f t="shared" si="92"/>
        <v>247.73814704672577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41.80654653100941</v>
      </c>
      <c r="BQ94" s="21">
        <f>EXP(-LN(2)/25)*BQ93+(1-EXP(-LN(2)/25))/(LN(2)/25)*Calculateur!BL94*Calculateur!BN94*VLOOKUP('Données projet'!$B$11,Paramètres!$A$1:$I$89,3,0)*0.475*44/12</f>
        <v>37.832510043941198</v>
      </c>
      <c r="BR94" s="21">
        <f>EXP(-LN(2)/2)*BR93+(1-EXP(-LN(2)/2))/(LN(2)/2)*BL94*BO94*VLOOKUP('Données projet'!$B$11,Paramètres!$A$1:$I$89,3,0)*0.475*44/12</f>
        <v>1.3793293598204897</v>
      </c>
      <c r="BS94" s="22">
        <f t="shared" si="63"/>
        <v>81.018385934771104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7.6966666666666681</v>
      </c>
      <c r="N95" s="13">
        <f>IF('Données projet'!$A$36&gt;35,N94+M95-V94,IF(A95&lt;'Données projet'!$A$36,$K$205^A95,IF(A95='Données projet'!$A$36,'Données projet'!$B$36,N94+M95-V94)))</f>
        <v>295.67333333333363</v>
      </c>
      <c r="O95" s="13">
        <f>N95*VLOOKUP('Données projet'!$B$9,Paramètres!$A$1:$I$89,3,0)*VLOOKUP('Données projet'!$B$9,Paramètres!$A$1:$I$89,5,0)</f>
        <v>267.5252320000003</v>
      </c>
      <c r="P95" s="13">
        <f t="shared" si="87"/>
        <v>64.323779926659213</v>
      </c>
      <c r="Q95" s="20">
        <f t="shared" si="54"/>
        <v>577.97036243893194</v>
      </c>
      <c r="R95" s="59">
        <f t="shared" si="55"/>
        <v>871.3036957722652</v>
      </c>
      <c r="S95" s="59">
        <f ca="1">AVERAGE(OFFSET($R$3,0,0,'Données projet'!$E$9+1,1))-AVERAGE(OFFSET($H$3,0,0,'Données projet'!$E$9+1,1))</f>
        <v>298.01613436147056</v>
      </c>
      <c r="T95" s="59">
        <f t="shared" si="88"/>
        <v>212.70221374431253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19.218769605208333</v>
      </c>
      <c r="AA95" s="21">
        <f>EXP(-LN(2)/25)*AA94+(1-EXP(-LN(2)/25))/(LN(2)/25)*Calculateur!V95*Calculateur!X95*VLOOKUP('Données projet'!$B$9,Paramètres!$A$1:$I$89,3,0)*0.475*44/12</f>
        <v>21.734481208411768</v>
      </c>
      <c r="AB95" s="21">
        <f>EXP(-LN(2)/2)*AB94+(1-EXP(-LN(2)/2))/(LN(2)/2)*V95*Y95*VLOOKUP('Données projet'!$B$9,Paramètres!$A$1:$I$89,3,0)*0.475*44/12</f>
        <v>0.27593539707893089</v>
      </c>
      <c r="AC95" s="22">
        <f t="shared" si="57"/>
        <v>41.229186210699034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5.6843418860808015E-13</v>
      </c>
      <c r="AJ95" s="13">
        <f>AI95*VLOOKUP('Données projet'!$B$10,Paramètres!$A$1:$I$89,3,0)*VLOOKUP('Données projet'!$B$10,Paramètres!$A$1:$I$89,5,0)</f>
        <v>3.177547114319168E-13</v>
      </c>
      <c r="AK95" s="13">
        <f t="shared" si="89"/>
        <v>4.1725404435445377E-12</v>
      </c>
      <c r="AL95" s="20">
        <f t="shared" si="58"/>
        <v>7.820597394917325E-12</v>
      </c>
      <c r="AM95" s="59">
        <f t="shared" si="59"/>
        <v>293.33333333334116</v>
      </c>
      <c r="AN95" s="59">
        <f ca="1">AVERAGE(OFFSET($AM$3,0,0,'Données projet'!$E$10+1,1))-AVERAGE(OFFSET($H$3,0,0,'Données projet'!$E$10+1,1))</f>
        <v>287.413090017863</v>
      </c>
      <c r="AO95" s="59">
        <f t="shared" si="90"/>
        <v>258.48456031927117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149.25209707720813</v>
      </c>
      <c r="AV95" s="21">
        <f>EXP(-LN(2)/25)*AV94+(1-EXP(-LN(2)/25))/(LN(2)/25)*Calculateur!AQ95*Calculateur!AS95*VLOOKUP('Données projet'!$B$10,Paramètres!$A$1:$I$89,3,0)*0.475*44/12</f>
        <v>41.707441507870058</v>
      </c>
      <c r="AW95" s="21">
        <f>EXP(-LN(2)/2)*AW94+(1-EXP(-LN(2)/2))/(LN(2)/2)*AQ95*AT95*VLOOKUP('Données projet'!$B$10,Paramètres!$A$1:$I$89,3,0)*0.475*44/12</f>
        <v>3.6867931798251909E-2</v>
      </c>
      <c r="AX95" s="21">
        <f t="shared" si="60"/>
        <v>190.99640651687642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243.33915530322201</v>
      </c>
      <c r="BJ95" s="59">
        <f t="shared" si="92"/>
        <v>247.73814704672577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40.986745653011837</v>
      </c>
      <c r="BQ95" s="21">
        <f>EXP(-LN(2)/25)*BQ94+(1-EXP(-LN(2)/25))/(LN(2)/25)*Calculateur!BL95*Calculateur!BN95*VLOOKUP('Données projet'!$B$11,Paramètres!$A$1:$I$89,3,0)*0.475*44/12</f>
        <v>36.797978067264388</v>
      </c>
      <c r="BR95" s="21">
        <f>EXP(-LN(2)/2)*BR94+(1-EXP(-LN(2)/2))/(LN(2)/2)*BL95*BO95*VLOOKUP('Données projet'!$B$11,Paramètres!$A$1:$I$89,3,0)*0.475*44/12</f>
        <v>0.97533314381876768</v>
      </c>
      <c r="BS95" s="22">
        <f t="shared" si="63"/>
        <v>78.760056864094992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303.37</v>
      </c>
      <c r="L96" s="12">
        <f>VLOOKUP(A96,'Données projet'!$A$35:$I$55,9,0)</f>
        <v>7.6966666666666681</v>
      </c>
      <c r="M96" s="12">
        <f t="array" ref="M96">INDEX(L:L,MIN(IF(ISNUMBER(L96:L292),ROW(L96:L292),"")))</f>
        <v>7.6966666666666681</v>
      </c>
      <c r="N96" s="13">
        <f>IF('Données projet'!$A$36&gt;35,N95+M96-V95,IF(A96&lt;'Données projet'!$A$36,$K$205^A96,IF(A96='Données projet'!$A$36,'Données projet'!$B$36,N95+M96-V95)))</f>
        <v>303.37000000000029</v>
      </c>
      <c r="O96" s="13">
        <f>N96*VLOOKUP('Données projet'!$B$9,Paramètres!$A$1:$I$89,3,0)*VLOOKUP('Données projet'!$B$9,Paramètres!$A$1:$I$89,5,0)</f>
        <v>274.48917600000021</v>
      </c>
      <c r="P96" s="13">
        <f t="shared" si="87"/>
        <v>65.801069476622146</v>
      </c>
      <c r="Q96" s="20">
        <f t="shared" si="54"/>
        <v>592.67217753845057</v>
      </c>
      <c r="R96" s="59">
        <f t="shared" si="55"/>
        <v>886.00551087178383</v>
      </c>
      <c r="S96" s="59">
        <f ca="1">AVERAGE(OFFSET($R$3,0,0,'Données projet'!$E$9+1,1))-AVERAGE(OFFSET($H$3,0,0,'Données projet'!$E$9+1,1))</f>
        <v>298.01613436147056</v>
      </c>
      <c r="T96" s="59">
        <f t="shared" si="88"/>
        <v>212.70221374431253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42.910000000000025</v>
      </c>
      <c r="W96" s="16">
        <f>IF(ISNA(VLOOKUP(A96,'Données projet'!$A$35:$I$55,5,0)),0%,VLOOKUP(A96,'Données projet'!$A$35:$I$55,5,0)*VLOOKUP('Données projet'!$B$9,Paramètres!$A$1:$I$89,7,0))</f>
        <v>0.15049999999999999</v>
      </c>
      <c r="X96" s="16">
        <f>IF(ISNA(VLOOKUP(A96,'Données projet'!$A$35:$I$55,6,0)),0%,VLOOKUP(A96,'Données projet'!$A$35:$I$55,6,0)*VLOOKUP('Données projet'!$B$9,Paramètres!$A$1:$I$89,7,0))</f>
        <v>8.6000000000000007E-2</v>
      </c>
      <c r="Y96" s="16">
        <f>IF(ISNA(VLOOKUP(A96,'Données projet'!$A$35:$I$55,7,0)),0%,VLOOKUP(A96,'Données projet'!$A$35:$I$55,7,0))</f>
        <v>0.1</v>
      </c>
      <c r="Z96" s="21">
        <f>EXP(-LN(2)/35)*Z95+(1-EXP(-LN(2)/35))/(LN(2)/35)*V96*W96*VLOOKUP('Données projet'!$B$9,Paramètres!$A$1:$I$89,3,0)*0.475*44/12</f>
        <v>25.301338998144534</v>
      </c>
      <c r="AA96" s="21">
        <f>EXP(-LN(2)/25)*AA95+(1-EXP(-LN(2)/25))/(LN(2)/25)*Calculateur!V96*Calculateur!X96*VLOOKUP('Données projet'!$B$9,Paramètres!$A$1:$I$89,3,0)*0.475*44/12</f>
        <v>24.816724662498768</v>
      </c>
      <c r="AB96" s="21">
        <f>EXP(-LN(2)/2)*AB95+(1-EXP(-LN(2)/2))/(LN(2)/2)*V96*Y96*VLOOKUP('Données projet'!$B$9,Paramètres!$A$1:$I$89,3,0)*0.475*44/12</f>
        <v>3.8583560171132096</v>
      </c>
      <c r="AC96" s="22">
        <f t="shared" si="57"/>
        <v>53.97641967775651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5.6843418860808015E-13</v>
      </c>
      <c r="AJ96" s="13">
        <f>AI96*VLOOKUP('Données projet'!$B$10,Paramètres!$A$1:$I$89,3,0)*VLOOKUP('Données projet'!$B$10,Paramètres!$A$1:$I$89,5,0)</f>
        <v>3.177547114319168E-13</v>
      </c>
      <c r="AK96" s="13">
        <f t="shared" si="89"/>
        <v>4.1725404435445377E-12</v>
      </c>
      <c r="AL96" s="20">
        <f t="shared" si="58"/>
        <v>7.820597394917325E-12</v>
      </c>
      <c r="AM96" s="59">
        <f t="shared" si="59"/>
        <v>293.33333333334116</v>
      </c>
      <c r="AN96" s="59">
        <f ca="1">AVERAGE(OFFSET($AM$3,0,0,'Données projet'!$E$10+1,1))-AVERAGE(OFFSET($H$3,0,0,'Données projet'!$E$10+1,1))</f>
        <v>287.413090017863</v>
      </c>
      <c r="AO96" s="59">
        <f t="shared" si="90"/>
        <v>258.48456031927117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146.32535448831436</v>
      </c>
      <c r="AV96" s="21">
        <f>EXP(-LN(2)/25)*AV95+(1-EXP(-LN(2)/25))/(LN(2)/25)*Calculateur!AQ96*Calculateur!AS96*VLOOKUP('Données projet'!$B$10,Paramètres!$A$1:$I$89,3,0)*0.475*44/12</f>
        <v>40.566949326538328</v>
      </c>
      <c r="AW96" s="21">
        <f>EXP(-LN(2)/2)*AW95+(1-EXP(-LN(2)/2))/(LN(2)/2)*AQ96*AT96*VLOOKUP('Données projet'!$B$10,Paramètres!$A$1:$I$89,3,0)*0.475*44/12</f>
        <v>2.6069564582867071E-2</v>
      </c>
      <c r="AX96" s="21">
        <f t="shared" si="60"/>
        <v>186.91837337943554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243.33915530322201</v>
      </c>
      <c r="BJ96" s="59">
        <f t="shared" si="92"/>
        <v>247.73814704672577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40.183020570202636</v>
      </c>
      <c r="BQ96" s="21">
        <f>EXP(-LN(2)/25)*BQ95+(1-EXP(-LN(2)/25))/(LN(2)/25)*Calculateur!BL96*Calculateur!BN96*VLOOKUP('Données projet'!$B$11,Paramètres!$A$1:$I$89,3,0)*0.475*44/12</f>
        <v>35.791735421893478</v>
      </c>
      <c r="BR96" s="21">
        <f>EXP(-LN(2)/2)*BR95+(1-EXP(-LN(2)/2))/(LN(2)/2)*BL96*BO96*VLOOKUP('Données projet'!$B$11,Paramètres!$A$1:$I$89,3,0)*0.475*44/12</f>
        <v>0.68966467991024494</v>
      </c>
      <c r="BS96" s="22">
        <f t="shared" si="63"/>
        <v>76.664420672006358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7.7249999999999996</v>
      </c>
      <c r="N97" s="13">
        <f>IF('Données projet'!$A$36&gt;35,N96+M97-V96,IF(A97&lt;'Données projet'!$A$36,$K$205^A97,IF(A97='Données projet'!$A$36,'Données projet'!$B$36,N96+M97-V96)))</f>
        <v>268.18500000000029</v>
      </c>
      <c r="O97" s="13">
        <f>N97*VLOOKUP('Données projet'!$B$9,Paramètres!$A$1:$I$89,3,0)*VLOOKUP('Données projet'!$B$9,Paramètres!$A$1:$I$89,5,0)</f>
        <v>242.65378800000025</v>
      </c>
      <c r="P97" s="13">
        <f t="shared" si="87"/>
        <v>59.010139953692004</v>
      </c>
      <c r="Q97" s="20">
        <f t="shared" si="54"/>
        <v>525.39800785268062</v>
      </c>
      <c r="R97" s="59">
        <f t="shared" si="55"/>
        <v>818.73134118601388</v>
      </c>
      <c r="S97" s="59">
        <f ca="1">AVERAGE(OFFSET($R$3,0,0,'Données projet'!$E$9+1,1))-AVERAGE(OFFSET($H$3,0,0,'Données projet'!$E$9+1,1))</f>
        <v>298.01613436147056</v>
      </c>
      <c r="T97" s="59">
        <f t="shared" si="88"/>
        <v>212.70221374431253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24.805195172683895</v>
      </c>
      <c r="AA97" s="21">
        <f>EXP(-LN(2)/25)*AA96+(1-EXP(-LN(2)/25))/(LN(2)/25)*Calculateur!V97*Calculateur!X97*VLOOKUP('Données projet'!$B$9,Paramètres!$A$1:$I$89,3,0)*0.475*44/12</f>
        <v>24.138110021547909</v>
      </c>
      <c r="AB97" s="21">
        <f>EXP(-LN(2)/2)*AB96+(1-EXP(-LN(2)/2))/(LN(2)/2)*V97*Y97*VLOOKUP('Données projet'!$B$9,Paramètres!$A$1:$I$89,3,0)*0.475*44/12</f>
        <v>2.7282697039326695</v>
      </c>
      <c r="AC97" s="22">
        <f t="shared" si="57"/>
        <v>51.671574898164472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5.6843418860808015E-13</v>
      </c>
      <c r="AJ97" s="13">
        <f>AI97*VLOOKUP('Données projet'!$B$10,Paramètres!$A$1:$I$89,3,0)*VLOOKUP('Données projet'!$B$10,Paramètres!$A$1:$I$89,5,0)</f>
        <v>3.177547114319168E-13</v>
      </c>
      <c r="AK97" s="13">
        <f t="shared" si="89"/>
        <v>4.1725404435445377E-12</v>
      </c>
      <c r="AL97" s="20">
        <f t="shared" si="58"/>
        <v>7.820597394917325E-12</v>
      </c>
      <c r="AM97" s="59">
        <f t="shared" si="59"/>
        <v>293.33333333334116</v>
      </c>
      <c r="AN97" s="59">
        <f ca="1">AVERAGE(OFFSET($AM$3,0,0,'Données projet'!$E$10+1,1))-AVERAGE(OFFSET($H$3,0,0,'Données projet'!$E$10+1,1))</f>
        <v>287.413090017863</v>
      </c>
      <c r="AO97" s="59">
        <f t="shared" si="90"/>
        <v>258.48456031927117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143.45600353645207</v>
      </c>
      <c r="AV97" s="21">
        <f>EXP(-LN(2)/25)*AV96+(1-EXP(-LN(2)/25))/(LN(2)/25)*Calculateur!AQ97*Calculateur!AS97*VLOOKUP('Données projet'!$B$10,Paramètres!$A$1:$I$89,3,0)*0.475*44/12</f>
        <v>39.45764396388099</v>
      </c>
      <c r="AW97" s="21">
        <f>EXP(-LN(2)/2)*AW96+(1-EXP(-LN(2)/2))/(LN(2)/2)*AQ97*AT97*VLOOKUP('Données projet'!$B$10,Paramètres!$A$1:$I$89,3,0)*0.475*44/12</f>
        <v>1.8433965899125954E-2</v>
      </c>
      <c r="AX97" s="21">
        <f t="shared" si="60"/>
        <v>182.93208146623221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243.33915530322201</v>
      </c>
      <c r="BJ97" s="59">
        <f t="shared" si="92"/>
        <v>247.73814704672577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39.395056046043429</v>
      </c>
      <c r="BQ97" s="21">
        <f>EXP(-LN(2)/25)*BQ96+(1-EXP(-LN(2)/25))/(LN(2)/25)*Calculateur!BL97*Calculateur!BN97*VLOOKUP('Données projet'!$B$11,Paramètres!$A$1:$I$89,3,0)*0.475*44/12</f>
        <v>34.813008534576241</v>
      </c>
      <c r="BR97" s="21">
        <f>EXP(-LN(2)/2)*BR96+(1-EXP(-LN(2)/2))/(LN(2)/2)*BL97*BO97*VLOOKUP('Données projet'!$B$11,Paramètres!$A$1:$I$89,3,0)*0.475*44/12</f>
        <v>0.48766657190938395</v>
      </c>
      <c r="BS97" s="22">
        <f t="shared" si="63"/>
        <v>74.695731152529049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7.7249999999999996</v>
      </c>
      <c r="N98" s="13">
        <f>IF('Données projet'!$A$36&gt;35,N97+M98-V97,IF(A98&lt;'Données projet'!$A$36,$K$205^A98,IF(A98='Données projet'!$A$36,'Données projet'!$B$36,N97+M98-V97)))</f>
        <v>275.91000000000031</v>
      </c>
      <c r="O98" s="13">
        <f>N98*VLOOKUP('Données projet'!$B$9,Paramètres!$A$1:$I$89,3,0)*VLOOKUP('Données projet'!$B$9,Paramètres!$A$1:$I$89,5,0)</f>
        <v>249.64336800000024</v>
      </c>
      <c r="P98" s="13">
        <f t="shared" si="87"/>
        <v>60.5095671334008</v>
      </c>
      <c r="Q98" s="20">
        <f t="shared" si="54"/>
        <v>540.1830286906735</v>
      </c>
      <c r="R98" s="59">
        <f t="shared" si="55"/>
        <v>833.51636202400687</v>
      </c>
      <c r="S98" s="59">
        <f ca="1">AVERAGE(OFFSET($R$3,0,0,'Données projet'!$E$9+1,1))-AVERAGE(OFFSET($H$3,0,0,'Données projet'!$E$9+1,1))</f>
        <v>298.01613436147056</v>
      </c>
      <c r="T98" s="59">
        <f t="shared" si="88"/>
        <v>212.70221374431253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24.318780425022688</v>
      </c>
      <c r="AA98" s="21">
        <f>EXP(-LN(2)/25)*AA97+(1-EXP(-LN(2)/25))/(LN(2)/25)*Calculateur!V98*Calculateur!X98*VLOOKUP('Données projet'!$B$9,Paramètres!$A$1:$I$89,3,0)*0.475*44/12</f>
        <v>23.478052133640645</v>
      </c>
      <c r="AB98" s="21">
        <f>EXP(-LN(2)/2)*AB97+(1-EXP(-LN(2)/2))/(LN(2)/2)*V98*Y98*VLOOKUP('Données projet'!$B$9,Paramètres!$A$1:$I$89,3,0)*0.475*44/12</f>
        <v>1.929178008556605</v>
      </c>
      <c r="AC98" s="22">
        <f t="shared" si="57"/>
        <v>49.726010567219937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5.6843418860808015E-13</v>
      </c>
      <c r="AJ98" s="13">
        <f>AI98*VLOOKUP('Données projet'!$B$10,Paramètres!$A$1:$I$89,3,0)*VLOOKUP('Données projet'!$B$10,Paramètres!$A$1:$I$89,5,0)</f>
        <v>3.177547114319168E-13</v>
      </c>
      <c r="AK98" s="13">
        <f t="shared" si="89"/>
        <v>4.1725404435445377E-12</v>
      </c>
      <c r="AL98" s="20">
        <f t="shared" si="58"/>
        <v>7.820597394917325E-12</v>
      </c>
      <c r="AM98" s="59">
        <f t="shared" si="59"/>
        <v>293.33333333334116</v>
      </c>
      <c r="AN98" s="59">
        <f ca="1">AVERAGE(OFFSET($AM$3,0,0,'Données projet'!$E$10+1,1))-AVERAGE(OFFSET($H$3,0,0,'Données projet'!$E$10+1,1))</f>
        <v>287.413090017863</v>
      </c>
      <c r="AO98" s="59">
        <f t="shared" si="90"/>
        <v>258.48456031927117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140.64291880662455</v>
      </c>
      <c r="AV98" s="21">
        <f>EXP(-LN(2)/25)*AV97+(1-EXP(-LN(2)/25))/(LN(2)/25)*Calculateur!AQ98*Calculateur!AS98*VLOOKUP('Données projet'!$B$10,Paramètres!$A$1:$I$89,3,0)*0.475*44/12</f>
        <v>38.378672614701351</v>
      </c>
      <c r="AW98" s="21">
        <f>EXP(-LN(2)/2)*AW97+(1-EXP(-LN(2)/2))/(LN(2)/2)*AQ98*AT98*VLOOKUP('Données projet'!$B$10,Paramètres!$A$1:$I$89,3,0)*0.475*44/12</f>
        <v>1.3034782291433535E-2</v>
      </c>
      <c r="AX98" s="21">
        <f t="shared" si="60"/>
        <v>179.03462620361734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243.33915530322201</v>
      </c>
      <c r="BJ98" s="59">
        <f t="shared" si="92"/>
        <v>247.73814704672577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38.62254302559208</v>
      </c>
      <c r="BQ98" s="21">
        <f>EXP(-LN(2)/25)*BQ97+(1-EXP(-LN(2)/25))/(LN(2)/25)*Calculateur!BL98*Calculateur!BN98*VLOOKUP('Données projet'!$B$11,Paramètres!$A$1:$I$89,3,0)*0.475*44/12</f>
        <v>33.861044985461703</v>
      </c>
      <c r="BR98" s="21">
        <f>EXP(-LN(2)/2)*BR97+(1-EXP(-LN(2)/2))/(LN(2)/2)*BL98*BO98*VLOOKUP('Données projet'!$B$11,Paramètres!$A$1:$I$89,3,0)*0.475*44/12</f>
        <v>0.34483233995512252</v>
      </c>
      <c r="BS98" s="22">
        <f t="shared" si="63"/>
        <v>72.828420351008901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7.7249999999999996</v>
      </c>
      <c r="N99" s="13">
        <f>IF('Données projet'!$A$36&gt;35,N98+M99-V98,IF(A99&lt;'Données projet'!$A$36,$K$205^A99,IF(A99='Données projet'!$A$36,'Données projet'!$B$36,N98+M99-V98)))</f>
        <v>283.63500000000033</v>
      </c>
      <c r="O99" s="13">
        <f>N99*VLOOKUP('Données projet'!$B$9,Paramètres!$A$1:$I$89,3,0)*VLOOKUP('Données projet'!$B$9,Paramètres!$A$1:$I$89,5,0)</f>
        <v>256.63294800000028</v>
      </c>
      <c r="P99" s="13">
        <f t="shared" si="87"/>
        <v>62.00411496417383</v>
      </c>
      <c r="Q99" s="20">
        <f t="shared" ref="Q99:Q130" si="107">(O99+P99)*0.475*44/12</f>
        <v>554.95955132926986</v>
      </c>
      <c r="R99" s="59">
        <f t="shared" si="55"/>
        <v>848.29288466260323</v>
      </c>
      <c r="S99" s="59">
        <f ca="1">AVERAGE(OFFSET($R$3,0,0,'Données projet'!$E$9+1,1))-AVERAGE(OFFSET($H$3,0,0,'Données projet'!$E$9+1,1))</f>
        <v>298.01613436147056</v>
      </c>
      <c r="T99" s="59">
        <f t="shared" si="88"/>
        <v>212.70221374431253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23.841903973879415</v>
      </c>
      <c r="AA99" s="21">
        <f>EXP(-LN(2)/25)*AA98+(1-EXP(-LN(2)/25))/(LN(2)/25)*Calculateur!V99*Calculateur!X99*VLOOKUP('Données projet'!$B$9,Paramètres!$A$1:$I$89,3,0)*0.475*44/12</f>
        <v>22.83604356338914</v>
      </c>
      <c r="AB99" s="21">
        <f>EXP(-LN(2)/2)*AB98+(1-EXP(-LN(2)/2))/(LN(2)/2)*V99*Y99*VLOOKUP('Données projet'!$B$9,Paramètres!$A$1:$I$89,3,0)*0.475*44/12</f>
        <v>1.364134851966335</v>
      </c>
      <c r="AC99" s="22">
        <f t="shared" si="57"/>
        <v>48.042082389234885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5.6843418860808015E-13</v>
      </c>
      <c r="AJ99" s="13">
        <f>AI99*VLOOKUP('Données projet'!$B$10,Paramètres!$A$1:$I$89,3,0)*VLOOKUP('Données projet'!$B$10,Paramètres!$A$1:$I$89,5,0)</f>
        <v>3.177547114319168E-13</v>
      </c>
      <c r="AK99" s="13">
        <f t="shared" si="89"/>
        <v>4.1725404435445377E-12</v>
      </c>
      <c r="AL99" s="20">
        <f t="shared" si="58"/>
        <v>7.820597394917325E-12</v>
      </c>
      <c r="AM99" s="59">
        <f t="shared" si="59"/>
        <v>293.33333333334116</v>
      </c>
      <c r="AN99" s="59">
        <f ca="1">AVERAGE(OFFSET($AM$3,0,0,'Données projet'!$E$10+1,1))-AVERAGE(OFFSET($H$3,0,0,'Données projet'!$E$10+1,1))</f>
        <v>287.413090017863</v>
      </c>
      <c r="AO99" s="59">
        <f t="shared" si="90"/>
        <v>258.48456031927117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137.88499695253668</v>
      </c>
      <c r="AV99" s="21">
        <f>EXP(-LN(2)/25)*AV98+(1-EXP(-LN(2)/25))/(LN(2)/25)*Calculateur!AQ99*Calculateur!AS99*VLOOKUP('Données projet'!$B$10,Paramètres!$A$1:$I$89,3,0)*0.475*44/12</f>
        <v>37.329205793805663</v>
      </c>
      <c r="AW99" s="21">
        <f>EXP(-LN(2)/2)*AW98+(1-EXP(-LN(2)/2))/(LN(2)/2)*AQ99*AT99*VLOOKUP('Données projet'!$B$10,Paramètres!$A$1:$I$89,3,0)*0.475*44/12</f>
        <v>9.2169829495629772E-3</v>
      </c>
      <c r="AX99" s="21">
        <f t="shared" si="60"/>
        <v>175.22341972929192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243.33915530322201</v>
      </c>
      <c r="BJ99" s="59">
        <f t="shared" si="92"/>
        <v>247.73814704672577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37.865178514285361</v>
      </c>
      <c r="BQ99" s="21">
        <f>EXP(-LN(2)/25)*BQ98+(1-EXP(-LN(2)/25))/(LN(2)/25)*Calculateur!BL99*Calculateur!BN99*VLOOKUP('Données projet'!$B$11,Paramètres!$A$1:$I$89,3,0)*0.475*44/12</f>
        <v>32.93511292965929</v>
      </c>
      <c r="BR99" s="21">
        <f>EXP(-LN(2)/2)*BR98+(1-EXP(-LN(2)/2))/(LN(2)/2)*BL99*BO99*VLOOKUP('Données projet'!$B$11,Paramètres!$A$1:$I$89,3,0)*0.475*44/12</f>
        <v>0.243833285954692</v>
      </c>
      <c r="BS99" s="22">
        <f t="shared" si="63"/>
        <v>71.044124729899337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7.7249999999999996</v>
      </c>
      <c r="N100" s="13">
        <f>IF('Données projet'!$A$36&gt;35,N99+M100-V99,IF(A100&lt;'Données projet'!$A$36,$K$205^A100,IF(A100='Données projet'!$A$36,'Données projet'!$B$36,N99+M100-V99)))</f>
        <v>291.36000000000035</v>
      </c>
      <c r="O100" s="13">
        <f>N100*VLOOKUP('Données projet'!$B$9,Paramètres!$A$1:$I$89,3,0)*VLOOKUP('Données projet'!$B$9,Paramètres!$A$1:$I$89,5,0)</f>
        <v>263.62252800000033</v>
      </c>
      <c r="P100" s="13">
        <f t="shared" si="87"/>
        <v>63.493931609397407</v>
      </c>
      <c r="Q100" s="20">
        <f t="shared" si="107"/>
        <v>569.727833819701</v>
      </c>
      <c r="R100" s="59">
        <f t="shared" si="55"/>
        <v>863.06116715303438</v>
      </c>
      <c r="S100" s="59">
        <f ca="1">AVERAGE(OFFSET($R$3,0,0,'Données projet'!$E$9+1,1))-AVERAGE(OFFSET($H$3,0,0,'Données projet'!$E$9+1,1))</f>
        <v>298.01613436147056</v>
      </c>
      <c r="T100" s="59">
        <f t="shared" si="88"/>
        <v>212.70221374431253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23.374378779077148</v>
      </c>
      <c r="AA100" s="21">
        <f>EXP(-LN(2)/25)*AA99+(1-EXP(-LN(2)/25))/(LN(2)/25)*Calculateur!V100*Calculateur!X100*VLOOKUP('Données projet'!$B$9,Paramètres!$A$1:$I$89,3,0)*0.475*44/12</f>
        <v>22.211590751252924</v>
      </c>
      <c r="AB100" s="21">
        <f>EXP(-LN(2)/2)*AB99+(1-EXP(-LN(2)/2))/(LN(2)/2)*V100*Y100*VLOOKUP('Données projet'!$B$9,Paramètres!$A$1:$I$89,3,0)*0.475*44/12</f>
        <v>0.96458900427830274</v>
      </c>
      <c r="AC100" s="22">
        <f t="shared" si="57"/>
        <v>46.550558534608378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5.6843418860808015E-13</v>
      </c>
      <c r="AJ100" s="13">
        <f>AI100*VLOOKUP('Données projet'!$B$10,Paramètres!$A$1:$I$89,3,0)*VLOOKUP('Données projet'!$B$10,Paramètres!$A$1:$I$89,5,0)</f>
        <v>3.177547114319168E-13</v>
      </c>
      <c r="AK100" s="13">
        <f t="shared" si="89"/>
        <v>4.1725404435445377E-12</v>
      </c>
      <c r="AL100" s="20">
        <f t="shared" si="58"/>
        <v>7.820597394917325E-12</v>
      </c>
      <c r="AM100" s="59">
        <f t="shared" si="59"/>
        <v>293.33333333334116</v>
      </c>
      <c r="AN100" s="59">
        <f ca="1">AVERAGE(OFFSET($AM$3,0,0,'Données projet'!$E$10+1,1))-AVERAGE(OFFSET($H$3,0,0,'Données projet'!$E$10+1,1))</f>
        <v>287.413090017863</v>
      </c>
      <c r="AO100" s="59">
        <f t="shared" si="90"/>
        <v>258.48456031927117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135.18115626384125</v>
      </c>
      <c r="AV100" s="21">
        <f>EXP(-LN(2)/25)*AV99+(1-EXP(-LN(2)/25))/(LN(2)/25)*Calculateur!AQ100*Calculateur!AS100*VLOOKUP('Données projet'!$B$10,Paramètres!$A$1:$I$89,3,0)*0.475*44/12</f>
        <v>36.308436698316434</v>
      </c>
      <c r="AW100" s="21">
        <f>EXP(-LN(2)/2)*AW99+(1-EXP(-LN(2)/2))/(LN(2)/2)*AQ100*AT100*VLOOKUP('Données projet'!$B$10,Paramètres!$A$1:$I$89,3,0)*0.475*44/12</f>
        <v>6.5173911457167676E-3</v>
      </c>
      <c r="AX100" s="21">
        <f t="shared" si="60"/>
        <v>171.49611035330338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243.33915530322201</v>
      </c>
      <c r="BJ100" s="59">
        <f t="shared" si="92"/>
        <v>247.73814704672577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37.122665459098627</v>
      </c>
      <c r="BQ100" s="21">
        <f>EXP(-LN(2)/25)*BQ99+(1-EXP(-LN(2)/25))/(LN(2)/25)*Calculateur!BL100*Calculateur!BN100*VLOOKUP('Données projet'!$B$11,Paramètres!$A$1:$I$89,3,0)*0.475*44/12</f>
        <v>32.034500534615439</v>
      </c>
      <c r="BR100" s="21">
        <f>EXP(-LN(2)/2)*BR99+(1-EXP(-LN(2)/2))/(LN(2)/2)*BL100*BO100*VLOOKUP('Données projet'!$B$11,Paramètres!$A$1:$I$89,3,0)*0.475*44/12</f>
        <v>0.17241616997756129</v>
      </c>
      <c r="BS100" s="22">
        <f t="shared" si="63"/>
        <v>69.32958216369164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7.7249999999999996</v>
      </c>
      <c r="N101" s="13">
        <f>IF('Données projet'!$A$36&gt;35,N100+M101-V100,IF(A101&lt;'Données projet'!$A$36,$K$205^A101,IF(A101='Données projet'!$A$36,'Données projet'!$B$36,N100+M101-V100)))</f>
        <v>299.08500000000038</v>
      </c>
      <c r="O101" s="13">
        <f>N101*VLOOKUP('Données projet'!$B$9,Paramètres!$A$1:$I$89,3,0)*VLOOKUP('Données projet'!$B$9,Paramètres!$A$1:$I$89,5,0)</f>
        <v>270.61210800000032</v>
      </c>
      <c r="P101" s="13">
        <f t="shared" si="87"/>
        <v>64.979156928389983</v>
      </c>
      <c r="Q101" s="20">
        <f t="shared" si="107"/>
        <v>584.48811975027968</v>
      </c>
      <c r="R101" s="59">
        <f t="shared" si="55"/>
        <v>877.82145308361305</v>
      </c>
      <c r="S101" s="59">
        <f ca="1">AVERAGE(OFFSET($R$3,0,0,'Données projet'!$E$9+1,1))-AVERAGE(OFFSET($H$3,0,0,'Données projet'!$E$9+1,1))</f>
        <v>298.01613436147056</v>
      </c>
      <c r="T101" s="59">
        <f t="shared" si="88"/>
        <v>212.70221374431253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22.916021468182741</v>
      </c>
      <c r="AA101" s="21">
        <f>EXP(-LN(2)/25)*AA100+(1-EXP(-LN(2)/25))/(LN(2)/25)*Calculateur!V101*Calculateur!X101*VLOOKUP('Données projet'!$B$9,Paramètres!$A$1:$I$89,3,0)*0.475*44/12</f>
        <v>21.604213634103122</v>
      </c>
      <c r="AB101" s="21">
        <f>EXP(-LN(2)/2)*AB100+(1-EXP(-LN(2)/2))/(LN(2)/2)*V101*Y101*VLOOKUP('Données projet'!$B$9,Paramètres!$A$1:$I$89,3,0)*0.475*44/12</f>
        <v>0.68206742598316761</v>
      </c>
      <c r="AC101" s="22">
        <f t="shared" si="57"/>
        <v>45.202302528269037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5.6843418860808015E-13</v>
      </c>
      <c r="AJ101" s="13">
        <f>AI101*VLOOKUP('Données projet'!$B$10,Paramètres!$A$1:$I$89,3,0)*VLOOKUP('Données projet'!$B$10,Paramètres!$A$1:$I$89,5,0)</f>
        <v>3.177547114319168E-13</v>
      </c>
      <c r="AK101" s="13">
        <f t="shared" si="89"/>
        <v>4.1725404435445377E-12</v>
      </c>
      <c r="AL101" s="20">
        <f t="shared" si="58"/>
        <v>7.820597394917325E-12</v>
      </c>
      <c r="AM101" s="59">
        <f t="shared" si="59"/>
        <v>293.33333333334116</v>
      </c>
      <c r="AN101" s="59">
        <f ca="1">AVERAGE(OFFSET($AM$3,0,0,'Données projet'!$E$10+1,1))-AVERAGE(OFFSET($H$3,0,0,'Données projet'!$E$10+1,1))</f>
        <v>287.413090017863</v>
      </c>
      <c r="AO101" s="59">
        <f t="shared" si="90"/>
        <v>258.48456031927117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132.53033624187114</v>
      </c>
      <c r="AV101" s="21">
        <f>EXP(-LN(2)/25)*AV100+(1-EXP(-LN(2)/25))/(LN(2)/25)*Calculateur!AQ101*Calculateur!AS101*VLOOKUP('Données projet'!$B$10,Paramètres!$A$1:$I$89,3,0)*0.475*44/12</f>
        <v>35.31558058742327</v>
      </c>
      <c r="AW101" s="21">
        <f>EXP(-LN(2)/2)*AW100+(1-EXP(-LN(2)/2))/(LN(2)/2)*AQ101*AT101*VLOOKUP('Données projet'!$B$10,Paramètres!$A$1:$I$89,3,0)*0.475*44/12</f>
        <v>4.6084914747814886E-3</v>
      </c>
      <c r="AX101" s="21">
        <f t="shared" si="60"/>
        <v>167.85052532076921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243.33915530322201</v>
      </c>
      <c r="BJ101" s="59">
        <f t="shared" si="92"/>
        <v>247.73814704672577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36.394712632035862</v>
      </c>
      <c r="BQ101" s="21">
        <f>EXP(-LN(2)/25)*BQ100+(1-EXP(-LN(2)/25))/(LN(2)/25)*Calculateur!BL101*Calculateur!BN101*VLOOKUP('Données projet'!$B$11,Paramètres!$A$1:$I$89,3,0)*0.475*44/12</f>
        <v>31.158515432875213</v>
      </c>
      <c r="BR101" s="21">
        <f>EXP(-LN(2)/2)*BR100+(1-EXP(-LN(2)/2))/(LN(2)/2)*BL101*BO101*VLOOKUP('Données projet'!$B$11,Paramètres!$A$1:$I$89,3,0)*0.475*44/12</f>
        <v>0.12191664297734603</v>
      </c>
      <c r="BS101" s="22">
        <f t="shared" si="63"/>
        <v>67.675144707888421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7.7249999999999996</v>
      </c>
      <c r="N102" s="13">
        <f>IF('Données projet'!$A$36&gt;35,N101+M102-V101,IF(A102&lt;'Données projet'!$A$36,$K$205^A102,IF(A102='Données projet'!$A$36,'Données projet'!$B$36,N101+M102-V101)))</f>
        <v>306.8100000000004</v>
      </c>
      <c r="O102" s="13">
        <f>N102*VLOOKUP('Données projet'!$B$9,Paramètres!$A$1:$I$89,3,0)*VLOOKUP('Données projet'!$B$9,Paramètres!$A$1:$I$89,5,0)</f>
        <v>277.60168800000031</v>
      </c>
      <c r="P102" s="13">
        <f t="shared" si="87"/>
        <v>66.459923144116161</v>
      </c>
      <c r="Q102" s="20">
        <f t="shared" si="107"/>
        <v>599.24063940933604</v>
      </c>
      <c r="R102" s="59">
        <f t="shared" si="55"/>
        <v>892.57397274266941</v>
      </c>
      <c r="S102" s="59">
        <f ca="1">AVERAGE(OFFSET($R$3,0,0,'Données projet'!$E$9+1,1))-AVERAGE(OFFSET($H$3,0,0,'Données projet'!$E$9+1,1))</f>
        <v>298.01613436147056</v>
      </c>
      <c r="T102" s="59">
        <f t="shared" si="88"/>
        <v>212.70221374431253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22.466652264584621</v>
      </c>
      <c r="AA102" s="21">
        <f>EXP(-LN(2)/25)*AA101+(1-EXP(-LN(2)/25))/(LN(2)/25)*Calculateur!V102*Calculateur!X102*VLOOKUP('Données projet'!$B$9,Paramètres!$A$1:$I$89,3,0)*0.475*44/12</f>
        <v>21.013445276162354</v>
      </c>
      <c r="AB102" s="21">
        <f>EXP(-LN(2)/2)*AB101+(1-EXP(-LN(2)/2))/(LN(2)/2)*V102*Y102*VLOOKUP('Données projet'!$B$9,Paramètres!$A$1:$I$89,3,0)*0.475*44/12</f>
        <v>0.48229450213915143</v>
      </c>
      <c r="AC102" s="22">
        <f t="shared" si="57"/>
        <v>43.96239204288613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5.6843418860808015E-13</v>
      </c>
      <c r="AJ102" s="13">
        <f>AI102*VLOOKUP('Données projet'!$B$10,Paramètres!$A$1:$I$89,3,0)*VLOOKUP('Données projet'!$B$10,Paramètres!$A$1:$I$89,5,0)</f>
        <v>3.177547114319168E-13</v>
      </c>
      <c r="AK102" s="13">
        <f t="shared" si="89"/>
        <v>4.1725404435445377E-12</v>
      </c>
      <c r="AL102" s="20">
        <f t="shared" si="58"/>
        <v>7.820597394917325E-12</v>
      </c>
      <c r="AM102" s="59">
        <f t="shared" si="59"/>
        <v>293.33333333334116</v>
      </c>
      <c r="AN102" s="59">
        <f ca="1">AVERAGE(OFFSET($AM$3,0,0,'Données projet'!$E$10+1,1))-AVERAGE(OFFSET($H$3,0,0,'Données projet'!$E$10+1,1))</f>
        <v>287.413090017863</v>
      </c>
      <c r="AO102" s="59">
        <f t="shared" si="90"/>
        <v>258.48456031927117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129.93149718369131</v>
      </c>
      <c r="AV102" s="21">
        <f>EXP(-LN(2)/25)*AV101+(1-EXP(-LN(2)/25))/(LN(2)/25)*Calculateur!AQ102*Calculateur!AS102*VLOOKUP('Données projet'!$B$10,Paramètres!$A$1:$I$89,3,0)*0.475*44/12</f>
        <v>34.349874179094513</v>
      </c>
      <c r="AW102" s="21">
        <f>EXP(-LN(2)/2)*AW101+(1-EXP(-LN(2)/2))/(LN(2)/2)*AQ102*AT102*VLOOKUP('Données projet'!$B$10,Paramètres!$A$1:$I$89,3,0)*0.475*44/12</f>
        <v>3.2586955728583838E-3</v>
      </c>
      <c r="AX102" s="21">
        <f t="shared" si="60"/>
        <v>164.28463005835869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243.33915530322201</v>
      </c>
      <c r="BJ102" s="59">
        <f t="shared" si="92"/>
        <v>247.73814704672577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35.681034515904415</v>
      </c>
      <c r="BQ102" s="21">
        <f>EXP(-LN(2)/25)*BQ101+(1-EXP(-LN(2)/25))/(LN(2)/25)*Calculateur!BL102*Calculateur!BN102*VLOOKUP('Données projet'!$B$11,Paramètres!$A$1:$I$89,3,0)*0.475*44/12</f>
        <v>30.306484189808128</v>
      </c>
      <c r="BR102" s="21">
        <f>EXP(-LN(2)/2)*BR101+(1-EXP(-LN(2)/2))/(LN(2)/2)*BL102*BO102*VLOOKUP('Données projet'!$B$11,Paramètres!$A$1:$I$89,3,0)*0.475*44/12</f>
        <v>8.6208084988780659E-2</v>
      </c>
      <c r="BS102" s="22">
        <f t="shared" si="63"/>
        <v>66.073726790701329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7.7249999999999996</v>
      </c>
      <c r="N103" s="13">
        <f>IF('Données projet'!$A$36&gt;35,N102+M103-V102,IF(A103&lt;'Données projet'!$A$36,$K$205^A103,IF(A103='Données projet'!$A$36,'Données projet'!$B$36,N102+M103-V102)))</f>
        <v>314.53500000000042</v>
      </c>
      <c r="O103" s="13">
        <f>N103*VLOOKUP('Données projet'!$B$9,Paramètres!$A$1:$I$89,3,0)*VLOOKUP('Données projet'!$B$9,Paramètres!$A$1:$I$89,5,0)</f>
        <v>284.59126800000041</v>
      </c>
      <c r="P103" s="13">
        <f t="shared" si="87"/>
        <v>67.936355441759275</v>
      </c>
      <c r="Q103" s="20">
        <f t="shared" si="107"/>
        <v>613.98561082773153</v>
      </c>
      <c r="R103" s="59">
        <f t="shared" si="55"/>
        <v>907.31894416106479</v>
      </c>
      <c r="S103" s="59">
        <f ca="1">AVERAGE(OFFSET($R$3,0,0,'Données projet'!$E$9+1,1))-AVERAGE(OFFSET($H$3,0,0,'Données projet'!$E$9+1,1))</f>
        <v>298.01613436147056</v>
      </c>
      <c r="T103" s="59">
        <f t="shared" si="88"/>
        <v>212.70221374431253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22.026094916980909</v>
      </c>
      <c r="AA103" s="21">
        <f>EXP(-LN(2)/25)*AA102+(1-EXP(-LN(2)/25))/(LN(2)/25)*Calculateur!V103*Calculateur!X103*VLOOKUP('Données projet'!$B$9,Paramètres!$A$1:$I$89,3,0)*0.475*44/12</f>
        <v>20.438831510036636</v>
      </c>
      <c r="AB103" s="21">
        <f>EXP(-LN(2)/2)*AB102+(1-EXP(-LN(2)/2))/(LN(2)/2)*V103*Y103*VLOOKUP('Données projet'!$B$9,Paramètres!$A$1:$I$89,3,0)*0.475*44/12</f>
        <v>0.34103371299158386</v>
      </c>
      <c r="AC103" s="22">
        <f t="shared" si="57"/>
        <v>42.805960140009127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5.6843418860808015E-13</v>
      </c>
      <c r="AJ103" s="13">
        <f>AI103*VLOOKUP('Données projet'!$B$10,Paramètres!$A$1:$I$89,3,0)*VLOOKUP('Données projet'!$B$10,Paramètres!$A$1:$I$89,5,0)</f>
        <v>3.177547114319168E-13</v>
      </c>
      <c r="AK103" s="13">
        <f t="shared" si="89"/>
        <v>4.1725404435445377E-12</v>
      </c>
      <c r="AL103" s="20">
        <f t="shared" si="58"/>
        <v>7.820597394917325E-12</v>
      </c>
      <c r="AM103" s="59">
        <f t="shared" si="59"/>
        <v>293.33333333334116</v>
      </c>
      <c r="AN103" s="59">
        <f ca="1">AVERAGE(OFFSET($AM$3,0,0,'Données projet'!$E$10+1,1))-AVERAGE(OFFSET($H$3,0,0,'Données projet'!$E$10+1,1))</f>
        <v>287.413090017863</v>
      </c>
      <c r="AO103" s="59">
        <f t="shared" si="90"/>
        <v>258.48456031927117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127.38361977430708</v>
      </c>
      <c r="AV103" s="21">
        <f>EXP(-LN(2)/25)*AV102+(1-EXP(-LN(2)/25))/(LN(2)/25)*Calculateur!AQ103*Calculateur!AS103*VLOOKUP('Données projet'!$B$10,Paramètres!$A$1:$I$89,3,0)*0.475*44/12</f>
        <v>33.410575063285798</v>
      </c>
      <c r="AW103" s="21">
        <f>EXP(-LN(2)/2)*AW102+(1-EXP(-LN(2)/2))/(LN(2)/2)*AQ103*AT103*VLOOKUP('Données projet'!$B$10,Paramètres!$A$1:$I$89,3,0)*0.475*44/12</f>
        <v>2.3042457373907443E-3</v>
      </c>
      <c r="AX103" s="21">
        <f t="shared" si="60"/>
        <v>160.79649908333025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243.33915530322201</v>
      </c>
      <c r="BJ103" s="59">
        <f t="shared" si="92"/>
        <v>247.73814704672577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34.98135119232964</v>
      </c>
      <c r="BQ103" s="21">
        <f>EXP(-LN(2)/25)*BQ102+(1-EXP(-LN(2)/25))/(LN(2)/25)*Calculateur!BL103*Calculateur!BN103*VLOOKUP('Données projet'!$B$11,Paramètres!$A$1:$I$89,3,0)*0.475*44/12</f>
        <v>29.477751785889087</v>
      </c>
      <c r="BR103" s="21">
        <f>EXP(-LN(2)/2)*BR102+(1-EXP(-LN(2)/2))/(LN(2)/2)*BL103*BO103*VLOOKUP('Données projet'!$B$11,Paramètres!$A$1:$I$89,3,0)*0.475*44/12</f>
        <v>6.0958321488673022E-2</v>
      </c>
      <c r="BS103" s="22">
        <f t="shared" si="63"/>
        <v>64.520061299707393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7.7249999999999996</v>
      </c>
      <c r="N104" s="13">
        <f>IF('Données projet'!$A$36&gt;35,N103+M104-V103,IF(A104&lt;'Données projet'!$A$36,$K$205^A104,IF(A104='Données projet'!$A$36,'Données projet'!$B$36,N103+M104-V103)))</f>
        <v>322.26000000000045</v>
      </c>
      <c r="O104" s="13">
        <f>N104*VLOOKUP('Données projet'!$B$9,Paramètres!$A$1:$I$89,3,0)*VLOOKUP('Données projet'!$B$9,Paramètres!$A$1:$I$89,5,0)</f>
        <v>291.5808480000004</v>
      </c>
      <c r="P104" s="13">
        <f t="shared" si="87"/>
        <v>69.408572506835355</v>
      </c>
      <c r="Q104" s="20">
        <f t="shared" si="107"/>
        <v>628.72324071607227</v>
      </c>
      <c r="R104" s="59">
        <f t="shared" si="55"/>
        <v>922.05657404940553</v>
      </c>
      <c r="S104" s="59">
        <f ca="1">AVERAGE(OFFSET($R$3,0,0,'Données projet'!$E$9+1,1))-AVERAGE(OFFSET($H$3,0,0,'Données projet'!$E$9+1,1))</f>
        <v>298.01613436147056</v>
      </c>
      <c r="T104" s="59">
        <f t="shared" si="88"/>
        <v>212.70221374431253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21.594176630250256</v>
      </c>
      <c r="AA104" s="21">
        <f>EXP(-LN(2)/25)*AA103+(1-EXP(-LN(2)/25))/(LN(2)/25)*Calculateur!V104*Calculateur!X104*VLOOKUP('Données projet'!$B$9,Paramètres!$A$1:$I$89,3,0)*0.475*44/12</f>
        <v>19.879930587563248</v>
      </c>
      <c r="AB104" s="21">
        <f>EXP(-LN(2)/2)*AB103+(1-EXP(-LN(2)/2))/(LN(2)/2)*V104*Y104*VLOOKUP('Données projet'!$B$9,Paramètres!$A$1:$I$89,3,0)*0.475*44/12</f>
        <v>0.24114725106957574</v>
      </c>
      <c r="AC104" s="22">
        <f t="shared" si="57"/>
        <v>41.715254468883082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5.6843418860808015E-13</v>
      </c>
      <c r="AJ104" s="13">
        <f>AI104*VLOOKUP('Données projet'!$B$10,Paramètres!$A$1:$I$89,3,0)*VLOOKUP('Données projet'!$B$10,Paramètres!$A$1:$I$89,5,0)</f>
        <v>3.177547114319168E-13</v>
      </c>
      <c r="AK104" s="13">
        <f t="shared" si="89"/>
        <v>4.1725404435445377E-12</v>
      </c>
      <c r="AL104" s="20">
        <f t="shared" si="58"/>
        <v>7.820597394917325E-12</v>
      </c>
      <c r="AM104" s="59">
        <f t="shared" si="59"/>
        <v>293.33333333334116</v>
      </c>
      <c r="AN104" s="59">
        <f ca="1">AVERAGE(OFFSET($AM$3,0,0,'Données projet'!$E$10+1,1))-AVERAGE(OFFSET($H$3,0,0,'Données projet'!$E$10+1,1))</f>
        <v>287.413090017863</v>
      </c>
      <c r="AO104" s="59">
        <f t="shared" si="90"/>
        <v>258.48456031927117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124.8857046868691</v>
      </c>
      <c r="AV104" s="21">
        <f>EXP(-LN(2)/25)*AV103+(1-EXP(-LN(2)/25))/(LN(2)/25)*Calculateur!AQ104*Calculateur!AS104*VLOOKUP('Données projet'!$B$10,Paramètres!$A$1:$I$89,3,0)*0.475*44/12</f>
        <v>32.496961131194467</v>
      </c>
      <c r="AW104" s="21">
        <f>EXP(-LN(2)/2)*AW103+(1-EXP(-LN(2)/2))/(LN(2)/2)*AQ104*AT104*VLOOKUP('Données projet'!$B$10,Paramètres!$A$1:$I$89,3,0)*0.475*44/12</f>
        <v>1.6293477864291919E-3</v>
      </c>
      <c r="AX104" s="21">
        <f t="shared" si="60"/>
        <v>157.38429516585001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243.33915530322201</v>
      </c>
      <c r="BJ104" s="59">
        <f t="shared" si="92"/>
        <v>247.73814704672577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34.295388231965475</v>
      </c>
      <c r="BQ104" s="21">
        <f>EXP(-LN(2)/25)*BQ103+(1-EXP(-LN(2)/25))/(LN(2)/25)*Calculateur!BL104*Calculateur!BN104*VLOOKUP('Données projet'!$B$11,Paramètres!$A$1:$I$89,3,0)*0.475*44/12</f>
        <v>28.671681113136355</v>
      </c>
      <c r="BR104" s="21">
        <f>EXP(-LN(2)/2)*BR103+(1-EXP(-LN(2)/2))/(LN(2)/2)*BL104*BO104*VLOOKUP('Données projet'!$B$11,Paramètres!$A$1:$I$89,3,0)*0.475*44/12</f>
        <v>4.3104042494390336E-2</v>
      </c>
      <c r="BS104" s="22">
        <f t="shared" si="63"/>
        <v>63.010173387596225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7.7249999999999996</v>
      </c>
      <c r="N105" s="13">
        <f>IF('Données projet'!$A$36&gt;35,N104+M105-V104,IF(A105&lt;'Données projet'!$A$36,$K$205^A105,IF(A105='Données projet'!$A$36,'Données projet'!$B$36,N104+M105-V104)))</f>
        <v>329.98500000000047</v>
      </c>
      <c r="O105" s="13">
        <f>N105*VLOOKUP('Données projet'!$B$9,Paramètres!$A$1:$I$89,3,0)*VLOOKUP('Données projet'!$B$9,Paramètres!$A$1:$I$89,5,0)</f>
        <v>298.57042800000039</v>
      </c>
      <c r="P105" s="13">
        <f t="shared" si="87"/>
        <v>70.876687010255509</v>
      </c>
      <c r="Q105" s="20">
        <f t="shared" si="107"/>
        <v>643.45372530952898</v>
      </c>
      <c r="R105" s="59">
        <f t="shared" si="55"/>
        <v>936.78705864286235</v>
      </c>
      <c r="S105" s="59">
        <f ca="1">AVERAGE(OFFSET($R$3,0,0,'Données projet'!$E$9+1,1))-AVERAGE(OFFSET($H$3,0,0,'Données projet'!$E$9+1,1))</f>
        <v>298.01613436147056</v>
      </c>
      <c r="T105" s="59">
        <f t="shared" si="88"/>
        <v>212.70221374431253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21.170727997678252</v>
      </c>
      <c r="AA105" s="21">
        <f>EXP(-LN(2)/25)*AA104+(1-EXP(-LN(2)/25))/(LN(2)/25)*Calculateur!V105*Calculateur!X105*VLOOKUP('Données projet'!$B$9,Paramètres!$A$1:$I$89,3,0)*0.475*44/12</f>
        <v>19.336312840206219</v>
      </c>
      <c r="AB105" s="21">
        <f>EXP(-LN(2)/2)*AB104+(1-EXP(-LN(2)/2))/(LN(2)/2)*V105*Y105*VLOOKUP('Données projet'!$B$9,Paramètres!$A$1:$I$89,3,0)*0.475*44/12</f>
        <v>0.17051685649579196</v>
      </c>
      <c r="AC105" s="22">
        <f t="shared" si="57"/>
        <v>40.677557694380269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5.6843418860808015E-13</v>
      </c>
      <c r="AJ105" s="13">
        <f>AI105*VLOOKUP('Données projet'!$B$10,Paramètres!$A$1:$I$89,3,0)*VLOOKUP('Données projet'!$B$10,Paramètres!$A$1:$I$89,5,0)</f>
        <v>3.177547114319168E-13</v>
      </c>
      <c r="AK105" s="13">
        <f t="shared" si="89"/>
        <v>4.1725404435445377E-12</v>
      </c>
      <c r="AL105" s="20">
        <f t="shared" si="58"/>
        <v>7.820597394917325E-12</v>
      </c>
      <c r="AM105" s="59">
        <f t="shared" si="59"/>
        <v>293.33333333334116</v>
      </c>
      <c r="AN105" s="59">
        <f ca="1">AVERAGE(OFFSET($AM$3,0,0,'Données projet'!$E$10+1,1))-AVERAGE(OFFSET($H$3,0,0,'Données projet'!$E$10+1,1))</f>
        <v>287.413090017863</v>
      </c>
      <c r="AO105" s="59">
        <f t="shared" si="90"/>
        <v>258.48456031927117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122.43677219071803</v>
      </c>
      <c r="AV105" s="21">
        <f>EXP(-LN(2)/25)*AV104+(1-EXP(-LN(2)/25))/(LN(2)/25)*Calculateur!AQ105*Calculateur!AS105*VLOOKUP('Données projet'!$B$10,Paramètres!$A$1:$I$89,3,0)*0.475*44/12</f>
        <v>31.608330020121041</v>
      </c>
      <c r="AW105" s="21">
        <f>EXP(-LN(2)/2)*AW104+(1-EXP(-LN(2)/2))/(LN(2)/2)*AQ105*AT105*VLOOKUP('Données projet'!$B$10,Paramètres!$A$1:$I$89,3,0)*0.475*44/12</f>
        <v>1.1521228686953721E-3</v>
      </c>
      <c r="AX105" s="21">
        <f t="shared" si="60"/>
        <v>154.04625433370776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243.33915530322201</v>
      </c>
      <c r="BJ105" s="59">
        <f t="shared" si="92"/>
        <v>247.73814704672577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33.622876586857963</v>
      </c>
      <c r="BQ105" s="21">
        <f>EXP(-LN(2)/25)*BQ104+(1-EXP(-LN(2)/25))/(LN(2)/25)*Calculateur!BL105*Calculateur!BN105*VLOOKUP('Données projet'!$B$11,Paramètres!$A$1:$I$89,3,0)*0.475*44/12</f>
        <v>27.88765248531946</v>
      </c>
      <c r="BR105" s="21">
        <f>EXP(-LN(2)/2)*BR104+(1-EXP(-LN(2)/2))/(LN(2)/2)*BL105*BO105*VLOOKUP('Données projet'!$B$11,Paramètres!$A$1:$I$89,3,0)*0.475*44/12</f>
        <v>3.0479160744336514E-2</v>
      </c>
      <c r="BS105" s="22">
        <f t="shared" si="63"/>
        <v>61.541008232921754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337.71</v>
      </c>
      <c r="L106" s="12">
        <f>VLOOKUP(A106,'Données projet'!$A$35:$I$55,9,0)</f>
        <v>7.7249999999999996</v>
      </c>
      <c r="M106" s="12">
        <f t="array" ref="M106">INDEX(L:L,MIN(IF(ISNUMBER(L106:L302),ROW(L106:L302),"")))</f>
        <v>7.7249999999999996</v>
      </c>
      <c r="N106" s="13">
        <f>IF('Données projet'!$A$36&gt;35,N105+M106-V105,IF(A106&lt;'Données projet'!$A$36,$K$205^A106,IF(A106='Données projet'!$A$36,'Données projet'!$B$36,N105+M106-V105)))</f>
        <v>337.71000000000049</v>
      </c>
      <c r="O106" s="13">
        <f>N106*VLOOKUP('Données projet'!$B$9,Paramètres!$A$1:$I$89,3,0)*VLOOKUP('Données projet'!$B$9,Paramètres!$A$1:$I$89,5,0)</f>
        <v>305.56000800000044</v>
      </c>
      <c r="P106" s="13">
        <f t="shared" si="87"/>
        <v>72.340806046688371</v>
      </c>
      <c r="Q106" s="20">
        <f t="shared" si="107"/>
        <v>658.17725113131621</v>
      </c>
      <c r="R106" s="59">
        <f t="shared" si="55"/>
        <v>951.51058446464958</v>
      </c>
      <c r="S106" s="59">
        <f ca="1">AVERAGE(OFFSET($R$3,0,0,'Données projet'!$E$9+1,1))-AVERAGE(OFFSET($H$3,0,0,'Données projet'!$E$9+1,1))</f>
        <v>298.01613436147056</v>
      </c>
      <c r="T106" s="59">
        <f t="shared" si="88"/>
        <v>212.70221374431253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56.789999999999964</v>
      </c>
      <c r="W106" s="16">
        <f>IF(ISNA(VLOOKUP(A106,'Données projet'!$A$35:$I$55,5,0)),0%,VLOOKUP(A106,'Données projet'!$A$35:$I$55,5,0)*VLOOKUP('Données projet'!$B$9,Paramètres!$A$1:$I$89,7,0))</f>
        <v>0.15049999999999999</v>
      </c>
      <c r="X106" s="16">
        <f>IF(ISNA(VLOOKUP(A106,'Données projet'!$A$35:$I$55,6,0)),0%,VLOOKUP(A106,'Données projet'!$A$35:$I$55,6,0)*VLOOKUP('Données projet'!$B$9,Paramètres!$A$1:$I$89,7,0))</f>
        <v>8.6000000000000007E-2</v>
      </c>
      <c r="Y106" s="16">
        <f>IF(ISNA(VLOOKUP(A106,'Données projet'!$A$35:$I$55,7,0)),0%,VLOOKUP(A106,'Données projet'!$A$35:$I$55,7,0))</f>
        <v>0.1</v>
      </c>
      <c r="Z106" s="21">
        <f>EXP(-LN(2)/35)*Z105+(1-EXP(-LN(2)/35))/(LN(2)/35)*V106*W106*VLOOKUP('Données projet'!$B$9,Paramètres!$A$1:$I$89,3,0)*0.475*44/12</f>
        <v>29.304440296488757</v>
      </c>
      <c r="AA106" s="21">
        <f>EXP(-LN(2)/25)*AA105+(1-EXP(-LN(2)/25))/(LN(2)/25)*Calculateur!V106*Calculateur!X106*VLOOKUP('Données projet'!$B$9,Paramètres!$A$1:$I$89,3,0)*0.475*44/12</f>
        <v>23.673387350550744</v>
      </c>
      <c r="AB106" s="21">
        <f>EXP(-LN(2)/2)*AB105+(1-EXP(-LN(2)/2))/(LN(2)/2)*V106*Y106*VLOOKUP('Données projet'!$B$9,Paramètres!$A$1:$I$89,3,0)*0.475*44/12</f>
        <v>4.9687538276449956</v>
      </c>
      <c r="AC106" s="22">
        <f t="shared" si="57"/>
        <v>57.9465814746845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5.6843418860808015E-13</v>
      </c>
      <c r="AJ106" s="13">
        <f>AI106*VLOOKUP('Données projet'!$B$10,Paramètres!$A$1:$I$89,3,0)*VLOOKUP('Données projet'!$B$10,Paramètres!$A$1:$I$89,5,0)</f>
        <v>3.177547114319168E-13</v>
      </c>
      <c r="AK106" s="13">
        <f t="shared" si="89"/>
        <v>4.1725404435445377E-12</v>
      </c>
      <c r="AL106" s="20">
        <f t="shared" si="58"/>
        <v>7.820597394917325E-12</v>
      </c>
      <c r="AM106" s="59">
        <f t="shared" si="59"/>
        <v>293.33333333334116</v>
      </c>
      <c r="AN106" s="59">
        <f ca="1">AVERAGE(OFFSET($AM$3,0,0,'Données projet'!$E$10+1,1))-AVERAGE(OFFSET($H$3,0,0,'Données projet'!$E$10+1,1))</f>
        <v>287.413090017863</v>
      </c>
      <c r="AO106" s="59">
        <f t="shared" si="90"/>
        <v>258.48456031927117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120.03586176711514</v>
      </c>
      <c r="AV106" s="21">
        <f>EXP(-LN(2)/25)*AV105+(1-EXP(-LN(2)/25))/(LN(2)/25)*Calculateur!AQ106*Calculateur!AS106*VLOOKUP('Données projet'!$B$10,Paramètres!$A$1:$I$89,3,0)*0.475*44/12</f>
        <v>30.743998573510996</v>
      </c>
      <c r="AW106" s="21">
        <f>EXP(-LN(2)/2)*AW105+(1-EXP(-LN(2)/2))/(LN(2)/2)*AQ106*AT106*VLOOKUP('Données projet'!$B$10,Paramètres!$A$1:$I$89,3,0)*0.475*44/12</f>
        <v>8.1467389321459595E-4</v>
      </c>
      <c r="AX106" s="21">
        <f t="shared" si="60"/>
        <v>150.78067501451935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243.33915530322201</v>
      </c>
      <c r="BJ106" s="59">
        <f t="shared" si="92"/>
        <v>247.73814704672577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32.963552484919404</v>
      </c>
      <c r="BQ106" s="21">
        <f>EXP(-LN(2)/25)*BQ105+(1-EXP(-LN(2)/25))/(LN(2)/25)*Calculateur!BL106*Calculateur!BN106*VLOOKUP('Données projet'!$B$11,Paramètres!$A$1:$I$89,3,0)*0.475*44/12</f>
        <v>27.125063161560494</v>
      </c>
      <c r="BR106" s="21">
        <f>EXP(-LN(2)/2)*BR105+(1-EXP(-LN(2)/2))/(LN(2)/2)*BL106*BO106*VLOOKUP('Données projet'!$B$11,Paramètres!$A$1:$I$89,3,0)*0.475*44/12</f>
        <v>2.1552021247195172E-2</v>
      </c>
      <c r="BS106" s="22">
        <f t="shared" si="63"/>
        <v>60.11016766772709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7.5129999999999999</v>
      </c>
      <c r="N107" s="13">
        <f>IF('Données projet'!$A$36&gt;35,N106+M107-V106,IF(A107&lt;'Données projet'!$A$36,$K$205^A107,IF(A107='Données projet'!$A$36,'Données projet'!$B$36,N106+M107-V106)))</f>
        <v>288.4330000000005</v>
      </c>
      <c r="O107" s="13">
        <f>N107*VLOOKUP('Données projet'!$B$9,Paramètres!$A$1:$I$89,3,0)*VLOOKUP('Données projet'!$B$9,Paramètres!$A$1:$I$89,5,0)</f>
        <v>260.97417840000043</v>
      </c>
      <c r="P107" s="13">
        <f t="shared" si="87"/>
        <v>62.929988204000416</v>
      </c>
      <c r="Q107" s="20">
        <f t="shared" si="107"/>
        <v>564.13309016863479</v>
      </c>
      <c r="R107" s="59">
        <f t="shared" si="55"/>
        <v>857.46642350196817</v>
      </c>
      <c r="S107" s="59">
        <f ca="1">AVERAGE(OFFSET($R$3,0,0,'Données projet'!$E$9+1,1))-AVERAGE(OFFSET($H$3,0,0,'Données projet'!$E$9+1,1))</f>
        <v>298.01613436147056</v>
      </c>
      <c r="T107" s="59">
        <f t="shared" si="88"/>
        <v>212.70221374431253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28.729798096218289</v>
      </c>
      <c r="AA107" s="21">
        <f>EXP(-LN(2)/25)*AA106+(1-EXP(-LN(2)/25))/(LN(2)/25)*Calculateur!V107*Calculateur!X107*VLOOKUP('Données projet'!$B$9,Paramètres!$A$1:$I$89,3,0)*0.475*44/12</f>
        <v>23.026037328520598</v>
      </c>
      <c r="AB107" s="21">
        <f>EXP(-LN(2)/2)*AB106+(1-EXP(-LN(2)/2))/(LN(2)/2)*V107*Y107*VLOOKUP('Données projet'!$B$9,Paramètres!$A$1:$I$89,3,0)*0.475*44/12</f>
        <v>3.5134395255743907</v>
      </c>
      <c r="AC107" s="22">
        <f t="shared" si="57"/>
        <v>55.269274950313282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5.6843418860808015E-13</v>
      </c>
      <c r="AJ107" s="13">
        <f>AI107*VLOOKUP('Données projet'!$B$10,Paramètres!$A$1:$I$89,3,0)*VLOOKUP('Données projet'!$B$10,Paramètres!$A$1:$I$89,5,0)</f>
        <v>3.177547114319168E-13</v>
      </c>
      <c r="AK107" s="13">
        <f t="shared" si="89"/>
        <v>4.1725404435445377E-12</v>
      </c>
      <c r="AL107" s="20">
        <f t="shared" si="58"/>
        <v>7.820597394917325E-12</v>
      </c>
      <c r="AM107" s="59">
        <f t="shared" si="59"/>
        <v>293.33333333334116</v>
      </c>
      <c r="AN107" s="59">
        <f ca="1">AVERAGE(OFFSET($AM$3,0,0,'Données projet'!$E$10+1,1))-AVERAGE(OFFSET($H$3,0,0,'Données projet'!$E$10+1,1))</f>
        <v>287.413090017863</v>
      </c>
      <c r="AO107" s="59">
        <f t="shared" si="90"/>
        <v>258.48456031927117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117.68203173250834</v>
      </c>
      <c r="AV107" s="21">
        <f>EXP(-LN(2)/25)*AV106+(1-EXP(-LN(2)/25))/(LN(2)/25)*Calculateur!AQ107*Calculateur!AS107*VLOOKUP('Données projet'!$B$10,Paramètres!$A$1:$I$89,3,0)*0.475*44/12</f>
        <v>29.903302315761721</v>
      </c>
      <c r="AW107" s="21">
        <f>EXP(-LN(2)/2)*AW106+(1-EXP(-LN(2)/2))/(LN(2)/2)*AQ107*AT107*VLOOKUP('Données projet'!$B$10,Paramètres!$A$1:$I$89,3,0)*0.475*44/12</f>
        <v>5.7606143434768607E-4</v>
      </c>
      <c r="AX107" s="21">
        <f t="shared" si="60"/>
        <v>147.5859101097044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243.33915530322201</v>
      </c>
      <c r="BJ107" s="59">
        <f t="shared" si="92"/>
        <v>247.73814704672577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32.317157326471872</v>
      </c>
      <c r="BQ107" s="21">
        <f>EXP(-LN(2)/25)*BQ106+(1-EXP(-LN(2)/25))/(LN(2)/25)*Calculateur!BL107*Calculateur!BN107*VLOOKUP('Données projet'!$B$11,Paramètres!$A$1:$I$89,3,0)*0.475*44/12</f>
        <v>26.383326882962546</v>
      </c>
      <c r="BR107" s="21">
        <f>EXP(-LN(2)/2)*BR106+(1-EXP(-LN(2)/2))/(LN(2)/2)*BL107*BO107*VLOOKUP('Données projet'!$B$11,Paramètres!$A$1:$I$89,3,0)*0.475*44/12</f>
        <v>1.5239580372168261E-2</v>
      </c>
      <c r="BS107" s="22">
        <f t="shared" si="63"/>
        <v>58.715723789806589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7.5129999999999999</v>
      </c>
      <c r="N108" s="13">
        <f>IF('Données projet'!$A$36&gt;35,N107+M108-V107,IF(A108&lt;'Données projet'!$A$36,$K$205^A108,IF(A108='Données projet'!$A$36,'Données projet'!$B$36,N107+M108-V107)))</f>
        <v>295.94600000000048</v>
      </c>
      <c r="O108" s="13">
        <f>N108*VLOOKUP('Données projet'!$B$9,Paramètres!$A$1:$I$89,3,0)*VLOOKUP('Données projet'!$B$9,Paramètres!$A$1:$I$89,5,0)</f>
        <v>267.77194080000044</v>
      </c>
      <c r="P108" s="13">
        <f t="shared" si="87"/>
        <v>64.376191096600778</v>
      </c>
      <c r="Q108" s="20">
        <f t="shared" si="107"/>
        <v>578.49132971991378</v>
      </c>
      <c r="R108" s="59">
        <f t="shared" si="55"/>
        <v>871.82466305324715</v>
      </c>
      <c r="S108" s="59">
        <f ca="1">AVERAGE(OFFSET($R$3,0,0,'Données projet'!$E$9+1,1))-AVERAGE(OFFSET($H$3,0,0,'Données projet'!$E$9+1,1))</f>
        <v>298.01613436147056</v>
      </c>
      <c r="T108" s="59">
        <f t="shared" si="88"/>
        <v>212.70221374431253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28.16642427899799</v>
      </c>
      <c r="AA108" s="21">
        <f>EXP(-LN(2)/25)*AA107+(1-EXP(-LN(2)/25))/(LN(2)/25)*Calculateur!V108*Calculateur!X108*VLOOKUP('Données projet'!$B$9,Paramètres!$A$1:$I$89,3,0)*0.475*44/12</f>
        <v>22.396389126885527</v>
      </c>
      <c r="AB108" s="21">
        <f>EXP(-LN(2)/2)*AB107+(1-EXP(-LN(2)/2))/(LN(2)/2)*V108*Y108*VLOOKUP('Données projet'!$B$9,Paramètres!$A$1:$I$89,3,0)*0.475*44/12</f>
        <v>2.4843769138224983</v>
      </c>
      <c r="AC108" s="22">
        <f t="shared" si="57"/>
        <v>53.047190319706019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5.6843418860808015E-13</v>
      </c>
      <c r="AJ108" s="13">
        <f>AI108*VLOOKUP('Données projet'!$B$10,Paramètres!$A$1:$I$89,3,0)*VLOOKUP('Données projet'!$B$10,Paramètres!$A$1:$I$89,5,0)</f>
        <v>3.177547114319168E-13</v>
      </c>
      <c r="AK108" s="13">
        <f t="shared" si="89"/>
        <v>4.1725404435445377E-12</v>
      </c>
      <c r="AL108" s="20">
        <f t="shared" si="58"/>
        <v>7.820597394917325E-12</v>
      </c>
      <c r="AM108" s="59">
        <f t="shared" si="59"/>
        <v>293.33333333334116</v>
      </c>
      <c r="AN108" s="59">
        <f ca="1">AVERAGE(OFFSET($AM$3,0,0,'Données projet'!$E$10+1,1))-AVERAGE(OFFSET($H$3,0,0,'Données projet'!$E$10+1,1))</f>
        <v>287.413090017863</v>
      </c>
      <c r="AO108" s="59">
        <f t="shared" si="90"/>
        <v>258.48456031927117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115.37435886918563</v>
      </c>
      <c r="AV108" s="21">
        <f>EXP(-LN(2)/25)*AV107+(1-EXP(-LN(2)/25))/(LN(2)/25)*Calculateur!AQ108*Calculateur!AS108*VLOOKUP('Données projet'!$B$10,Paramètres!$A$1:$I$89,3,0)*0.475*44/12</f>
        <v>29.085594941390891</v>
      </c>
      <c r="AW108" s="21">
        <f>EXP(-LN(2)/2)*AW107+(1-EXP(-LN(2)/2))/(LN(2)/2)*AQ108*AT108*VLOOKUP('Données projet'!$B$10,Paramètres!$A$1:$I$89,3,0)*0.475*44/12</f>
        <v>4.0733694660729798E-4</v>
      </c>
      <c r="AX108" s="21">
        <f t="shared" si="60"/>
        <v>144.46036114752312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243.33915530322201</v>
      </c>
      <c r="BJ108" s="59">
        <f t="shared" si="92"/>
        <v>247.73814704672577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31.683437582819376</v>
      </c>
      <c r="BQ108" s="21">
        <f>EXP(-LN(2)/25)*BQ107+(1-EXP(-LN(2)/25))/(LN(2)/25)*Calculateur!BL108*Calculateur!BN108*VLOOKUP('Données projet'!$B$11,Paramètres!$A$1:$I$89,3,0)*0.475*44/12</f>
        <v>25.661873421909075</v>
      </c>
      <c r="BR108" s="21">
        <f>EXP(-LN(2)/2)*BR107+(1-EXP(-LN(2)/2))/(LN(2)/2)*BL108*BO108*VLOOKUP('Données projet'!$B$11,Paramètres!$A$1:$I$89,3,0)*0.475*44/12</f>
        <v>1.0776010623597588E-2</v>
      </c>
      <c r="BS108" s="22">
        <f t="shared" si="63"/>
        <v>57.356087015352045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7.5129999999999999</v>
      </c>
      <c r="N109" s="13">
        <f>IF('Données projet'!$A$36&gt;35,N108+M109-V108,IF(A109&lt;'Données projet'!$A$36,$K$205^A109,IF(A109='Données projet'!$A$36,'Données projet'!$B$36,N108+M109-V108)))</f>
        <v>303.45900000000046</v>
      </c>
      <c r="O109" s="13">
        <f>N109*VLOOKUP('Données projet'!$B$9,Paramètres!$A$1:$I$89,3,0)*VLOOKUP('Données projet'!$B$9,Paramètres!$A$1:$I$89,5,0)</f>
        <v>274.56970320000039</v>
      </c>
      <c r="P109" s="13">
        <f t="shared" si="87"/>
        <v>65.818126318370446</v>
      </c>
      <c r="Q109" s="20">
        <f t="shared" si="107"/>
        <v>592.84213641116253</v>
      </c>
      <c r="R109" s="59">
        <f t="shared" si="55"/>
        <v>886.17546974449579</v>
      </c>
      <c r="S109" s="59">
        <f ca="1">AVERAGE(OFFSET($R$3,0,0,'Données projet'!$E$9+1,1))-AVERAGE(OFFSET($H$3,0,0,'Données projet'!$E$9+1,1))</f>
        <v>298.01613436147056</v>
      </c>
      <c r="T109" s="59">
        <f t="shared" si="88"/>
        <v>212.70221374431253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27.614097878709284</v>
      </c>
      <c r="AA109" s="21">
        <f>EXP(-LN(2)/25)*AA108+(1-EXP(-LN(2)/25))/(LN(2)/25)*Calculateur!V109*Calculateur!X109*VLOOKUP('Données projet'!$B$9,Paramètres!$A$1:$I$89,3,0)*0.475*44/12</f>
        <v>21.783958688435927</v>
      </c>
      <c r="AB109" s="21">
        <f>EXP(-LN(2)/2)*AB108+(1-EXP(-LN(2)/2))/(LN(2)/2)*V109*Y109*VLOOKUP('Données projet'!$B$9,Paramètres!$A$1:$I$89,3,0)*0.475*44/12</f>
        <v>1.7567197627871955</v>
      </c>
      <c r="AC109" s="22">
        <f t="shared" si="57"/>
        <v>51.154776329932403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5.6843418860808015E-13</v>
      </c>
      <c r="AJ109" s="13">
        <f>AI109*VLOOKUP('Données projet'!$B$10,Paramètres!$A$1:$I$89,3,0)*VLOOKUP('Données projet'!$B$10,Paramètres!$A$1:$I$89,5,0)</f>
        <v>3.177547114319168E-13</v>
      </c>
      <c r="AK109" s="13">
        <f t="shared" si="89"/>
        <v>4.1725404435445377E-12</v>
      </c>
      <c r="AL109" s="20">
        <f t="shared" si="58"/>
        <v>7.820597394917325E-12</v>
      </c>
      <c r="AM109" s="59">
        <f t="shared" si="59"/>
        <v>293.33333333334116</v>
      </c>
      <c r="AN109" s="59">
        <f ca="1">AVERAGE(OFFSET($AM$3,0,0,'Données projet'!$E$10+1,1))-AVERAGE(OFFSET($H$3,0,0,'Données projet'!$E$10+1,1))</f>
        <v>287.413090017863</v>
      </c>
      <c r="AO109" s="59">
        <f t="shared" si="90"/>
        <v>258.48456031927117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113.11193806317121</v>
      </c>
      <c r="AV109" s="21">
        <f>EXP(-LN(2)/25)*AV108+(1-EXP(-LN(2)/25))/(LN(2)/25)*Calculateur!AQ109*Calculateur!AS109*VLOOKUP('Données projet'!$B$10,Paramètres!$A$1:$I$89,3,0)*0.475*44/12</f>
        <v>28.290247818173594</v>
      </c>
      <c r="AW109" s="21">
        <f>EXP(-LN(2)/2)*AW108+(1-EXP(-LN(2)/2))/(LN(2)/2)*AQ109*AT109*VLOOKUP('Données projet'!$B$10,Paramètres!$A$1:$I$89,3,0)*0.475*44/12</f>
        <v>2.8803071717384304E-4</v>
      </c>
      <c r="AX109" s="21">
        <f t="shared" si="60"/>
        <v>141.40247391206196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243.33915530322201</v>
      </c>
      <c r="BJ109" s="59">
        <f t="shared" si="92"/>
        <v>247.73814704672577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31.062144696809028</v>
      </c>
      <c r="BQ109" s="21">
        <f>EXP(-LN(2)/25)*BQ108+(1-EXP(-LN(2)/25))/(LN(2)/25)*Calculateur!BL109*Calculateur!BN109*VLOOKUP('Données projet'!$B$11,Paramètres!$A$1:$I$89,3,0)*0.475*44/12</f>
        <v>24.9601481436877</v>
      </c>
      <c r="BR109" s="21">
        <f>EXP(-LN(2)/2)*BR108+(1-EXP(-LN(2)/2))/(LN(2)/2)*BL109*BO109*VLOOKUP('Données projet'!$B$11,Paramètres!$A$1:$I$89,3,0)*0.475*44/12</f>
        <v>7.6197901860841312E-3</v>
      </c>
      <c r="BS109" s="22">
        <f t="shared" si="63"/>
        <v>56.029912630682816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7.5129999999999999</v>
      </c>
      <c r="N110" s="13">
        <f>IF('Données projet'!$A$36&gt;35,N109+M110-V109,IF(A110&lt;'Données projet'!$A$36,$K$205^A110,IF(A110='Données projet'!$A$36,'Données projet'!$B$36,N109+M110-V109)))</f>
        <v>310.97200000000043</v>
      </c>
      <c r="O110" s="13">
        <f>N110*VLOOKUP('Données projet'!$B$9,Paramètres!$A$1:$I$89,3,0)*VLOOKUP('Données projet'!$B$9,Paramètres!$A$1:$I$89,5,0)</f>
        <v>281.3674656000004</v>
      </c>
      <c r="P110" s="13">
        <f t="shared" si="87"/>
        <v>67.255911680958462</v>
      </c>
      <c r="Q110" s="20">
        <f t="shared" si="107"/>
        <v>607.18571543100336</v>
      </c>
      <c r="R110" s="59">
        <f t="shared" si="55"/>
        <v>900.51904876433673</v>
      </c>
      <c r="S110" s="59">
        <f ca="1">AVERAGE(OFFSET($R$3,0,0,'Données projet'!$E$9+1,1))-AVERAGE(OFFSET($H$3,0,0,'Données projet'!$E$9+1,1))</f>
        <v>298.01613436147056</v>
      </c>
      <c r="T110" s="59">
        <f t="shared" si="88"/>
        <v>212.70221374431253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27.072602262244398</v>
      </c>
      <c r="AA110" s="21">
        <f>EXP(-LN(2)/25)*AA109+(1-EXP(-LN(2)/25))/(LN(2)/25)*Calculateur!V110*Calculateur!X110*VLOOKUP('Données projet'!$B$9,Paramètres!$A$1:$I$89,3,0)*0.475*44/12</f>
        <v>21.188275192532046</v>
      </c>
      <c r="AB110" s="21">
        <f>EXP(-LN(2)/2)*AB109+(1-EXP(-LN(2)/2))/(LN(2)/2)*V110*Y110*VLOOKUP('Données projet'!$B$9,Paramètres!$A$1:$I$89,3,0)*0.475*44/12</f>
        <v>1.2421884569112494</v>
      </c>
      <c r="AC110" s="22">
        <f t="shared" si="57"/>
        <v>49.503065911687699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5.6843418860808015E-13</v>
      </c>
      <c r="AJ110" s="13">
        <f>AI110*VLOOKUP('Données projet'!$B$10,Paramètres!$A$1:$I$89,3,0)*VLOOKUP('Données projet'!$B$10,Paramètres!$A$1:$I$89,5,0)</f>
        <v>3.177547114319168E-13</v>
      </c>
      <c r="AK110" s="13">
        <f t="shared" si="89"/>
        <v>4.1725404435445377E-12</v>
      </c>
      <c r="AL110" s="20">
        <f t="shared" si="58"/>
        <v>7.820597394917325E-12</v>
      </c>
      <c r="AM110" s="59">
        <f t="shared" si="59"/>
        <v>293.33333333334116</v>
      </c>
      <c r="AN110" s="59">
        <f ca="1">AVERAGE(OFFSET($AM$3,0,0,'Données projet'!$E$10+1,1))-AVERAGE(OFFSET($H$3,0,0,'Données projet'!$E$10+1,1))</f>
        <v>287.413090017863</v>
      </c>
      <c r="AO110" s="59">
        <f t="shared" si="90"/>
        <v>258.48456031927117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110.8938819492223</v>
      </c>
      <c r="AV110" s="21">
        <f>EXP(-LN(2)/25)*AV109+(1-EXP(-LN(2)/25))/(LN(2)/25)*Calculateur!AQ110*Calculateur!AS110*VLOOKUP('Données projet'!$B$10,Paramètres!$A$1:$I$89,3,0)*0.475*44/12</f>
        <v>27.516649503866162</v>
      </c>
      <c r="AW110" s="21">
        <f>EXP(-LN(2)/2)*AW109+(1-EXP(-LN(2)/2))/(LN(2)/2)*AQ110*AT110*VLOOKUP('Données projet'!$B$10,Paramètres!$A$1:$I$89,3,0)*0.475*44/12</f>
        <v>2.0366847330364899E-4</v>
      </c>
      <c r="AX110" s="21">
        <f t="shared" si="60"/>
        <v>138.41073512156177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243.33915530322201</v>
      </c>
      <c r="BJ110" s="59">
        <f t="shared" si="92"/>
        <v>247.73814704672577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30.453034985342104</v>
      </c>
      <c r="BQ110" s="21">
        <f>EXP(-LN(2)/25)*BQ109+(1-EXP(-LN(2)/25))/(LN(2)/25)*Calculateur!BL110*Calculateur!BN110*VLOOKUP('Données projet'!$B$11,Paramètres!$A$1:$I$89,3,0)*0.475*44/12</f>
        <v>24.277611580101418</v>
      </c>
      <c r="BR110" s="21">
        <f>EXP(-LN(2)/2)*BR109+(1-EXP(-LN(2)/2))/(LN(2)/2)*BL110*BO110*VLOOKUP('Données projet'!$B$11,Paramètres!$A$1:$I$89,3,0)*0.475*44/12</f>
        <v>5.3880053117987946E-3</v>
      </c>
      <c r="BS110" s="22">
        <f t="shared" si="63"/>
        <v>54.736034570755322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7.5129999999999999</v>
      </c>
      <c r="N111" s="13">
        <f>IF('Données projet'!$A$36&gt;35,N110+M111-V110,IF(A111&lt;'Données projet'!$A$36,$K$205^A111,IF(A111='Données projet'!$A$36,'Données projet'!$B$36,N110+M111-V110)))</f>
        <v>318.48500000000041</v>
      </c>
      <c r="O111" s="13">
        <f>N111*VLOOKUP('Données projet'!$B$9,Paramètres!$A$1:$I$89,3,0)*VLOOKUP('Données projet'!$B$9,Paramètres!$A$1:$I$89,5,0)</f>
        <v>288.16522800000035</v>
      </c>
      <c r="P111" s="13">
        <f t="shared" si="87"/>
        <v>68.689658978808254</v>
      </c>
      <c r="Q111" s="20">
        <f t="shared" si="107"/>
        <v>621.52226148809166</v>
      </c>
      <c r="R111" s="59">
        <f t="shared" si="55"/>
        <v>914.85559482142503</v>
      </c>
      <c r="S111" s="59">
        <f ca="1">AVERAGE(OFFSET($R$3,0,0,'Données projet'!$E$9+1,1))-AVERAGE(OFFSET($H$3,0,0,'Données projet'!$E$9+1,1))</f>
        <v>298.01613436147056</v>
      </c>
      <c r="T111" s="59">
        <f t="shared" si="88"/>
        <v>212.70221374431253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26.541725044538676</v>
      </c>
      <c r="AA111" s="21">
        <f>EXP(-LN(2)/25)*AA110+(1-EXP(-LN(2)/25))/(LN(2)/25)*Calculateur!V111*Calculateur!X111*VLOOKUP('Données projet'!$B$9,Paramètres!$A$1:$I$89,3,0)*0.475*44/12</f>
        <v>20.608880693149292</v>
      </c>
      <c r="AB111" s="21">
        <f>EXP(-LN(2)/2)*AB110+(1-EXP(-LN(2)/2))/(LN(2)/2)*V111*Y111*VLOOKUP('Données projet'!$B$9,Paramètres!$A$1:$I$89,3,0)*0.475*44/12</f>
        <v>0.878359881393598</v>
      </c>
      <c r="AC111" s="22">
        <f t="shared" si="57"/>
        <v>48.028965619081568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5.6843418860808015E-13</v>
      </c>
      <c r="AJ111" s="13">
        <f>AI111*VLOOKUP('Données projet'!$B$10,Paramètres!$A$1:$I$89,3,0)*VLOOKUP('Données projet'!$B$10,Paramètres!$A$1:$I$89,5,0)</f>
        <v>3.177547114319168E-13</v>
      </c>
      <c r="AK111" s="13">
        <f t="shared" si="89"/>
        <v>4.1725404435445377E-12</v>
      </c>
      <c r="AL111" s="20">
        <f t="shared" si="58"/>
        <v>7.820597394917325E-12</v>
      </c>
      <c r="AM111" s="59">
        <f t="shared" si="59"/>
        <v>293.33333333334116</v>
      </c>
      <c r="AN111" s="59">
        <f ca="1">AVERAGE(OFFSET($AM$3,0,0,'Données projet'!$E$10+1,1))-AVERAGE(OFFSET($H$3,0,0,'Données projet'!$E$10+1,1))</f>
        <v>287.413090017863</v>
      </c>
      <c r="AO111" s="59">
        <f t="shared" si="90"/>
        <v>258.48456031927117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108.71932056278729</v>
      </c>
      <c r="AV111" s="21">
        <f>EXP(-LN(2)/25)*AV110+(1-EXP(-LN(2)/25))/(LN(2)/25)*Calculateur!AQ111*Calculateur!AS111*VLOOKUP('Données projet'!$B$10,Paramètres!$A$1:$I$89,3,0)*0.475*44/12</f>
        <v>26.764205276145233</v>
      </c>
      <c r="AW111" s="21">
        <f>EXP(-LN(2)/2)*AW110+(1-EXP(-LN(2)/2))/(LN(2)/2)*AQ111*AT111*VLOOKUP('Données projet'!$B$10,Paramètres!$A$1:$I$89,3,0)*0.475*44/12</f>
        <v>1.4401535858692152E-4</v>
      </c>
      <c r="AX111" s="21">
        <f t="shared" si="60"/>
        <v>135.48366985429109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243.33915530322201</v>
      </c>
      <c r="BJ111" s="59">
        <f t="shared" si="92"/>
        <v>247.73814704672577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29.855869543796803</v>
      </c>
      <c r="BQ111" s="21">
        <f>EXP(-LN(2)/25)*BQ110+(1-EXP(-LN(2)/25))/(LN(2)/25)*Calculateur!BL111*Calculateur!BN111*VLOOKUP('Données projet'!$B$11,Paramètres!$A$1:$I$89,3,0)*0.475*44/12</f>
        <v>23.613739014739437</v>
      </c>
      <c r="BR111" s="21">
        <f>EXP(-LN(2)/2)*BR110+(1-EXP(-LN(2)/2))/(LN(2)/2)*BL111*BO111*VLOOKUP('Données projet'!$B$11,Paramètres!$A$1:$I$89,3,0)*0.475*44/12</f>
        <v>3.8098950930420664E-3</v>
      </c>
      <c r="BS111" s="22">
        <f t="shared" si="63"/>
        <v>53.473418453629279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7.5129999999999999</v>
      </c>
      <c r="N112" s="13">
        <f>IF('Données projet'!$A$36&gt;35,N111+M112-V111,IF(A112&lt;'Données projet'!$A$36,$K$205^A112,IF(A112='Données projet'!$A$36,'Données projet'!$B$36,N111+M112-V111)))</f>
        <v>325.99800000000039</v>
      </c>
      <c r="O112" s="13">
        <f>N112*VLOOKUP('Données projet'!$B$9,Paramètres!$A$1:$I$89,3,0)*VLOOKUP('Données projet'!$B$9,Paramètres!$A$1:$I$89,5,0)</f>
        <v>294.96299040000036</v>
      </c>
      <c r="P112" s="13">
        <f t="shared" si="87"/>
        <v>70.119474431072192</v>
      </c>
      <c r="Q112" s="20">
        <f t="shared" si="107"/>
        <v>635.85195958078464</v>
      </c>
      <c r="R112" s="59">
        <f t="shared" si="55"/>
        <v>929.18529291411801</v>
      </c>
      <c r="S112" s="59">
        <f ca="1">AVERAGE(OFFSET($R$3,0,0,'Données projet'!$E$9+1,1))-AVERAGE(OFFSET($H$3,0,0,'Données projet'!$E$9+1,1))</f>
        <v>298.01613436147056</v>
      </c>
      <c r="T112" s="59">
        <f t="shared" si="88"/>
        <v>212.70221374431253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26.021258005269033</v>
      </c>
      <c r="AA112" s="21">
        <f>EXP(-LN(2)/25)*AA111+(1-EXP(-LN(2)/25))/(LN(2)/25)*Calculateur!V112*Calculateur!X112*VLOOKUP('Données projet'!$B$9,Paramètres!$A$1:$I$89,3,0)*0.475*44/12</f>
        <v>20.04532976682119</v>
      </c>
      <c r="AB112" s="21">
        <f>EXP(-LN(2)/2)*AB111+(1-EXP(-LN(2)/2))/(LN(2)/2)*V112*Y112*VLOOKUP('Données projet'!$B$9,Paramètres!$A$1:$I$89,3,0)*0.475*44/12</f>
        <v>0.62109422845562479</v>
      </c>
      <c r="AC112" s="22">
        <f t="shared" si="57"/>
        <v>46.687682000545848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5.6843418860808015E-13</v>
      </c>
      <c r="AJ112" s="13">
        <f>AI112*VLOOKUP('Données projet'!$B$10,Paramètres!$A$1:$I$89,3,0)*VLOOKUP('Données projet'!$B$10,Paramètres!$A$1:$I$89,5,0)</f>
        <v>3.177547114319168E-13</v>
      </c>
      <c r="AK112" s="13">
        <f t="shared" si="89"/>
        <v>4.1725404435445377E-12</v>
      </c>
      <c r="AL112" s="20">
        <f t="shared" si="58"/>
        <v>7.820597394917325E-12</v>
      </c>
      <c r="AM112" s="59">
        <f t="shared" si="59"/>
        <v>293.33333333334116</v>
      </c>
      <c r="AN112" s="59">
        <f ca="1">AVERAGE(OFFSET($AM$3,0,0,'Données projet'!$E$10+1,1))-AVERAGE(OFFSET($H$3,0,0,'Données projet'!$E$10+1,1))</f>
        <v>287.413090017863</v>
      </c>
      <c r="AO112" s="59">
        <f t="shared" si="90"/>
        <v>258.48456031927117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106.58740099878878</v>
      </c>
      <c r="AV112" s="21">
        <f>EXP(-LN(2)/25)*AV111+(1-EXP(-LN(2)/25))/(LN(2)/25)*Calculateur!AQ112*Calculateur!AS112*VLOOKUP('Données projet'!$B$10,Paramètres!$A$1:$I$89,3,0)*0.475*44/12</f>
        <v>26.032336675400657</v>
      </c>
      <c r="AW112" s="21">
        <f>EXP(-LN(2)/2)*AW111+(1-EXP(-LN(2)/2))/(LN(2)/2)*AQ112*AT112*VLOOKUP('Données projet'!$B$10,Paramètres!$A$1:$I$89,3,0)*0.475*44/12</f>
        <v>1.0183423665182449E-4</v>
      </c>
      <c r="AX112" s="21">
        <f t="shared" si="60"/>
        <v>132.61983950842608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243.33915530322201</v>
      </c>
      <c r="BJ112" s="59">
        <f t="shared" si="92"/>
        <v>247.73814704672577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29.270414152325255</v>
      </c>
      <c r="BQ112" s="21">
        <f>EXP(-LN(2)/25)*BQ111+(1-EXP(-LN(2)/25))/(LN(2)/25)*Calculateur!BL112*Calculateur!BN112*VLOOKUP('Données projet'!$B$11,Paramètres!$A$1:$I$89,3,0)*0.475*44/12</f>
        <v>22.968020079588822</v>
      </c>
      <c r="BR112" s="21">
        <f>EXP(-LN(2)/2)*BR111+(1-EXP(-LN(2)/2))/(LN(2)/2)*BL112*BO112*VLOOKUP('Données projet'!$B$11,Paramètres!$A$1:$I$89,3,0)*0.475*44/12</f>
        <v>2.6940026558993978E-3</v>
      </c>
      <c r="BS112" s="22">
        <f t="shared" si="63"/>
        <v>52.241128234569977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7.5129999999999999</v>
      </c>
      <c r="N113" s="13">
        <f>IF('Données projet'!$A$36&gt;35,N112+M113-V112,IF(A113&lt;'Données projet'!$A$36,$K$205^A113,IF(A113='Données projet'!$A$36,'Données projet'!$B$36,N112+M113-V112)))</f>
        <v>333.51100000000037</v>
      </c>
      <c r="O113" s="13">
        <f>N113*VLOOKUP('Données projet'!$B$9,Paramètres!$A$1:$I$89,3,0)*VLOOKUP('Données projet'!$B$9,Paramètres!$A$1:$I$89,5,0)</f>
        <v>301.76075280000032</v>
      </c>
      <c r="P113" s="13">
        <f t="shared" si="87"/>
        <v>71.545459081640786</v>
      </c>
      <c r="Q113" s="20">
        <f t="shared" si="107"/>
        <v>650.17498569385816</v>
      </c>
      <c r="R113" s="59">
        <f t="shared" si="55"/>
        <v>943.50831902719142</v>
      </c>
      <c r="S113" s="59">
        <f ca="1">AVERAGE(OFFSET($R$3,0,0,'Données projet'!$E$9+1,1))-AVERAGE(OFFSET($H$3,0,0,'Données projet'!$E$9+1,1))</f>
        <v>298.01613436147056</v>
      </c>
      <c r="T113" s="59">
        <f t="shared" si="88"/>
        <v>212.70221374431253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25.510997007185921</v>
      </c>
      <c r="AA113" s="21">
        <f>EXP(-LN(2)/25)*AA112+(1-EXP(-LN(2)/25))/(LN(2)/25)*Calculateur!V113*Calculateur!X113*VLOOKUP('Données projet'!$B$9,Paramètres!$A$1:$I$89,3,0)*0.475*44/12</f>
        <v>19.497189170209385</v>
      </c>
      <c r="AB113" s="21">
        <f>EXP(-LN(2)/2)*AB112+(1-EXP(-LN(2)/2))/(LN(2)/2)*V113*Y113*VLOOKUP('Données projet'!$B$9,Paramètres!$A$1:$I$89,3,0)*0.475*44/12</f>
        <v>0.43917994069679905</v>
      </c>
      <c r="AC113" s="22">
        <f t="shared" si="57"/>
        <v>45.447366118092098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5.6843418860808015E-13</v>
      </c>
      <c r="AJ113" s="13">
        <f>AI113*VLOOKUP('Données projet'!$B$10,Paramètres!$A$1:$I$89,3,0)*VLOOKUP('Données projet'!$B$10,Paramètres!$A$1:$I$89,5,0)</f>
        <v>3.177547114319168E-13</v>
      </c>
      <c r="AK113" s="13">
        <f t="shared" si="89"/>
        <v>4.1725404435445377E-12</v>
      </c>
      <c r="AL113" s="20">
        <f t="shared" si="58"/>
        <v>7.820597394917325E-12</v>
      </c>
      <c r="AM113" s="59">
        <f t="shared" si="59"/>
        <v>293.33333333334116</v>
      </c>
      <c r="AN113" s="59">
        <f ca="1">AVERAGE(OFFSET($AM$3,0,0,'Données projet'!$E$10+1,1))-AVERAGE(OFFSET($H$3,0,0,'Données projet'!$E$10+1,1))</f>
        <v>287.413090017863</v>
      </c>
      <c r="AO113" s="59">
        <f t="shared" si="90"/>
        <v>258.48456031927117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104.49728707709775</v>
      </c>
      <c r="AV113" s="21">
        <f>EXP(-LN(2)/25)*AV112+(1-EXP(-LN(2)/25))/(LN(2)/25)*Calculateur!AQ113*Calculateur!AS113*VLOOKUP('Données projet'!$B$10,Paramètres!$A$1:$I$89,3,0)*0.475*44/12</f>
        <v>25.320481060030737</v>
      </c>
      <c r="AW113" s="21">
        <f>EXP(-LN(2)/2)*AW112+(1-EXP(-LN(2)/2))/(LN(2)/2)*AQ113*AT113*VLOOKUP('Données projet'!$B$10,Paramètres!$A$1:$I$89,3,0)*0.475*44/12</f>
        <v>7.2007679293460759E-5</v>
      </c>
      <c r="AX113" s="21">
        <f t="shared" si="60"/>
        <v>129.8178401448078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243.33915530322201</v>
      </c>
      <c r="BJ113" s="59">
        <f t="shared" si="92"/>
        <v>247.73814704672577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28.696439183987934</v>
      </c>
      <c r="BQ113" s="21">
        <f>EXP(-LN(2)/25)*BQ112+(1-EXP(-LN(2)/25))/(LN(2)/25)*Calculateur!BL113*Calculateur!BN113*VLOOKUP('Données projet'!$B$11,Paramètres!$A$1:$I$89,3,0)*0.475*44/12</f>
        <v>22.339958362676782</v>
      </c>
      <c r="BR113" s="21">
        <f>EXP(-LN(2)/2)*BR112+(1-EXP(-LN(2)/2))/(LN(2)/2)*BL113*BO113*VLOOKUP('Données projet'!$B$11,Paramètres!$A$1:$I$89,3,0)*0.475*44/12</f>
        <v>1.9049475465210334E-3</v>
      </c>
      <c r="BS113" s="22">
        <f t="shared" si="63"/>
        <v>51.038302494211237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7.5129999999999999</v>
      </c>
      <c r="N114" s="13">
        <f>IF('Données projet'!$A$36&gt;35,N113+M114-V113,IF(A114&lt;'Données projet'!$A$36,$K$205^A114,IF(A114='Données projet'!$A$36,'Données projet'!$B$36,N113+M114-V113)))</f>
        <v>341.02400000000034</v>
      </c>
      <c r="O114" s="13">
        <f>N114*VLOOKUP('Données projet'!$B$9,Paramètres!$A$1:$I$89,3,0)*VLOOKUP('Données projet'!$B$9,Paramètres!$A$1:$I$89,5,0)</f>
        <v>308.55851520000027</v>
      </c>
      <c r="P114" s="13">
        <f t="shared" si="87"/>
        <v>72.967709162109642</v>
      </c>
      <c r="Q114" s="20">
        <f t="shared" si="107"/>
        <v>664.4915074306748</v>
      </c>
      <c r="R114" s="59">
        <f t="shared" si="55"/>
        <v>957.82484076400806</v>
      </c>
      <c r="S114" s="59">
        <f ca="1">AVERAGE(OFFSET($R$3,0,0,'Données projet'!$E$9+1,1))-AVERAGE(OFFSET($H$3,0,0,'Données projet'!$E$9+1,1))</f>
        <v>298.01613436147056</v>
      </c>
      <c r="T114" s="59">
        <f t="shared" si="88"/>
        <v>212.70221374431253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25.01074191604674</v>
      </c>
      <c r="AA114" s="21">
        <f>EXP(-LN(2)/25)*AA113+(1-EXP(-LN(2)/25))/(LN(2)/25)*Calculateur!V114*Calculateur!X114*VLOOKUP('Données projet'!$B$9,Paramètres!$A$1:$I$89,3,0)*0.475*44/12</f>
        <v>18.964037507037393</v>
      </c>
      <c r="AB114" s="21">
        <f>EXP(-LN(2)/2)*AB113+(1-EXP(-LN(2)/2))/(LN(2)/2)*V114*Y114*VLOOKUP('Données projet'!$B$9,Paramètres!$A$1:$I$89,3,0)*0.475*44/12</f>
        <v>0.31054711422781245</v>
      </c>
      <c r="AC114" s="22">
        <f t="shared" si="57"/>
        <v>44.285326537311938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5.6843418860808015E-13</v>
      </c>
      <c r="AJ114" s="13">
        <f>AI114*VLOOKUP('Données projet'!$B$10,Paramètres!$A$1:$I$89,3,0)*VLOOKUP('Données projet'!$B$10,Paramètres!$A$1:$I$89,5,0)</f>
        <v>3.177547114319168E-13</v>
      </c>
      <c r="AK114" s="13">
        <f t="shared" si="89"/>
        <v>4.1725404435445377E-12</v>
      </c>
      <c r="AL114" s="20">
        <f t="shared" si="58"/>
        <v>7.820597394917325E-12</v>
      </c>
      <c r="AM114" s="59">
        <f t="shared" si="59"/>
        <v>293.33333333334116</v>
      </c>
      <c r="AN114" s="59">
        <f ca="1">AVERAGE(OFFSET($AM$3,0,0,'Données projet'!$E$10+1,1))-AVERAGE(OFFSET($H$3,0,0,'Données projet'!$E$10+1,1))</f>
        <v>287.413090017863</v>
      </c>
      <c r="AO114" s="59">
        <f t="shared" si="90"/>
        <v>258.48456031927117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102.44815901456747</v>
      </c>
      <c r="AV114" s="21">
        <f>EXP(-LN(2)/25)*AV113+(1-EXP(-LN(2)/25))/(LN(2)/25)*Calculateur!AQ114*Calculateur!AS114*VLOOKUP('Données projet'!$B$10,Paramètres!$A$1:$I$89,3,0)*0.475*44/12</f>
        <v>24.628091173897968</v>
      </c>
      <c r="AW114" s="21">
        <f>EXP(-LN(2)/2)*AW113+(1-EXP(-LN(2)/2))/(LN(2)/2)*AQ114*AT114*VLOOKUP('Données projet'!$B$10,Paramètres!$A$1:$I$89,3,0)*0.475*44/12</f>
        <v>5.0917118325912247E-5</v>
      </c>
      <c r="AX114" s="21">
        <f t="shared" si="60"/>
        <v>127.07630110558377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243.33915530322201</v>
      </c>
      <c r="BJ114" s="59">
        <f t="shared" si="92"/>
        <v>247.73814704672577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28.133719514689545</v>
      </c>
      <c r="BQ114" s="21">
        <f>EXP(-LN(2)/25)*BQ113+(1-EXP(-LN(2)/25))/(LN(2)/25)*Calculateur!BL114*Calculateur!BN114*VLOOKUP('Données projet'!$B$11,Paramètres!$A$1:$I$89,3,0)*0.475*44/12</f>
        <v>21.729071026442035</v>
      </c>
      <c r="BR114" s="21">
        <f>EXP(-LN(2)/2)*BR113+(1-EXP(-LN(2)/2))/(LN(2)/2)*BL114*BO114*VLOOKUP('Données projet'!$B$11,Paramètres!$A$1:$I$89,3,0)*0.475*44/12</f>
        <v>1.3470013279496991E-3</v>
      </c>
      <c r="BS114" s="22">
        <f t="shared" si="63"/>
        <v>49.864137542459531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7.5129999999999999</v>
      </c>
      <c r="N115" s="13">
        <f>IF('Données projet'!$A$36&gt;35,N114+M115-V114,IF(A115&lt;'Données projet'!$A$36,$K$205^A115,IF(A115='Données projet'!$A$36,'Données projet'!$B$36,N114+M115-V114)))</f>
        <v>348.53700000000032</v>
      </c>
      <c r="O115" s="13">
        <f>N115*VLOOKUP('Données projet'!$B$9,Paramètres!$A$1:$I$89,3,0)*VLOOKUP('Données projet'!$B$9,Paramètres!$A$1:$I$89,5,0)</f>
        <v>315.35627760000028</v>
      </c>
      <c r="P115" s="13">
        <f t="shared" si="87"/>
        <v>74.386316421858538</v>
      </c>
      <c r="Q115" s="20">
        <f t="shared" si="107"/>
        <v>678.80168458807077</v>
      </c>
      <c r="R115" s="59">
        <f t="shared" si="55"/>
        <v>972.13501792140414</v>
      </c>
      <c r="S115" s="59">
        <f ca="1">AVERAGE(OFFSET($R$3,0,0,'Données projet'!$E$9+1,1))-AVERAGE(OFFSET($H$3,0,0,'Données projet'!$E$9+1,1))</f>
        <v>298.01613436147056</v>
      </c>
      <c r="T115" s="59">
        <f t="shared" si="88"/>
        <v>212.70221374431253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24.52029652211932</v>
      </c>
      <c r="AA115" s="21">
        <f>EXP(-LN(2)/25)*AA114+(1-EXP(-LN(2)/25))/(LN(2)/25)*Calculateur!V115*Calculateur!X115*VLOOKUP('Données projet'!$B$9,Paramètres!$A$1:$I$89,3,0)*0.475*44/12</f>
        <v>18.445464904132066</v>
      </c>
      <c r="AB115" s="21">
        <f>EXP(-LN(2)/2)*AB114+(1-EXP(-LN(2)/2))/(LN(2)/2)*V115*Y115*VLOOKUP('Données projet'!$B$9,Paramètres!$A$1:$I$89,3,0)*0.475*44/12</f>
        <v>0.21958997034839958</v>
      </c>
      <c r="AC115" s="22">
        <f t="shared" si="57"/>
        <v>43.185351396599792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5.6843418860808015E-13</v>
      </c>
      <c r="AJ115" s="13">
        <f>AI115*VLOOKUP('Données projet'!$B$10,Paramètres!$A$1:$I$89,3,0)*VLOOKUP('Données projet'!$B$10,Paramètres!$A$1:$I$89,5,0)</f>
        <v>3.177547114319168E-13</v>
      </c>
      <c r="AK115" s="13">
        <f t="shared" si="89"/>
        <v>4.1725404435445377E-12</v>
      </c>
      <c r="AL115" s="20">
        <f t="shared" si="58"/>
        <v>7.820597394917325E-12</v>
      </c>
      <c r="AM115" s="59">
        <f t="shared" si="59"/>
        <v>293.33333333334116</v>
      </c>
      <c r="AN115" s="59">
        <f ca="1">AVERAGE(OFFSET($AM$3,0,0,'Données projet'!$E$10+1,1))-AVERAGE(OFFSET($H$3,0,0,'Données projet'!$E$10+1,1))</f>
        <v>287.413090017863</v>
      </c>
      <c r="AO115" s="59">
        <f t="shared" si="90"/>
        <v>258.48456031927117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100.4392131034987</v>
      </c>
      <c r="AV115" s="21">
        <f>EXP(-LN(2)/25)*AV114+(1-EXP(-LN(2)/25))/(LN(2)/25)*Calculateur!AQ115*Calculateur!AS115*VLOOKUP('Données projet'!$B$10,Paramètres!$A$1:$I$89,3,0)*0.475*44/12</f>
        <v>23.954634725612703</v>
      </c>
      <c r="AW115" s="21">
        <f>EXP(-LN(2)/2)*AW114+(1-EXP(-LN(2)/2))/(LN(2)/2)*AQ115*AT115*VLOOKUP('Données projet'!$B$10,Paramètres!$A$1:$I$89,3,0)*0.475*44/12</f>
        <v>3.600383964673038E-5</v>
      </c>
      <c r="AX115" s="21">
        <f t="shared" si="60"/>
        <v>124.39388383295106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243.33915530322201</v>
      </c>
      <c r="BJ115" s="59">
        <f t="shared" si="92"/>
        <v>247.73814704672577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27.582034434880992</v>
      </c>
      <c r="BQ115" s="21">
        <f>EXP(-LN(2)/25)*BQ114+(1-EXP(-LN(2)/25))/(LN(2)/25)*Calculateur!BL115*Calculateur!BN115*VLOOKUP('Données projet'!$B$11,Paramètres!$A$1:$I$89,3,0)*0.475*44/12</f>
        <v>21.134888436541797</v>
      </c>
      <c r="BR115" s="21">
        <f>EXP(-LN(2)/2)*BR114+(1-EXP(-LN(2)/2))/(LN(2)/2)*BL115*BO115*VLOOKUP('Données projet'!$B$11,Paramètres!$A$1:$I$89,3,0)*0.475*44/12</f>
        <v>9.5247377326051694E-4</v>
      </c>
      <c r="BS115" s="22">
        <f t="shared" si="63"/>
        <v>48.717875345196049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356.05</v>
      </c>
      <c r="L116" s="12">
        <f>VLOOKUP(A116,'Données projet'!$A$35:$I$55,9,0)</f>
        <v>7.5129999999999999</v>
      </c>
      <c r="M116" s="12">
        <f t="array" ref="M116">INDEX(L:L,MIN(IF(ISNUMBER(L116:L312),ROW(L116:L312),"")))</f>
        <v>7.5129999999999999</v>
      </c>
      <c r="N116" s="13">
        <f>IF('Données projet'!$A$36&gt;35,N115+M116-V115,IF(A116&lt;'Données projet'!$A$36,$K$205^A116,IF(A116='Données projet'!$A$36,'Données projet'!$B$36,N115+M116-V115)))</f>
        <v>356.0500000000003</v>
      </c>
      <c r="O116" s="13">
        <f>N116*VLOOKUP('Données projet'!$B$9,Paramètres!$A$1:$I$89,3,0)*VLOOKUP('Données projet'!$B$9,Paramètres!$A$1:$I$89,5,0)</f>
        <v>322.15404000000024</v>
      </c>
      <c r="P116" s="13">
        <f t="shared" si="87"/>
        <v>75.801368428867207</v>
      </c>
      <c r="Q116" s="20">
        <f t="shared" si="107"/>
        <v>693.1056696802774</v>
      </c>
      <c r="R116" s="59">
        <f t="shared" si="55"/>
        <v>986.43900301361077</v>
      </c>
      <c r="S116" s="59">
        <f ca="1">AVERAGE(OFFSET($R$3,0,0,'Données projet'!$E$9+1,1))-AVERAGE(OFFSET($H$3,0,0,'Données projet'!$E$9+1,1))</f>
        <v>298.01613436147056</v>
      </c>
      <c r="T116" s="59">
        <f t="shared" si="88"/>
        <v>212.70221374431253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45.660000000000025</v>
      </c>
      <c r="W116" s="16">
        <f>IF(ISNA(VLOOKUP(A116,'Données projet'!$A$35:$I$55,5,0)),0%,VLOOKUP(A116,'Données projet'!$A$35:$I$55,5,0)*VLOOKUP('Données projet'!$B$9,Paramètres!$A$1:$I$89,7,0))</f>
        <v>0.215</v>
      </c>
      <c r="X116" s="16">
        <f>IF(ISNA(VLOOKUP(A116,'Données projet'!$A$35:$I$55,6,0)),0%,VLOOKUP(A116,'Données projet'!$A$35:$I$55,6,0)*VLOOKUP('Données projet'!$B$9,Paramètres!$A$1:$I$89,7,0))</f>
        <v>8.6000000000000007E-2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33.858622417588407</v>
      </c>
      <c r="AA116" s="21">
        <f>EXP(-LN(2)/25)*AA115+(1-EXP(-LN(2)/25))/(LN(2)/25)*Calculateur!V116*Calculateur!X116*VLOOKUP('Données projet'!$B$9,Paramètres!$A$1:$I$89,3,0)*0.475*44/12</f>
        <v>21.853269577865508</v>
      </c>
      <c r="AB116" s="21">
        <f>EXP(-LN(2)/2)*AB115+(1-EXP(-LN(2)/2))/(LN(2)/2)*V116*Y116*VLOOKUP('Données projet'!$B$9,Paramètres!$A$1:$I$89,3,0)*0.475*44/12</f>
        <v>0.15527355711390625</v>
      </c>
      <c r="AC116" s="22">
        <f t="shared" si="57"/>
        <v>55.867165552567819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5.6843418860808015E-13</v>
      </c>
      <c r="AJ116" s="13">
        <f>AI116*VLOOKUP('Données projet'!$B$10,Paramètres!$A$1:$I$89,3,0)*VLOOKUP('Données projet'!$B$10,Paramètres!$A$1:$I$89,5,0)</f>
        <v>3.177547114319168E-13</v>
      </c>
      <c r="AK116" s="13">
        <f t="shared" si="89"/>
        <v>4.1725404435445377E-12</v>
      </c>
      <c r="AL116" s="20">
        <f t="shared" si="58"/>
        <v>7.820597394917325E-12</v>
      </c>
      <c r="AM116" s="59">
        <f t="shared" si="59"/>
        <v>293.33333333334116</v>
      </c>
      <c r="AN116" s="59">
        <f ca="1">AVERAGE(OFFSET($AM$3,0,0,'Données projet'!$E$10+1,1))-AVERAGE(OFFSET($H$3,0,0,'Données projet'!$E$10+1,1))</f>
        <v>287.413090017863</v>
      </c>
      <c r="AO116" s="59">
        <f t="shared" si="90"/>
        <v>258.48456031927117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98.469661396409975</v>
      </c>
      <c r="AV116" s="21">
        <f>EXP(-LN(2)/25)*AV115+(1-EXP(-LN(2)/25))/(LN(2)/25)*Calculateur!AQ116*Calculateur!AS116*VLOOKUP('Données projet'!$B$10,Paramètres!$A$1:$I$89,3,0)*0.475*44/12</f>
        <v>23.299593979321333</v>
      </c>
      <c r="AW116" s="21">
        <f>EXP(-LN(2)/2)*AW115+(1-EXP(-LN(2)/2))/(LN(2)/2)*AQ116*AT116*VLOOKUP('Données projet'!$B$10,Paramètres!$A$1:$I$89,3,0)*0.475*44/12</f>
        <v>2.5458559162956124E-5</v>
      </c>
      <c r="AX116" s="21">
        <f t="shared" si="60"/>
        <v>121.76928083429047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243.33915530322201</v>
      </c>
      <c r="BJ116" s="59">
        <f t="shared" si="92"/>
        <v>247.73814704672577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27.041167562992811</v>
      </c>
      <c r="BQ116" s="21">
        <f>EXP(-LN(2)/25)*BQ115+(1-EXP(-LN(2)/25))/(LN(2)/25)*Calculateur!BL116*Calculateur!BN116*VLOOKUP('Données projet'!$B$11,Paramètres!$A$1:$I$89,3,0)*0.475*44/12</f>
        <v>20.556953800809083</v>
      </c>
      <c r="BR116" s="21">
        <f>EXP(-LN(2)/2)*BR115+(1-EXP(-LN(2)/2))/(LN(2)/2)*BL116*BO116*VLOOKUP('Données projet'!$B$11,Paramètres!$A$1:$I$89,3,0)*0.475*44/12</f>
        <v>6.7350066397484966E-4</v>
      </c>
      <c r="BS116" s="22">
        <f t="shared" si="63"/>
        <v>47.598794864465866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7.8516666666666692</v>
      </c>
      <c r="N117" s="13">
        <f>IF('Données projet'!$A$36&gt;35,N116+M117-V116,IF(A117&lt;'Données projet'!$A$36,$K$205^A117,IF(A117='Données projet'!$A$36,'Données projet'!$B$36,N116+M117-V116)))</f>
        <v>318.24166666666696</v>
      </c>
      <c r="O117" s="13">
        <f>N117*VLOOKUP('Données projet'!$B$9,Paramètres!$A$1:$I$89,3,0)*VLOOKUP('Données projet'!$B$9,Paramètres!$A$1:$I$89,5,0)</f>
        <v>287.94506000000024</v>
      </c>
      <c r="P117" s="13">
        <f t="shared" si="87"/>
        <v>68.643284503725127</v>
      </c>
      <c r="Q117" s="20">
        <f t="shared" si="107"/>
        <v>621.05803334398831</v>
      </c>
      <c r="R117" s="59">
        <f t="shared" si="55"/>
        <v>914.39136667732168</v>
      </c>
      <c r="S117" s="59">
        <f ca="1">AVERAGE(OFFSET($R$3,0,0,'Données projet'!$E$9+1,1))-AVERAGE(OFFSET($H$3,0,0,'Données projet'!$E$9+1,1))</f>
        <v>298.01613436147056</v>
      </c>
      <c r="T117" s="59">
        <f t="shared" si="88"/>
        <v>212.70221374431253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33.194675483699982</v>
      </c>
      <c r="AA117" s="21">
        <f>EXP(-LN(2)/25)*AA116+(1-EXP(-LN(2)/25))/(LN(2)/25)*Calculateur!V117*Calculateur!X117*VLOOKUP('Données projet'!$B$9,Paramètres!$A$1:$I$89,3,0)*0.475*44/12</f>
        <v>21.255690772045273</v>
      </c>
      <c r="AB117" s="21">
        <f>EXP(-LN(2)/2)*AB116+(1-EXP(-LN(2)/2))/(LN(2)/2)*V117*Y117*VLOOKUP('Données projet'!$B$9,Paramètres!$A$1:$I$89,3,0)*0.475*44/12</f>
        <v>0.10979498517419981</v>
      </c>
      <c r="AC117" s="22">
        <f t="shared" si="57"/>
        <v>54.560161240919449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5.6843418860808015E-13</v>
      </c>
      <c r="AJ117" s="13">
        <f>AI117*VLOOKUP('Données projet'!$B$10,Paramètres!$A$1:$I$89,3,0)*VLOOKUP('Données projet'!$B$10,Paramètres!$A$1:$I$89,5,0)</f>
        <v>3.177547114319168E-13</v>
      </c>
      <c r="AK117" s="13">
        <f t="shared" si="89"/>
        <v>4.1725404435445377E-12</v>
      </c>
      <c r="AL117" s="20">
        <f t="shared" si="58"/>
        <v>7.820597394917325E-12</v>
      </c>
      <c r="AM117" s="59">
        <f t="shared" si="59"/>
        <v>293.33333333334116</v>
      </c>
      <c r="AN117" s="59">
        <f ca="1">AVERAGE(OFFSET($AM$3,0,0,'Données projet'!$E$10+1,1))-AVERAGE(OFFSET($H$3,0,0,'Données projet'!$E$10+1,1))</f>
        <v>287.413090017863</v>
      </c>
      <c r="AO117" s="59">
        <f t="shared" si="90"/>
        <v>258.48456031927117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96.538731396989334</v>
      </c>
      <c r="AV117" s="21">
        <f>EXP(-LN(2)/25)*AV116+(1-EXP(-LN(2)/25))/(LN(2)/25)*Calculateur!AQ117*Calculateur!AS117*VLOOKUP('Données projet'!$B$10,Paramètres!$A$1:$I$89,3,0)*0.475*44/12</f>
        <v>22.662465356684397</v>
      </c>
      <c r="AW117" s="21">
        <f>EXP(-LN(2)/2)*AW116+(1-EXP(-LN(2)/2))/(LN(2)/2)*AQ117*AT117*VLOOKUP('Données projet'!$B$10,Paramètres!$A$1:$I$89,3,0)*0.475*44/12</f>
        <v>1.800191982336519E-5</v>
      </c>
      <c r="AX117" s="21">
        <f t="shared" si="60"/>
        <v>119.20121475559355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243.33915530322201</v>
      </c>
      <c r="BJ117" s="59">
        <f t="shared" si="92"/>
        <v>247.73814704672577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26.51090676056614</v>
      </c>
      <c r="BQ117" s="21">
        <f>EXP(-LN(2)/25)*BQ116+(1-EXP(-LN(2)/25))/(LN(2)/25)*Calculateur!BL117*Calculateur!BN117*VLOOKUP('Données projet'!$B$11,Paramètres!$A$1:$I$89,3,0)*0.475*44/12</f>
        <v>19.994822818082742</v>
      </c>
      <c r="BR117" s="21">
        <f>EXP(-LN(2)/2)*BR116+(1-EXP(-LN(2)/2))/(LN(2)/2)*BL117*BO117*VLOOKUP('Données projet'!$B$11,Paramètres!$A$1:$I$89,3,0)*0.475*44/12</f>
        <v>4.7623688663025852E-4</v>
      </c>
      <c r="BS117" s="22">
        <f t="shared" si="63"/>
        <v>46.506205815535516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7.8516666666666692</v>
      </c>
      <c r="N118" s="13">
        <f>IF('Données projet'!$A$36&gt;35,N117+M118-V117,IF(A118&lt;'Données projet'!$A$36,$K$205^A118,IF(A118='Données projet'!$A$36,'Données projet'!$B$36,N117+M118-V117)))</f>
        <v>326.09333333333365</v>
      </c>
      <c r="O118" s="13">
        <f>N118*VLOOKUP('Données projet'!$B$9,Paramètres!$A$1:$I$89,3,0)*VLOOKUP('Données projet'!$B$9,Paramètres!$A$1:$I$89,5,0)</f>
        <v>295.04924800000026</v>
      </c>
      <c r="P118" s="13">
        <f t="shared" si="87"/>
        <v>70.13759270458003</v>
      </c>
      <c r="Q118" s="20">
        <f t="shared" si="107"/>
        <v>636.03374756047731</v>
      </c>
      <c r="R118" s="59">
        <f t="shared" si="55"/>
        <v>929.36708089381068</v>
      </c>
      <c r="S118" s="59">
        <f ca="1">AVERAGE(OFFSET($R$3,0,0,'Données projet'!$E$9+1,1))-AVERAGE(OFFSET($H$3,0,0,'Données projet'!$E$9+1,1))</f>
        <v>298.01613436147056</v>
      </c>
      <c r="T118" s="59">
        <f t="shared" si="88"/>
        <v>212.70221374431253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32.543748144217467</v>
      </c>
      <c r="AA118" s="21">
        <f>EXP(-LN(2)/25)*AA117+(1-EXP(-LN(2)/25))/(LN(2)/25)*Calculateur!V118*Calculateur!X118*VLOOKUP('Données projet'!$B$9,Paramètres!$A$1:$I$89,3,0)*0.475*44/12</f>
        <v>20.674452790095497</v>
      </c>
      <c r="AB118" s="21">
        <f>EXP(-LN(2)/2)*AB117+(1-EXP(-LN(2)/2))/(LN(2)/2)*V118*Y118*VLOOKUP('Données projet'!$B$9,Paramètres!$A$1:$I$89,3,0)*0.475*44/12</f>
        <v>7.763677855695314E-2</v>
      </c>
      <c r="AC118" s="22">
        <f t="shared" si="57"/>
        <v>53.295837712869911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5.6843418860808015E-13</v>
      </c>
      <c r="AJ118" s="13">
        <f>AI118*VLOOKUP('Données projet'!$B$10,Paramètres!$A$1:$I$89,3,0)*VLOOKUP('Données projet'!$B$10,Paramètres!$A$1:$I$89,5,0)</f>
        <v>3.177547114319168E-13</v>
      </c>
      <c r="AK118" s="13">
        <f t="shared" si="89"/>
        <v>4.1725404435445377E-12</v>
      </c>
      <c r="AL118" s="20">
        <f t="shared" si="58"/>
        <v>7.820597394917325E-12</v>
      </c>
      <c r="AM118" s="59">
        <f t="shared" si="59"/>
        <v>293.33333333334116</v>
      </c>
      <c r="AN118" s="59">
        <f ca="1">AVERAGE(OFFSET($AM$3,0,0,'Données projet'!$E$10+1,1))-AVERAGE(OFFSET($H$3,0,0,'Données projet'!$E$10+1,1))</f>
        <v>287.413090017863</v>
      </c>
      <c r="AO118" s="59">
        <f t="shared" si="90"/>
        <v>258.48456031927117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94.645665757106329</v>
      </c>
      <c r="AV118" s="21">
        <f>EXP(-LN(2)/25)*AV117+(1-EXP(-LN(2)/25))/(LN(2)/25)*Calculateur!AQ118*Calculateur!AS118*VLOOKUP('Données projet'!$B$10,Paramètres!$A$1:$I$89,3,0)*0.475*44/12</f>
        <v>22.042759049738606</v>
      </c>
      <c r="AW118" s="21">
        <f>EXP(-LN(2)/2)*AW117+(1-EXP(-LN(2)/2))/(LN(2)/2)*AQ118*AT118*VLOOKUP('Données projet'!$B$10,Paramètres!$A$1:$I$89,3,0)*0.475*44/12</f>
        <v>1.2729279581478062E-5</v>
      </c>
      <c r="AX118" s="21">
        <f t="shared" si="60"/>
        <v>116.68843753612451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243.33915530322201</v>
      </c>
      <c r="BJ118" s="59">
        <f t="shared" si="92"/>
        <v>247.73814704672577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25.9910440490479</v>
      </c>
      <c r="BQ118" s="21">
        <f>EXP(-LN(2)/25)*BQ117+(1-EXP(-LN(2)/25))/(LN(2)/25)*Calculateur!BL118*Calculateur!BN118*VLOOKUP('Données projet'!$B$11,Paramètres!$A$1:$I$89,3,0)*0.475*44/12</f>
        <v>19.448063336640235</v>
      </c>
      <c r="BR118" s="21">
        <f>EXP(-LN(2)/2)*BR117+(1-EXP(-LN(2)/2))/(LN(2)/2)*BL118*BO118*VLOOKUP('Données projet'!$B$11,Paramètres!$A$1:$I$89,3,0)*0.475*44/12</f>
        <v>3.3675033198742488E-4</v>
      </c>
      <c r="BS118" s="22">
        <f t="shared" si="63"/>
        <v>45.439444136020121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7.8516666666666692</v>
      </c>
      <c r="N119" s="13">
        <f>IF('Données projet'!$A$36&gt;35,N118+M119-V118,IF(A119&lt;'Données projet'!$A$36,$K$205^A119,IF(A119='Données projet'!$A$36,'Données projet'!$B$36,N118+M119-V118)))</f>
        <v>333.94500000000033</v>
      </c>
      <c r="O119" s="13">
        <f>N119*VLOOKUP('Données projet'!$B$9,Paramètres!$A$1:$I$89,3,0)*VLOOKUP('Données projet'!$B$9,Paramètres!$A$1:$I$89,5,0)</f>
        <v>302.15343600000028</v>
      </c>
      <c r="P119" s="13">
        <f t="shared" si="87"/>
        <v>71.627718279800249</v>
      </c>
      <c r="Q119" s="20">
        <f t="shared" si="107"/>
        <v>651.00217703731926</v>
      </c>
      <c r="R119" s="59">
        <f t="shared" si="55"/>
        <v>944.33551037065263</v>
      </c>
      <c r="S119" s="59">
        <f ca="1">AVERAGE(OFFSET($R$3,0,0,'Données projet'!$E$9+1,1))-AVERAGE(OFFSET($H$3,0,0,'Données projet'!$E$9+1,1))</f>
        <v>298.01613436147056</v>
      </c>
      <c r="T119" s="59">
        <f t="shared" si="88"/>
        <v>212.70221374431253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31.905585092835732</v>
      </c>
      <c r="AA119" s="21">
        <f>EXP(-LN(2)/25)*AA118+(1-EXP(-LN(2)/25))/(LN(2)/25)*Calculateur!V119*Calculateur!X119*VLOOKUP('Données projet'!$B$9,Paramètres!$A$1:$I$89,3,0)*0.475*44/12</f>
        <v>20.109108791328115</v>
      </c>
      <c r="AB119" s="21">
        <f>EXP(-LN(2)/2)*AB118+(1-EXP(-LN(2)/2))/(LN(2)/2)*V119*Y119*VLOOKUP('Données projet'!$B$9,Paramètres!$A$1:$I$89,3,0)*0.475*44/12</f>
        <v>5.4897492587099909E-2</v>
      </c>
      <c r="AC119" s="22">
        <f t="shared" si="57"/>
        <v>52.06959137675095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5.6843418860808015E-13</v>
      </c>
      <c r="AJ119" s="13">
        <f>AI119*VLOOKUP('Données projet'!$B$10,Paramètres!$A$1:$I$89,3,0)*VLOOKUP('Données projet'!$B$10,Paramètres!$A$1:$I$89,5,0)</f>
        <v>3.177547114319168E-13</v>
      </c>
      <c r="AK119" s="13">
        <f t="shared" si="89"/>
        <v>4.1725404435445377E-12</v>
      </c>
      <c r="AL119" s="20">
        <f t="shared" si="58"/>
        <v>7.820597394917325E-12</v>
      </c>
      <c r="AM119" s="59">
        <f t="shared" si="59"/>
        <v>293.33333333334116</v>
      </c>
      <c r="AN119" s="59">
        <f ca="1">AVERAGE(OFFSET($AM$3,0,0,'Données projet'!$E$10+1,1))-AVERAGE(OFFSET($H$3,0,0,'Données projet'!$E$10+1,1))</f>
        <v>287.413090017863</v>
      </c>
      <c r="AO119" s="59">
        <f t="shared" si="90"/>
        <v>258.48456031927117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92.789721979765403</v>
      </c>
      <c r="AV119" s="21">
        <f>EXP(-LN(2)/25)*AV118+(1-EXP(-LN(2)/25))/(LN(2)/25)*Calculateur!AQ119*Calculateur!AS119*VLOOKUP('Données projet'!$B$10,Paramètres!$A$1:$I$89,3,0)*0.475*44/12</f>
        <v>21.439998644345184</v>
      </c>
      <c r="AW119" s="21">
        <f>EXP(-LN(2)/2)*AW118+(1-EXP(-LN(2)/2))/(LN(2)/2)*AQ119*AT119*VLOOKUP('Données projet'!$B$10,Paramètres!$A$1:$I$89,3,0)*0.475*44/12</f>
        <v>9.0009599116825949E-6</v>
      </c>
      <c r="AX119" s="21">
        <f t="shared" si="60"/>
        <v>114.22972962507049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243.33915530322201</v>
      </c>
      <c r="BJ119" s="59">
        <f t="shared" si="92"/>
        <v>247.73814704672577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25.48137552821759</v>
      </c>
      <c r="BQ119" s="21">
        <f>EXP(-LN(2)/25)*BQ118+(1-EXP(-LN(2)/25))/(LN(2)/25)*Calculateur!BL119*Calculateur!BN119*VLOOKUP('Données projet'!$B$11,Paramètres!$A$1:$I$89,3,0)*0.475*44/12</f>
        <v>18.916255021970606</v>
      </c>
      <c r="BR119" s="21">
        <f>EXP(-LN(2)/2)*BR118+(1-EXP(-LN(2)/2))/(LN(2)/2)*BL119*BO119*VLOOKUP('Données projet'!$B$11,Paramètres!$A$1:$I$89,3,0)*0.475*44/12</f>
        <v>2.3811844331512929E-4</v>
      </c>
      <c r="BS119" s="22">
        <f t="shared" si="63"/>
        <v>44.39786866863151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7.8516666666666692</v>
      </c>
      <c r="N120" s="13">
        <f>IF('Données projet'!$A$36&gt;35,N119+M120-V119,IF(A120&lt;'Données projet'!$A$36,$K$205^A120,IF(A120='Données projet'!$A$36,'Données projet'!$B$36,N119+M120-V119)))</f>
        <v>341.79666666666702</v>
      </c>
      <c r="O120" s="13">
        <f>N120*VLOOKUP('Données projet'!$B$9,Paramètres!$A$1:$I$89,3,0)*VLOOKUP('Données projet'!$B$9,Paramètres!$A$1:$I$89,5,0)</f>
        <v>309.25762400000031</v>
      </c>
      <c r="P120" s="13">
        <f t="shared" si="87"/>
        <v>73.113770887931139</v>
      </c>
      <c r="Q120" s="20">
        <f t="shared" si="107"/>
        <v>665.96351276314715</v>
      </c>
      <c r="R120" s="59">
        <f t="shared" si="55"/>
        <v>959.29684609648052</v>
      </c>
      <c r="S120" s="59">
        <f ca="1">AVERAGE(OFFSET($R$3,0,0,'Données projet'!$E$9+1,1))-AVERAGE(OFFSET($H$3,0,0,'Données projet'!$E$9+1,1))</f>
        <v>298.01613436147056</v>
      </c>
      <c r="T120" s="59">
        <f t="shared" si="88"/>
        <v>212.70221374431253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31.279936029650568</v>
      </c>
      <c r="AA120" s="21">
        <f>EXP(-LN(2)/25)*AA119+(1-EXP(-LN(2)/25))/(LN(2)/25)*Calculateur!V120*Calculateur!X120*VLOOKUP('Données projet'!$B$9,Paramètres!$A$1:$I$89,3,0)*0.475*44/12</f>
        <v>19.559224153937176</v>
      </c>
      <c r="AB120" s="21">
        <f>EXP(-LN(2)/2)*AB119+(1-EXP(-LN(2)/2))/(LN(2)/2)*V120*Y120*VLOOKUP('Données projet'!$B$9,Paramètres!$A$1:$I$89,3,0)*0.475*44/12</f>
        <v>3.881838927847657E-2</v>
      </c>
      <c r="AC120" s="22">
        <f t="shared" si="57"/>
        <v>50.877978572866219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5.6843418860808015E-13</v>
      </c>
      <c r="AJ120" s="13">
        <f>AI120*VLOOKUP('Données projet'!$B$10,Paramètres!$A$1:$I$89,3,0)*VLOOKUP('Données projet'!$B$10,Paramètres!$A$1:$I$89,5,0)</f>
        <v>3.177547114319168E-13</v>
      </c>
      <c r="AK120" s="13">
        <f t="shared" si="89"/>
        <v>4.1725404435445377E-12</v>
      </c>
      <c r="AL120" s="20">
        <f t="shared" si="58"/>
        <v>7.820597394917325E-12</v>
      </c>
      <c r="AM120" s="59">
        <f t="shared" si="59"/>
        <v>293.33333333334116</v>
      </c>
      <c r="AN120" s="59">
        <f ca="1">AVERAGE(OFFSET($AM$3,0,0,'Données projet'!$E$10+1,1))-AVERAGE(OFFSET($H$3,0,0,'Données projet'!$E$10+1,1))</f>
        <v>287.413090017863</v>
      </c>
      <c r="AO120" s="59">
        <f t="shared" si="90"/>
        <v>258.48456031927117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90.970172127884211</v>
      </c>
      <c r="AV120" s="21">
        <f>EXP(-LN(2)/25)*AV119+(1-EXP(-LN(2)/25))/(LN(2)/25)*Calculateur!AQ120*Calculateur!AS120*VLOOKUP('Données projet'!$B$10,Paramètres!$A$1:$I$89,3,0)*0.475*44/12</f>
        <v>20.85372075393504</v>
      </c>
      <c r="AW120" s="21">
        <f>EXP(-LN(2)/2)*AW119+(1-EXP(-LN(2)/2))/(LN(2)/2)*AQ120*AT120*VLOOKUP('Données projet'!$B$10,Paramètres!$A$1:$I$89,3,0)*0.475*44/12</f>
        <v>6.3646397907390309E-6</v>
      </c>
      <c r="AX120" s="21">
        <f t="shared" si="60"/>
        <v>111.82389924645904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243.33915530322201</v>
      </c>
      <c r="BJ120" s="59">
        <f t="shared" si="92"/>
        <v>247.73814704672577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24.981701296213661</v>
      </c>
      <c r="BQ120" s="21">
        <f>EXP(-LN(2)/25)*BQ119+(1-EXP(-LN(2)/25))/(LN(2)/25)*Calculateur!BL120*Calculateur!BN120*VLOOKUP('Données projet'!$B$11,Paramètres!$A$1:$I$89,3,0)*0.475*44/12</f>
        <v>18.398989033632201</v>
      </c>
      <c r="BR120" s="21">
        <f>EXP(-LN(2)/2)*BR119+(1-EXP(-LN(2)/2))/(LN(2)/2)*BL120*BO120*VLOOKUP('Données projet'!$B$11,Paramètres!$A$1:$I$89,3,0)*0.475*44/12</f>
        <v>1.6837516599371247E-4</v>
      </c>
      <c r="BS120" s="22">
        <f t="shared" si="63"/>
        <v>43.380858705011853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7.8516666666666692</v>
      </c>
      <c r="N121" s="13">
        <f>IF('Données projet'!$A$36&gt;35,N120+M121-V120,IF(A121&lt;'Données projet'!$A$36,$K$205^A121,IF(A121='Données projet'!$A$36,'Données projet'!$B$36,N120+M121-V120)))</f>
        <v>349.64833333333371</v>
      </c>
      <c r="O121" s="13">
        <f>N121*VLOOKUP('Données projet'!$B$9,Paramètres!$A$1:$I$89,3,0)*VLOOKUP('Données projet'!$B$9,Paramètres!$A$1:$I$89,5,0)</f>
        <v>316.36181200000033</v>
      </c>
      <c r="P121" s="13">
        <f t="shared" si="87"/>
        <v>74.59585486191655</v>
      </c>
      <c r="Q121" s="20">
        <f t="shared" si="107"/>
        <v>680.91793645117184</v>
      </c>
      <c r="R121" s="59">
        <f t="shared" si="55"/>
        <v>974.25126978450521</v>
      </c>
      <c r="S121" s="59">
        <f ca="1">AVERAGE(OFFSET($R$3,0,0,'Données projet'!$E$9+1,1))-AVERAGE(OFFSET($H$3,0,0,'Données projet'!$E$9+1,1))</f>
        <v>298.01613436147056</v>
      </c>
      <c r="T121" s="59">
        <f t="shared" si="88"/>
        <v>212.70221374431253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30.666555562986215</v>
      </c>
      <c r="AA121" s="21">
        <f>EXP(-LN(2)/25)*AA120+(1-EXP(-LN(2)/25))/(LN(2)/25)*Calculateur!V121*Calculateur!X121*VLOOKUP('Données projet'!$B$9,Paramètres!$A$1:$I$89,3,0)*0.475*44/12</f>
        <v>19.024376140872871</v>
      </c>
      <c r="AB121" s="21">
        <f>EXP(-LN(2)/2)*AB120+(1-EXP(-LN(2)/2))/(LN(2)/2)*V121*Y121*VLOOKUP('Données projet'!$B$9,Paramètres!$A$1:$I$89,3,0)*0.475*44/12</f>
        <v>2.7448746293549955E-2</v>
      </c>
      <c r="AC121" s="22">
        <f t="shared" si="57"/>
        <v>49.718380450152637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5.6843418860808015E-13</v>
      </c>
      <c r="AJ121" s="13">
        <f>AI121*VLOOKUP('Données projet'!$B$10,Paramètres!$A$1:$I$89,3,0)*VLOOKUP('Données projet'!$B$10,Paramètres!$A$1:$I$89,5,0)</f>
        <v>3.177547114319168E-13</v>
      </c>
      <c r="AK121" s="13">
        <f t="shared" si="89"/>
        <v>4.1725404435445377E-12</v>
      </c>
      <c r="AL121" s="20">
        <f t="shared" si="58"/>
        <v>7.820597394917325E-12</v>
      </c>
      <c r="AM121" s="59">
        <f t="shared" si="59"/>
        <v>293.33333333334116</v>
      </c>
      <c r="AN121" s="59">
        <f ca="1">AVERAGE(OFFSET($AM$3,0,0,'Données projet'!$E$10+1,1))-AVERAGE(OFFSET($H$3,0,0,'Données projet'!$E$10+1,1))</f>
        <v>287.413090017863</v>
      </c>
      <c r="AO121" s="59">
        <f t="shared" si="90"/>
        <v>258.48456031927117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89.186302538782584</v>
      </c>
      <c r="AV121" s="21">
        <f>EXP(-LN(2)/25)*AV120+(1-EXP(-LN(2)/25))/(LN(2)/25)*Calculateur!AQ121*Calculateur!AS121*VLOOKUP('Données projet'!$B$10,Paramètres!$A$1:$I$89,3,0)*0.475*44/12</f>
        <v>20.283474663269175</v>
      </c>
      <c r="AW121" s="21">
        <f>EXP(-LN(2)/2)*AW120+(1-EXP(-LN(2)/2))/(LN(2)/2)*AQ121*AT121*VLOOKUP('Données projet'!$B$10,Paramètres!$A$1:$I$89,3,0)*0.475*44/12</f>
        <v>4.5004799558412974E-6</v>
      </c>
      <c r="AX121" s="21">
        <f t="shared" si="60"/>
        <v>109.46978170253172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243.33915530322201</v>
      </c>
      <c r="BJ121" s="59">
        <f t="shared" si="92"/>
        <v>247.73814704672577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24.49182537112814</v>
      </c>
      <c r="BQ121" s="21">
        <f>EXP(-LN(2)/25)*BQ120+(1-EXP(-LN(2)/25))/(LN(2)/25)*Calculateur!BL121*Calculateur!BN121*VLOOKUP('Données projet'!$B$11,Paramètres!$A$1:$I$89,3,0)*0.475*44/12</f>
        <v>17.895867710946746</v>
      </c>
      <c r="BR121" s="21">
        <f>EXP(-LN(2)/2)*BR120+(1-EXP(-LN(2)/2))/(LN(2)/2)*BL121*BO121*VLOOKUP('Données projet'!$B$11,Paramètres!$A$1:$I$89,3,0)*0.475*44/12</f>
        <v>1.1905922165756467E-4</v>
      </c>
      <c r="BS121" s="22">
        <f t="shared" si="63"/>
        <v>42.38781214129655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7.8516666666666692</v>
      </c>
      <c r="N122" s="13">
        <f>IF('Données projet'!$A$36&gt;35,N121+M122-V121,IF(A122&lt;'Données projet'!$A$36,$K$205^A122,IF(A122='Données projet'!$A$36,'Données projet'!$B$36,N121+M122-V121)))</f>
        <v>357.5000000000004</v>
      </c>
      <c r="O122" s="13">
        <f>N122*VLOOKUP('Données projet'!$B$9,Paramètres!$A$1:$I$89,3,0)*VLOOKUP('Données projet'!$B$9,Paramètres!$A$1:$I$89,5,0)</f>
        <v>323.46600000000035</v>
      </c>
      <c r="P122" s="13">
        <f t="shared" si="87"/>
        <v>76.074069581431218</v>
      </c>
      <c r="Q122" s="20">
        <f t="shared" si="107"/>
        <v>695.86562118765994</v>
      </c>
      <c r="R122" s="59">
        <f t="shared" si="55"/>
        <v>989.19895452099331</v>
      </c>
      <c r="S122" s="59">
        <f ca="1">AVERAGE(OFFSET($R$3,0,0,'Données projet'!$E$9+1,1))-AVERAGE(OFFSET($H$3,0,0,'Données projet'!$E$9+1,1))</f>
        <v>298.01613436147056</v>
      </c>
      <c r="T122" s="59">
        <f t="shared" si="88"/>
        <v>212.70221374431253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30.065203113148009</v>
      </c>
      <c r="AA122" s="21">
        <f>EXP(-LN(2)/25)*AA121+(1-EXP(-LN(2)/25))/(LN(2)/25)*Calculateur!V122*Calculateur!X122*VLOOKUP('Données projet'!$B$9,Paramètres!$A$1:$I$89,3,0)*0.475*44/12</f>
        <v>18.504153574852243</v>
      </c>
      <c r="AB122" s="21">
        <f>EXP(-LN(2)/2)*AB121+(1-EXP(-LN(2)/2))/(LN(2)/2)*V122*Y122*VLOOKUP('Données projet'!$B$9,Paramètres!$A$1:$I$89,3,0)*0.475*44/12</f>
        <v>1.9409194639238285E-2</v>
      </c>
      <c r="AC122" s="22">
        <f t="shared" si="57"/>
        <v>48.588765882639493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5.6843418860808015E-13</v>
      </c>
      <c r="AJ122" s="13">
        <f>AI122*VLOOKUP('Données projet'!$B$10,Paramètres!$A$1:$I$89,3,0)*VLOOKUP('Données projet'!$B$10,Paramètres!$A$1:$I$89,5,0)</f>
        <v>3.177547114319168E-13</v>
      </c>
      <c r="AK122" s="13">
        <f t="shared" si="89"/>
        <v>4.1725404435445377E-12</v>
      </c>
      <c r="AL122" s="20">
        <f t="shared" si="58"/>
        <v>7.820597394917325E-12</v>
      </c>
      <c r="AM122" s="59">
        <f t="shared" si="59"/>
        <v>293.33333333334116</v>
      </c>
      <c r="AN122" s="59">
        <f ca="1">AVERAGE(OFFSET($AM$3,0,0,'Données projet'!$E$10+1,1))-AVERAGE(OFFSET($H$3,0,0,'Données projet'!$E$10+1,1))</f>
        <v>287.413090017863</v>
      </c>
      <c r="AO122" s="59">
        <f t="shared" si="90"/>
        <v>258.48456031927117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87.437413544270228</v>
      </c>
      <c r="AV122" s="21">
        <f>EXP(-LN(2)/25)*AV121+(1-EXP(-LN(2)/25))/(LN(2)/25)*Calculateur!AQ122*Calculateur!AS122*VLOOKUP('Données projet'!$B$10,Paramètres!$A$1:$I$89,3,0)*0.475*44/12</f>
        <v>19.728821981940506</v>
      </c>
      <c r="AW122" s="21">
        <f>EXP(-LN(2)/2)*AW121+(1-EXP(-LN(2)/2))/(LN(2)/2)*AQ122*AT122*VLOOKUP('Données projet'!$B$10,Paramètres!$A$1:$I$89,3,0)*0.475*44/12</f>
        <v>3.1823198953695154E-6</v>
      </c>
      <c r="AX122" s="21">
        <f t="shared" si="60"/>
        <v>107.16623870853063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243.33915530322201</v>
      </c>
      <c r="BJ122" s="59">
        <f t="shared" si="92"/>
        <v>247.73814704672577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24.011555614138736</v>
      </c>
      <c r="BQ122" s="21">
        <f>EXP(-LN(2)/25)*BQ121+(1-EXP(-LN(2)/25))/(LN(2)/25)*Calculateur!BL122*Calculateur!BN122*VLOOKUP('Données projet'!$B$11,Paramètres!$A$1:$I$89,3,0)*0.475*44/12</f>
        <v>17.406504267288124</v>
      </c>
      <c r="BR122" s="21">
        <f>EXP(-LN(2)/2)*BR121+(1-EXP(-LN(2)/2))/(LN(2)/2)*BL122*BO122*VLOOKUP('Données projet'!$B$11,Paramètres!$A$1:$I$89,3,0)*0.475*44/12</f>
        <v>8.4187582996856248E-5</v>
      </c>
      <c r="BS122" s="22">
        <f t="shared" si="63"/>
        <v>41.418144069009855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7.8516666666666692</v>
      </c>
      <c r="N123" s="13">
        <f>IF('Données projet'!$A$36&gt;35,N122+M123-V122,IF(A123&lt;'Données projet'!$A$36,$K$205^A123,IF(A123='Données projet'!$A$36,'Données projet'!$B$36,N122+M123-V122)))</f>
        <v>365.35166666666709</v>
      </c>
      <c r="O123" s="13">
        <f>N123*VLOOKUP('Données projet'!$B$9,Paramètres!$A$1:$I$89,3,0)*VLOOKUP('Données projet'!$B$9,Paramètres!$A$1:$I$89,5,0)</f>
        <v>330.57018800000037</v>
      </c>
      <c r="P123" s="13">
        <f t="shared" si="87"/>
        <v>77.548509811581681</v>
      </c>
      <c r="Q123" s="20">
        <f t="shared" si="107"/>
        <v>710.80673202183868</v>
      </c>
      <c r="R123" s="59">
        <f t="shared" si="55"/>
        <v>1004.1400653551721</v>
      </c>
      <c r="S123" s="59">
        <f ca="1">AVERAGE(OFFSET($R$3,0,0,'Données projet'!$E$9+1,1))-AVERAGE(OFFSET($H$3,0,0,'Données projet'!$E$9+1,1))</f>
        <v>298.01613436147056</v>
      </c>
      <c r="T123" s="59">
        <f t="shared" si="88"/>
        <v>212.70221374431253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29.475642818062351</v>
      </c>
      <c r="AA123" s="21">
        <f>EXP(-LN(2)/25)*AA122+(1-EXP(-LN(2)/25))/(LN(2)/25)*Calculateur!V123*Calculateur!X123*VLOOKUP('Données projet'!$B$9,Paramètres!$A$1:$I$89,3,0)*0.475*44/12</f>
        <v>17.998156522256764</v>
      </c>
      <c r="AB123" s="21">
        <f>EXP(-LN(2)/2)*AB122+(1-EXP(-LN(2)/2))/(LN(2)/2)*V123*Y123*VLOOKUP('Données projet'!$B$9,Paramètres!$A$1:$I$89,3,0)*0.475*44/12</f>
        <v>1.3724373146774977E-2</v>
      </c>
      <c r="AC123" s="22">
        <f t="shared" si="57"/>
        <v>47.48752371346589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5.6843418860808015E-13</v>
      </c>
      <c r="AJ123" s="13">
        <f>AI123*VLOOKUP('Données projet'!$B$10,Paramètres!$A$1:$I$89,3,0)*VLOOKUP('Données projet'!$B$10,Paramètres!$A$1:$I$89,5,0)</f>
        <v>3.177547114319168E-13</v>
      </c>
      <c r="AK123" s="13">
        <f t="shared" si="89"/>
        <v>4.1725404435445377E-12</v>
      </c>
      <c r="AL123" s="20">
        <f t="shared" si="58"/>
        <v>7.820597394917325E-12</v>
      </c>
      <c r="AM123" s="59">
        <f t="shared" si="59"/>
        <v>293.33333333334116</v>
      </c>
      <c r="AN123" s="59">
        <f ca="1">AVERAGE(OFFSET($AM$3,0,0,'Données projet'!$E$10+1,1))-AVERAGE(OFFSET($H$3,0,0,'Données projet'!$E$10+1,1))</f>
        <v>287.413090017863</v>
      </c>
      <c r="AO123" s="59">
        <f t="shared" si="90"/>
        <v>258.48456031927117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85.722819196223298</v>
      </c>
      <c r="AV123" s="21">
        <f>EXP(-LN(2)/25)*AV122+(1-EXP(-LN(2)/25))/(LN(2)/25)*Calculateur!AQ123*Calculateur!AS123*VLOOKUP('Données projet'!$B$10,Paramètres!$A$1:$I$89,3,0)*0.475*44/12</f>
        <v>19.189336307350686</v>
      </c>
      <c r="AW123" s="21">
        <f>EXP(-LN(2)/2)*AW122+(1-EXP(-LN(2)/2))/(LN(2)/2)*AQ123*AT123*VLOOKUP('Données projet'!$B$10,Paramètres!$A$1:$I$89,3,0)*0.475*44/12</f>
        <v>2.2502399779206487E-6</v>
      </c>
      <c r="AX123" s="21">
        <f t="shared" si="60"/>
        <v>104.91215775381396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243.33915530322201</v>
      </c>
      <c r="BJ123" s="59">
        <f t="shared" si="92"/>
        <v>247.73814704672577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23.540703654148267</v>
      </c>
      <c r="BQ123" s="21">
        <f>EXP(-LN(2)/25)*BQ122+(1-EXP(-LN(2)/25))/(LN(2)/25)*Calculateur!BL123*Calculateur!BN123*VLOOKUP('Données projet'!$B$11,Paramètres!$A$1:$I$89,3,0)*0.475*44/12</f>
        <v>16.930522492730855</v>
      </c>
      <c r="BR123" s="21">
        <f>EXP(-LN(2)/2)*BR122+(1-EXP(-LN(2)/2))/(LN(2)/2)*BL123*BO123*VLOOKUP('Données projet'!$B$11,Paramètres!$A$1:$I$89,3,0)*0.475*44/12</f>
        <v>5.9529610828782342E-5</v>
      </c>
      <c r="BS123" s="22">
        <f t="shared" si="63"/>
        <v>40.471285676489948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7.8516666666666692</v>
      </c>
      <c r="N124" s="13">
        <f>IF('Données projet'!$A$36&gt;35,N123+M124-V123,IF(A124&lt;'Données projet'!$A$36,$K$205^A124,IF(A124='Données projet'!$A$36,'Données projet'!$B$36,N123+M124-V123)))</f>
        <v>373.20333333333377</v>
      </c>
      <c r="O124" s="13">
        <f>N124*VLOOKUP('Données projet'!$B$9,Paramètres!$A$1:$I$89,3,0)*VLOOKUP('Données projet'!$B$9,Paramètres!$A$1:$I$89,5,0)</f>
        <v>337.67437600000039</v>
      </c>
      <c r="P124" s="13">
        <f t="shared" si="87"/>
        <v>79.019266011670013</v>
      </c>
      <c r="Q124" s="20">
        <f t="shared" si="107"/>
        <v>725.74142650365923</v>
      </c>
      <c r="R124" s="59">
        <f t="shared" si="55"/>
        <v>1019.0747598369926</v>
      </c>
      <c r="S124" s="59">
        <f ca="1">AVERAGE(OFFSET($R$3,0,0,'Données projet'!$E$9+1,1))-AVERAGE(OFFSET($H$3,0,0,'Données projet'!$E$9+1,1))</f>
        <v>298.01613436147056</v>
      </c>
      <c r="T124" s="59">
        <f t="shared" si="88"/>
        <v>212.70221374431253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28.897643440767052</v>
      </c>
      <c r="AA124" s="21">
        <f>EXP(-LN(2)/25)*AA123+(1-EXP(-LN(2)/25))/(LN(2)/25)*Calculateur!V124*Calculateur!X124*VLOOKUP('Données projet'!$B$9,Paramètres!$A$1:$I$89,3,0)*0.475*44/12</f>
        <v>17.505995985673735</v>
      </c>
      <c r="AB124" s="21">
        <f>EXP(-LN(2)/2)*AB123+(1-EXP(-LN(2)/2))/(LN(2)/2)*V124*Y124*VLOOKUP('Données projet'!$B$9,Paramètres!$A$1:$I$89,3,0)*0.475*44/12</f>
        <v>9.7045973196191425E-3</v>
      </c>
      <c r="AC124" s="22">
        <f t="shared" si="57"/>
        <v>46.413344023760409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5.6843418860808015E-13</v>
      </c>
      <c r="AJ124" s="13">
        <f>AI124*VLOOKUP('Données projet'!$B$10,Paramètres!$A$1:$I$89,3,0)*VLOOKUP('Données projet'!$B$10,Paramètres!$A$1:$I$89,5,0)</f>
        <v>3.177547114319168E-13</v>
      </c>
      <c r="AK124" s="13">
        <f t="shared" si="89"/>
        <v>4.1725404435445377E-12</v>
      </c>
      <c r="AL124" s="20">
        <f t="shared" si="58"/>
        <v>7.820597394917325E-12</v>
      </c>
      <c r="AM124" s="59">
        <f t="shared" si="59"/>
        <v>293.33333333334116</v>
      </c>
      <c r="AN124" s="59">
        <f ca="1">AVERAGE(OFFSET($AM$3,0,0,'Données projet'!$E$10+1,1))-AVERAGE(OFFSET($H$3,0,0,'Données projet'!$E$10+1,1))</f>
        <v>287.413090017863</v>
      </c>
      <c r="AO124" s="59">
        <f t="shared" si="90"/>
        <v>258.48456031927117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84.041846997542279</v>
      </c>
      <c r="AV124" s="21">
        <f>EXP(-LN(2)/25)*AV123+(1-EXP(-LN(2)/25))/(LN(2)/25)*Calculateur!AQ124*Calculateur!AS124*VLOOKUP('Données projet'!$B$10,Paramètres!$A$1:$I$89,3,0)*0.475*44/12</f>
        <v>18.664602896902842</v>
      </c>
      <c r="AW124" s="21">
        <f>EXP(-LN(2)/2)*AW123+(1-EXP(-LN(2)/2))/(LN(2)/2)*AQ124*AT124*VLOOKUP('Données projet'!$B$10,Paramètres!$A$1:$I$89,3,0)*0.475*44/12</f>
        <v>1.5911599476847577E-6</v>
      </c>
      <c r="AX124" s="21">
        <f t="shared" si="60"/>
        <v>102.70645148560506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243.33915530322201</v>
      </c>
      <c r="BJ124" s="59">
        <f t="shared" si="92"/>
        <v>247.73814704672577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23.079084813901872</v>
      </c>
      <c r="BQ124" s="21">
        <f>EXP(-LN(2)/25)*BQ123+(1-EXP(-LN(2)/25))/(LN(2)/25)*Calculateur!BL124*Calculateur!BN124*VLOOKUP('Données projet'!$B$11,Paramètres!$A$1:$I$89,3,0)*0.475*44/12</f>
        <v>16.467556464829649</v>
      </c>
      <c r="BR124" s="21">
        <f>EXP(-LN(2)/2)*BR123+(1-EXP(-LN(2)/2))/(LN(2)/2)*BL124*BO124*VLOOKUP('Données projet'!$B$11,Paramètres!$A$1:$I$89,3,0)*0.475*44/12</f>
        <v>4.2093791498428131E-5</v>
      </c>
      <c r="BS124" s="22">
        <f t="shared" si="63"/>
        <v>39.54668337252302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7.8516666666666692</v>
      </c>
      <c r="N125" s="13">
        <f>IF('Données projet'!$A$36&gt;35,N124+M125-V124,IF(A125&lt;'Données projet'!$A$36,$K$205^A125,IF(A125='Données projet'!$A$36,'Données projet'!$B$36,N124+M125-V124)))</f>
        <v>381.05500000000046</v>
      </c>
      <c r="O125" s="13">
        <f>N125*VLOOKUP('Données projet'!$B$9,Paramètres!$A$1:$I$89,3,0)*VLOOKUP('Données projet'!$B$9,Paramètres!$A$1:$I$89,5,0)</f>
        <v>344.77856400000042</v>
      </c>
      <c r="P125" s="13">
        <f t="shared" si="87"/>
        <v>80.486424617240047</v>
      </c>
      <c r="Q125" s="20">
        <f t="shared" si="107"/>
        <v>740.66985517502701</v>
      </c>
      <c r="R125" s="59">
        <f t="shared" si="55"/>
        <v>1034.0031885083604</v>
      </c>
      <c r="S125" s="59">
        <f ca="1">AVERAGE(OFFSET($R$3,0,0,'Données projet'!$E$9+1,1))-AVERAGE(OFFSET($H$3,0,0,'Données projet'!$E$9+1,1))</f>
        <v>298.01613436147056</v>
      </c>
      <c r="T125" s="59">
        <f t="shared" si="88"/>
        <v>212.70221374431253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28.330978278715705</v>
      </c>
      <c r="AA125" s="21">
        <f>EXP(-LN(2)/25)*AA124+(1-EXP(-LN(2)/25))/(LN(2)/25)*Calculateur!V125*Calculateur!X125*VLOOKUP('Données projet'!$B$9,Paramètres!$A$1:$I$89,3,0)*0.475*44/12</f>
        <v>17.02729360484517</v>
      </c>
      <c r="AB125" s="21">
        <f>EXP(-LN(2)/2)*AB124+(1-EXP(-LN(2)/2))/(LN(2)/2)*V125*Y125*VLOOKUP('Données projet'!$B$9,Paramètres!$A$1:$I$89,3,0)*0.475*44/12</f>
        <v>6.8621865733874887E-3</v>
      </c>
      <c r="AC125" s="22">
        <f t="shared" si="57"/>
        <v>45.36513407013426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5.6843418860808015E-13</v>
      </c>
      <c r="AJ125" s="13">
        <f>AI125*VLOOKUP('Données projet'!$B$10,Paramètres!$A$1:$I$89,3,0)*VLOOKUP('Données projet'!$B$10,Paramètres!$A$1:$I$89,5,0)</f>
        <v>3.177547114319168E-13</v>
      </c>
      <c r="AK125" s="13">
        <f t="shared" si="89"/>
        <v>4.1725404435445377E-12</v>
      </c>
      <c r="AL125" s="20">
        <f t="shared" si="58"/>
        <v>7.820597394917325E-12</v>
      </c>
      <c r="AM125" s="59">
        <f t="shared" si="59"/>
        <v>293.33333333334116</v>
      </c>
      <c r="AN125" s="59">
        <f ca="1">AVERAGE(OFFSET($AM$3,0,0,'Données projet'!$E$10+1,1))-AVERAGE(OFFSET($H$3,0,0,'Données projet'!$E$10+1,1))</f>
        <v>287.413090017863</v>
      </c>
      <c r="AO125" s="59">
        <f t="shared" si="90"/>
        <v>258.48456031927117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82.393837638385591</v>
      </c>
      <c r="AV125" s="21">
        <f>EXP(-LN(2)/25)*AV124+(1-EXP(-LN(2)/25))/(LN(2)/25)*Calculateur!AQ125*Calculateur!AS125*VLOOKUP('Données projet'!$B$10,Paramètres!$A$1:$I$89,3,0)*0.475*44/12</f>
        <v>18.154218349158228</v>
      </c>
      <c r="AW125" s="21">
        <f>EXP(-LN(2)/2)*AW124+(1-EXP(-LN(2)/2))/(LN(2)/2)*AQ125*AT125*VLOOKUP('Données projet'!$B$10,Paramètres!$A$1:$I$89,3,0)*0.475*44/12</f>
        <v>1.1251199889603244E-6</v>
      </c>
      <c r="AX125" s="21">
        <f t="shared" si="60"/>
        <v>100.54805711266381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243.33915530322201</v>
      </c>
      <c r="BJ125" s="59">
        <f t="shared" si="92"/>
        <v>247.73814704672577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22.626518037553019</v>
      </c>
      <c r="BQ125" s="21">
        <f>EXP(-LN(2)/25)*BQ124+(1-EXP(-LN(2)/25))/(LN(2)/25)*Calculateur!BL125*Calculateur!BN125*VLOOKUP('Données projet'!$B$11,Paramètres!$A$1:$I$89,3,0)*0.475*44/12</f>
        <v>16.017250267307723</v>
      </c>
      <c r="BR125" s="21">
        <f>EXP(-LN(2)/2)*BR124+(1-EXP(-LN(2)/2))/(LN(2)/2)*BL125*BO125*VLOOKUP('Données projet'!$B$11,Paramètres!$A$1:$I$89,3,0)*0.475*44/12</f>
        <v>2.9764805414391178E-5</v>
      </c>
      <c r="BS125" s="22">
        <f t="shared" si="63"/>
        <v>38.643798069666154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7.8516666666666692</v>
      </c>
      <c r="N126" s="13">
        <f>IF('Données projet'!$A$36&gt;35,N125+M126-V125,IF(A126&lt;'Données projet'!$A$36,$K$205^A126,IF(A126='Données projet'!$A$36,'Données projet'!$B$36,N125+M126-V125)))</f>
        <v>388.90666666666715</v>
      </c>
      <c r="O126" s="13">
        <f>N126*VLOOKUP('Données projet'!$B$9,Paramètres!$A$1:$I$89,3,0)*VLOOKUP('Données projet'!$B$9,Paramètres!$A$1:$I$89,5,0)</f>
        <v>351.88275200000038</v>
      </c>
      <c r="P126" s="13">
        <f t="shared" si="87"/>
        <v>81.950068298221169</v>
      </c>
      <c r="Q126" s="20">
        <f t="shared" si="107"/>
        <v>755.59216201940251</v>
      </c>
      <c r="R126" s="59">
        <f t="shared" si="55"/>
        <v>1048.9254953527359</v>
      </c>
      <c r="S126" s="59">
        <f ca="1">AVERAGE(OFFSET($R$3,0,0,'Données projet'!$E$9+1,1))-AVERAGE(OFFSET($H$3,0,0,'Données projet'!$E$9+1,1))</f>
        <v>298.01613436147056</v>
      </c>
      <c r="T126" s="59">
        <f t="shared" si="88"/>
        <v>212.70221374431253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27.775425074860564</v>
      </c>
      <c r="AA126" s="21">
        <f>EXP(-LN(2)/25)*AA125+(1-EXP(-LN(2)/25))/(LN(2)/25)*Calculateur!V126*Calculateur!X126*VLOOKUP('Données projet'!$B$9,Paramètres!$A$1:$I$89,3,0)*0.475*44/12</f>
        <v>16.561681365794225</v>
      </c>
      <c r="AB126" s="21">
        <f>EXP(-LN(2)/2)*AB125+(1-EXP(-LN(2)/2))/(LN(2)/2)*V126*Y126*VLOOKUP('Données projet'!$B$9,Paramètres!$A$1:$I$89,3,0)*0.475*44/12</f>
        <v>4.8522986598095712E-3</v>
      </c>
      <c r="AC126" s="22">
        <f t="shared" si="57"/>
        <v>44.341958739314606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5.6843418860808015E-13</v>
      </c>
      <c r="AJ126" s="13">
        <f>AI126*VLOOKUP('Données projet'!$B$10,Paramètres!$A$1:$I$89,3,0)*VLOOKUP('Données projet'!$B$10,Paramètres!$A$1:$I$89,5,0)</f>
        <v>3.177547114319168E-13</v>
      </c>
      <c r="AK126" s="13">
        <f t="shared" si="89"/>
        <v>4.1725404435445377E-12</v>
      </c>
      <c r="AL126" s="20">
        <f t="shared" si="58"/>
        <v>7.820597394917325E-12</v>
      </c>
      <c r="AM126" s="59">
        <f t="shared" si="59"/>
        <v>293.33333333334116</v>
      </c>
      <c r="AN126" s="59">
        <f ca="1">AVERAGE(OFFSET($AM$3,0,0,'Données projet'!$E$10+1,1))-AVERAGE(OFFSET($H$3,0,0,'Données projet'!$E$10+1,1))</f>
        <v>287.413090017863</v>
      </c>
      <c r="AO126" s="59">
        <f t="shared" si="90"/>
        <v>258.48456031927117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80.778144737575516</v>
      </c>
      <c r="AV126" s="21">
        <f>EXP(-LN(2)/25)*AV125+(1-EXP(-LN(2)/25))/(LN(2)/25)*Calculateur!AQ126*Calculateur!AS126*VLOOKUP('Données projet'!$B$10,Paramètres!$A$1:$I$89,3,0)*0.475*44/12</f>
        <v>17.657790293711646</v>
      </c>
      <c r="AW126" s="21">
        <f>EXP(-LN(2)/2)*AW125+(1-EXP(-LN(2)/2))/(LN(2)/2)*AQ126*AT126*VLOOKUP('Données projet'!$B$10,Paramètres!$A$1:$I$89,3,0)*0.475*44/12</f>
        <v>7.9557997384237886E-7</v>
      </c>
      <c r="AX126" s="21">
        <f t="shared" si="60"/>
        <v>98.435935826867137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243.33915530322201</v>
      </c>
      <c r="BJ126" s="59">
        <f t="shared" si="92"/>
        <v>247.73814704672577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22.182825819649889</v>
      </c>
      <c r="BQ126" s="21">
        <f>EXP(-LN(2)/25)*BQ125+(1-EXP(-LN(2)/25))/(LN(2)/25)*Calculateur!BL126*Calculateur!BN126*VLOOKUP('Données projet'!$B$11,Paramètres!$A$1:$I$89,3,0)*0.475*44/12</f>
        <v>15.57925771643761</v>
      </c>
      <c r="BR126" s="21">
        <f>EXP(-LN(2)/2)*BR125+(1-EXP(-LN(2)/2))/(LN(2)/2)*BL126*BO126*VLOOKUP('Données projet'!$B$11,Paramètres!$A$1:$I$89,3,0)*0.475*44/12</f>
        <v>2.1046895749214069E-5</v>
      </c>
      <c r="BS126" s="22">
        <f t="shared" si="63"/>
        <v>37.762104582983248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7.8516666666666692</v>
      </c>
      <c r="N127" s="13">
        <f>IF('Données projet'!$A$36&gt;35,N126+M127-V126,IF(A127&lt;'Données projet'!$A$36,$K$205^A127,IF(A127='Données projet'!$A$36,'Données projet'!$B$36,N126+M127-V126)))</f>
        <v>396.75833333333384</v>
      </c>
      <c r="O127" s="13">
        <f>N127*VLOOKUP('Données projet'!$B$9,Paramètres!$A$1:$I$89,3,0)*VLOOKUP('Données projet'!$B$9,Paramètres!$A$1:$I$89,5,0)</f>
        <v>358.98694000000046</v>
      </c>
      <c r="P127" s="13">
        <f t="shared" si="87"/>
        <v>83.410276195636754</v>
      </c>
      <c r="Q127" s="20">
        <f t="shared" si="107"/>
        <v>770.50848487406813</v>
      </c>
      <c r="R127" s="59">
        <f t="shared" si="55"/>
        <v>1063.8418182074015</v>
      </c>
      <c r="S127" s="59">
        <f ca="1">AVERAGE(OFFSET($R$3,0,0,'Données projet'!$E$9+1,1))-AVERAGE(OFFSET($H$3,0,0,'Données projet'!$E$9+1,1))</f>
        <v>298.01613436147056</v>
      </c>
      <c r="T127" s="59">
        <f t="shared" si="88"/>
        <v>212.70221374431253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27.230765930479027</v>
      </c>
      <c r="AA127" s="21">
        <f>EXP(-LN(2)/25)*AA126+(1-EXP(-LN(2)/25))/(LN(2)/25)*Calculateur!V127*Calculateur!X127*VLOOKUP('Données projet'!$B$9,Paramètres!$A$1:$I$89,3,0)*0.475*44/12</f>
        <v>16.108801317905613</v>
      </c>
      <c r="AB127" s="21">
        <f>EXP(-LN(2)/2)*AB126+(1-EXP(-LN(2)/2))/(LN(2)/2)*V127*Y127*VLOOKUP('Données projet'!$B$9,Paramètres!$A$1:$I$89,3,0)*0.475*44/12</f>
        <v>3.4310932866937443E-3</v>
      </c>
      <c r="AC127" s="22">
        <f t="shared" si="57"/>
        <v>43.342998341671333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5.6843418860808015E-13</v>
      </c>
      <c r="AJ127" s="13">
        <f>AI127*VLOOKUP('Données projet'!$B$10,Paramètres!$A$1:$I$89,3,0)*VLOOKUP('Données projet'!$B$10,Paramètres!$A$1:$I$89,5,0)</f>
        <v>3.177547114319168E-13</v>
      </c>
      <c r="AK127" s="13">
        <f t="shared" si="89"/>
        <v>4.1725404435445377E-12</v>
      </c>
      <c r="AL127" s="20">
        <f t="shared" si="58"/>
        <v>7.820597394917325E-12</v>
      </c>
      <c r="AM127" s="59">
        <f t="shared" si="59"/>
        <v>293.33333333334116</v>
      </c>
      <c r="AN127" s="59">
        <f ca="1">AVERAGE(OFFSET($AM$3,0,0,'Données projet'!$E$10+1,1))-AVERAGE(OFFSET($H$3,0,0,'Données projet'!$E$10+1,1))</f>
        <v>287.413090017863</v>
      </c>
      <c r="AO127" s="59">
        <f t="shared" si="90"/>
        <v>258.48456031927117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79.194134589074963</v>
      </c>
      <c r="AV127" s="21">
        <f>EXP(-LN(2)/25)*AV126+(1-EXP(-LN(2)/25))/(LN(2)/25)*Calculateur!AQ127*Calculateur!AS127*VLOOKUP('Données projet'!$B$10,Paramètres!$A$1:$I$89,3,0)*0.475*44/12</f>
        <v>17.174937089547267</v>
      </c>
      <c r="AW127" s="21">
        <f>EXP(-LN(2)/2)*AW126+(1-EXP(-LN(2)/2))/(LN(2)/2)*AQ127*AT127*VLOOKUP('Données projet'!$B$10,Paramètres!$A$1:$I$89,3,0)*0.475*44/12</f>
        <v>5.6255999448016218E-7</v>
      </c>
      <c r="AX127" s="21">
        <f t="shared" si="60"/>
        <v>96.369072241182224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243.33915530322201</v>
      </c>
      <c r="BJ127" s="59">
        <f t="shared" si="92"/>
        <v>247.73814704672577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21.74783413551431</v>
      </c>
      <c r="BQ127" s="21">
        <f>EXP(-LN(2)/25)*BQ126+(1-EXP(-LN(2)/25))/(LN(2)/25)*Calculateur!BL127*Calculateur!BN127*VLOOKUP('Données projet'!$B$11,Paramètres!$A$1:$I$89,3,0)*0.475*44/12</f>
        <v>15.153242094904067</v>
      </c>
      <c r="BR127" s="21">
        <f>EXP(-LN(2)/2)*BR126+(1-EXP(-LN(2)/2))/(LN(2)/2)*BL127*BO127*VLOOKUP('Données projet'!$B$11,Paramètres!$A$1:$I$89,3,0)*0.475*44/12</f>
        <v>1.4882402707195591E-5</v>
      </c>
      <c r="BS127" s="22">
        <f t="shared" si="63"/>
        <v>36.901091112821085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404.61</v>
      </c>
      <c r="L128" s="12">
        <f>VLOOKUP(A128,'Données projet'!$A$35:$I$55,9,0)</f>
        <v>7.8516666666666692</v>
      </c>
      <c r="M128" s="12">
        <f t="array" ref="M128">INDEX(L:L,MIN(IF(ISNUMBER(L128:L324),ROW(L128:L324),"")))</f>
        <v>7.8516666666666692</v>
      </c>
      <c r="N128" s="13">
        <f>IF('Données projet'!$A$36&gt;35,N127+M128-V127,IF(A128&lt;'Données projet'!$A$36,$K$205^A128,IF(A128='Données projet'!$A$36,'Données projet'!$B$36,N127+M128-V127)))</f>
        <v>404.61000000000053</v>
      </c>
      <c r="O128" s="13">
        <f>N128*VLOOKUP('Données projet'!$B$9,Paramètres!$A$1:$I$89,3,0)*VLOOKUP('Données projet'!$B$9,Paramètres!$A$1:$I$89,5,0)</f>
        <v>366.09112800000048</v>
      </c>
      <c r="P128" s="13">
        <f t="shared" si="87"/>
        <v>84.86712413904533</v>
      </c>
      <c r="Q128" s="20">
        <f t="shared" si="107"/>
        <v>785.41895580883818</v>
      </c>
      <c r="R128" s="59">
        <f t="shared" si="55"/>
        <v>1078.7522891421715</v>
      </c>
      <c r="S128" s="59">
        <f ca="1">AVERAGE(OFFSET($R$3,0,0,'Données projet'!$E$9+1,1))-AVERAGE(OFFSET($H$3,0,0,'Données projet'!$E$9+1,1))</f>
        <v>298.01613436147056</v>
      </c>
      <c r="T128" s="59">
        <f t="shared" si="88"/>
        <v>212.70221374431253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70</v>
      </c>
      <c r="W128" s="16">
        <f>IF(ISNA(VLOOKUP(A128,'Données projet'!$A$35:$I$55,5,0)),0%,VLOOKUP(A128,'Données projet'!$A$35:$I$55,5,0)*VLOOKUP('Données projet'!$B$9,Paramètres!$A$1:$I$89,7,0))</f>
        <v>0.215</v>
      </c>
      <c r="X128" s="16">
        <f>IF(ISNA(VLOOKUP(A128,'Données projet'!$A$35:$I$55,6,0)),0%,VLOOKUP(A128,'Données projet'!$A$35:$I$55,6,0)*VLOOKUP('Données projet'!$B$9,Paramètres!$A$1:$I$89,7,0))</f>
        <v>8.6000000000000007E-2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41.750242690700809</v>
      </c>
      <c r="AA128" s="21">
        <f>EXP(-LN(2)/25)*AA127+(1-EXP(-LN(2)/25))/(LN(2)/25)*Calculateur!V128*Calculateur!X128*VLOOKUP('Données projet'!$B$9,Paramètres!$A$1:$I$89,3,0)*0.475*44/12</f>
        <v>21.665979011136745</v>
      </c>
      <c r="AB128" s="21">
        <f>EXP(-LN(2)/2)*AB127+(1-EXP(-LN(2)/2))/(LN(2)/2)*V128*Y128*VLOOKUP('Données projet'!$B$9,Paramètres!$A$1:$I$89,3,0)*0.475*44/12</f>
        <v>2.4261493299047856E-3</v>
      </c>
      <c r="AC128" s="22">
        <f t="shared" si="57"/>
        <v>63.418647851167464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5.6843418860808015E-13</v>
      </c>
      <c r="AJ128" s="13">
        <f>AI128*VLOOKUP('Données projet'!$B$10,Paramètres!$A$1:$I$89,3,0)*VLOOKUP('Données projet'!$B$10,Paramètres!$A$1:$I$89,5,0)</f>
        <v>3.177547114319168E-13</v>
      </c>
      <c r="AK128" s="13">
        <f t="shared" si="89"/>
        <v>4.1725404435445377E-12</v>
      </c>
      <c r="AL128" s="20">
        <f t="shared" si="58"/>
        <v>7.820597394917325E-12</v>
      </c>
      <c r="AM128" s="59">
        <f t="shared" si="59"/>
        <v>293.33333333334116</v>
      </c>
      <c r="AN128" s="59">
        <f ca="1">AVERAGE(OFFSET($AM$3,0,0,'Données projet'!$E$10+1,1))-AVERAGE(OFFSET($H$3,0,0,'Données projet'!$E$10+1,1))</f>
        <v>287.413090017863</v>
      </c>
      <c r="AO128" s="59">
        <f t="shared" si="90"/>
        <v>258.48456031927117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77.641185913435706</v>
      </c>
      <c r="AV128" s="21">
        <f>EXP(-LN(2)/25)*AV127+(1-EXP(-LN(2)/25))/(LN(2)/25)*Calculateur!AQ128*Calculateur!AS128*VLOOKUP('Données projet'!$B$10,Paramètres!$A$1:$I$89,3,0)*0.475*44/12</f>
        <v>16.705287531642909</v>
      </c>
      <c r="AW128" s="21">
        <f>EXP(-LN(2)/2)*AW127+(1-EXP(-LN(2)/2))/(LN(2)/2)*AQ128*AT128*VLOOKUP('Données projet'!$B$10,Paramètres!$A$1:$I$89,3,0)*0.475*44/12</f>
        <v>3.9778998692118943E-7</v>
      </c>
      <c r="AX128" s="21">
        <f t="shared" si="60"/>
        <v>94.346473842868605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243.33915530322201</v>
      </c>
      <c r="BJ128" s="59">
        <f t="shared" si="92"/>
        <v>247.73814704672577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21.321372372985898</v>
      </c>
      <c r="BQ128" s="21">
        <f>EXP(-LN(2)/25)*BQ127+(1-EXP(-LN(2)/25))/(LN(2)/25)*Calculateur!BL128*Calculateur!BN128*VLOOKUP('Données projet'!$B$11,Paramètres!$A$1:$I$89,3,0)*0.475*44/12</f>
        <v>14.738875892944547</v>
      </c>
      <c r="BR128" s="21">
        <f>EXP(-LN(2)/2)*BR127+(1-EXP(-LN(2)/2))/(LN(2)/2)*BL128*BO128*VLOOKUP('Données projet'!$B$11,Paramètres!$A$1:$I$89,3,0)*0.475*44/12</f>
        <v>1.0523447874607036E-5</v>
      </c>
      <c r="BS128" s="22">
        <f t="shared" si="63"/>
        <v>36.060258789378324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7.7849999999999966</v>
      </c>
      <c r="N129" s="13">
        <f>IF('Données projet'!$A$36&gt;35,N128+M129-V128,IF(A129&lt;'Données projet'!$A$36,$K$205^A129,IF(A129='Données projet'!$A$36,'Données projet'!$B$36,N128+M129-V128)))</f>
        <v>342.39500000000055</v>
      </c>
      <c r="O129" s="13">
        <f>N129*VLOOKUP('Données projet'!$B$9,Paramètres!$A$1:$I$89,3,0)*VLOOKUP('Données projet'!$B$9,Paramètres!$A$1:$I$89,5,0)</f>
        <v>309.7989960000005</v>
      </c>
      <c r="P129" s="13">
        <f t="shared" si="87"/>
        <v>73.226850951914003</v>
      </c>
      <c r="Q129" s="20">
        <f t="shared" si="107"/>
        <v>667.10335010791766</v>
      </c>
      <c r="R129" s="59">
        <f t="shared" si="55"/>
        <v>960.43668344125103</v>
      </c>
      <c r="S129" s="59">
        <f ca="1">AVERAGE(OFFSET($R$3,0,0,'Données projet'!$E$9+1,1))-AVERAGE(OFFSET($H$3,0,0,'Données projet'!$E$9+1,1))</f>
        <v>298.01613436147056</v>
      </c>
      <c r="T129" s="59">
        <f t="shared" si="88"/>
        <v>212.70221374431253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40.931545896669732</v>
      </c>
      <c r="AA129" s="21">
        <f>EXP(-LN(2)/25)*AA128+(1-EXP(-LN(2)/25))/(LN(2)/25)*Calculateur!V129*Calculateur!X129*VLOOKUP('Données projet'!$B$9,Paramètres!$A$1:$I$89,3,0)*0.475*44/12</f>
        <v>21.073521675712893</v>
      </c>
      <c r="AB129" s="21">
        <f>EXP(-LN(2)/2)*AB128+(1-EXP(-LN(2)/2))/(LN(2)/2)*V129*Y129*VLOOKUP('Données projet'!$B$9,Paramètres!$A$1:$I$89,3,0)*0.475*44/12</f>
        <v>1.7155466433468722E-3</v>
      </c>
      <c r="AC129" s="22">
        <f t="shared" si="57"/>
        <v>62.006783119025975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5.6843418860808015E-13</v>
      </c>
      <c r="AJ129" s="13">
        <f>AI129*VLOOKUP('Données projet'!$B$10,Paramètres!$A$1:$I$89,3,0)*VLOOKUP('Données projet'!$B$10,Paramètres!$A$1:$I$89,5,0)</f>
        <v>3.177547114319168E-13</v>
      </c>
      <c r="AK129" s="13">
        <f t="shared" si="89"/>
        <v>4.1725404435445377E-12</v>
      </c>
      <c r="AL129" s="20">
        <f t="shared" si="58"/>
        <v>7.820597394917325E-12</v>
      </c>
      <c r="AM129" s="59">
        <f t="shared" si="59"/>
        <v>293.33333333334116</v>
      </c>
      <c r="AN129" s="59">
        <f ca="1">AVERAGE(OFFSET($AM$3,0,0,'Données projet'!$E$10+1,1))-AVERAGE(OFFSET($H$3,0,0,'Données projet'!$E$10+1,1))</f>
        <v>287.413090017863</v>
      </c>
      <c r="AO129" s="59">
        <f t="shared" si="90"/>
        <v>258.48456031927117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76.118689614120584</v>
      </c>
      <c r="AV129" s="21">
        <f>EXP(-LN(2)/25)*AV128+(1-EXP(-LN(2)/25))/(LN(2)/25)*Calculateur!AQ129*Calculateur!AS129*VLOOKUP('Données projet'!$B$10,Paramètres!$A$1:$I$89,3,0)*0.475*44/12</f>
        <v>16.248480565597244</v>
      </c>
      <c r="AW129" s="21">
        <f>EXP(-LN(2)/2)*AW128+(1-EXP(-LN(2)/2))/(LN(2)/2)*AQ129*AT129*VLOOKUP('Données projet'!$B$10,Paramètres!$A$1:$I$89,3,0)*0.475*44/12</f>
        <v>2.8127999724008109E-7</v>
      </c>
      <c r="AX129" s="21">
        <f t="shared" si="60"/>
        <v>92.367170460997826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243.33915530322201</v>
      </c>
      <c r="BJ129" s="59">
        <f t="shared" si="92"/>
        <v>247.73814704672577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20.90327326550468</v>
      </c>
      <c r="BQ129" s="21">
        <f>EXP(-LN(2)/25)*BQ128+(1-EXP(-LN(2)/25))/(LN(2)/25)*Calculateur!BL129*Calculateur!BN129*VLOOKUP('Données projet'!$B$11,Paramètres!$A$1:$I$89,3,0)*0.475*44/12</f>
        <v>14.335840556568181</v>
      </c>
      <c r="BR129" s="21">
        <f>EXP(-LN(2)/2)*BR128+(1-EXP(-LN(2)/2))/(LN(2)/2)*BL129*BO129*VLOOKUP('Données projet'!$B$11,Paramètres!$A$1:$I$89,3,0)*0.475*44/12</f>
        <v>7.4412013535977962E-6</v>
      </c>
      <c r="BS129" s="22">
        <f t="shared" si="63"/>
        <v>35.239121263274214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7.7849999999999966</v>
      </c>
      <c r="N130" s="13">
        <f>IF('Données projet'!$A$36&gt;35,N129+M130-V129,IF(A130&lt;'Données projet'!$A$36,$K$205^A130,IF(A130='Données projet'!$A$36,'Données projet'!$B$36,N129+M130-V129)))</f>
        <v>350.18000000000052</v>
      </c>
      <c r="O130" s="13">
        <f>N130*VLOOKUP('Données projet'!$B$9,Paramètres!$A$1:$I$89,3,0)*VLOOKUP('Données projet'!$B$9,Paramètres!$A$1:$I$89,5,0)</f>
        <v>316.84286400000047</v>
      </c>
      <c r="P130" s="13">
        <f t="shared" si="87"/>
        <v>74.696071529813665</v>
      </c>
      <c r="Q130" s="20">
        <f t="shared" si="107"/>
        <v>681.93031271442624</v>
      </c>
      <c r="R130" s="59">
        <f t="shared" si="55"/>
        <v>975.26364604775949</v>
      </c>
      <c r="S130" s="59">
        <f ca="1">AVERAGE(OFFSET($R$3,0,0,'Données projet'!$E$9+1,1))-AVERAGE(OFFSET($H$3,0,0,'Données projet'!$E$9+1,1))</f>
        <v>298.01613436147056</v>
      </c>
      <c r="T130" s="59">
        <f t="shared" si="88"/>
        <v>212.70221374431253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40.128903247413866</v>
      </c>
      <c r="AA130" s="21">
        <f>EXP(-LN(2)/25)*AA129+(1-EXP(-LN(2)/25))/(LN(2)/25)*Calculateur!V130*Calculateur!X130*VLOOKUP('Données projet'!$B$9,Paramètres!$A$1:$I$89,3,0)*0.475*44/12</f>
        <v>20.497265117282183</v>
      </c>
      <c r="AB130" s="21">
        <f>EXP(-LN(2)/2)*AB129+(1-EXP(-LN(2)/2))/(LN(2)/2)*V130*Y130*VLOOKUP('Données projet'!$B$9,Paramètres!$A$1:$I$89,3,0)*0.475*44/12</f>
        <v>1.2130746649523928E-3</v>
      </c>
      <c r="AC130" s="22">
        <f t="shared" si="57"/>
        <v>60.627381439361002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5.6843418860808015E-13</v>
      </c>
      <c r="AJ130" s="13">
        <f>AI130*VLOOKUP('Données projet'!$B$10,Paramètres!$A$1:$I$89,3,0)*VLOOKUP('Données projet'!$B$10,Paramètres!$A$1:$I$89,5,0)</f>
        <v>3.177547114319168E-13</v>
      </c>
      <c r="AK130" s="13">
        <f t="shared" si="89"/>
        <v>4.1725404435445377E-12</v>
      </c>
      <c r="AL130" s="20">
        <f t="shared" si="58"/>
        <v>7.820597394917325E-12</v>
      </c>
      <c r="AM130" s="59">
        <f t="shared" si="59"/>
        <v>293.33333333334116</v>
      </c>
      <c r="AN130" s="59">
        <f ca="1">AVERAGE(OFFSET($AM$3,0,0,'Données projet'!$E$10+1,1))-AVERAGE(OFFSET($H$3,0,0,'Données projet'!$E$10+1,1))</f>
        <v>287.413090017863</v>
      </c>
      <c r="AO130" s="59">
        <f t="shared" si="90"/>
        <v>258.48456031927117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74.626048538603982</v>
      </c>
      <c r="AV130" s="21">
        <f>EXP(-LN(2)/25)*AV129+(1-EXP(-LN(2)/25))/(LN(2)/25)*Calculateur!AQ130*Calculateur!AS130*VLOOKUP('Données projet'!$B$10,Paramètres!$A$1:$I$89,3,0)*0.475*44/12</f>
        <v>15.804165010060531</v>
      </c>
      <c r="AW130" s="21">
        <f>EXP(-LN(2)/2)*AW129+(1-EXP(-LN(2)/2))/(LN(2)/2)*AQ130*AT130*VLOOKUP('Données projet'!$B$10,Paramètres!$A$1:$I$89,3,0)*0.475*44/12</f>
        <v>1.9889499346059472E-7</v>
      </c>
      <c r="AX130" s="21">
        <f t="shared" si="60"/>
        <v>90.430213747559506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243.33915530322201</v>
      </c>
      <c r="BJ130" s="59">
        <f t="shared" si="92"/>
        <v>247.73814704672577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20.493372826505894</v>
      </c>
      <c r="BQ130" s="21">
        <f>EXP(-LN(2)/25)*BQ129+(1-EXP(-LN(2)/25))/(LN(2)/25)*Calculateur!BL130*Calculateur!BN130*VLOOKUP('Données projet'!$B$11,Paramètres!$A$1:$I$89,3,0)*0.475*44/12</f>
        <v>13.943826242659734</v>
      </c>
      <c r="BR130" s="21">
        <f>EXP(-LN(2)/2)*BR129+(1-EXP(-LN(2)/2))/(LN(2)/2)*BL130*BO130*VLOOKUP('Données projet'!$B$11,Paramètres!$A$1:$I$89,3,0)*0.475*44/12</f>
        <v>5.2617239373035189E-6</v>
      </c>
      <c r="BS130" s="22">
        <f t="shared" si="63"/>
        <v>34.437204330889564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7.7849999999999966</v>
      </c>
      <c r="N131" s="13">
        <f>IF('Données projet'!$A$36&gt;35,N130+M131-V130,IF(A131&lt;'Données projet'!$A$36,$K$205^A131,IF(A131='Données projet'!$A$36,'Données projet'!$B$36,N130+M131-V130)))</f>
        <v>357.96500000000049</v>
      </c>
      <c r="O131" s="13">
        <f>N131*VLOOKUP('Données projet'!$B$9,Paramètres!$A$1:$I$89,3,0)*VLOOKUP('Données projet'!$B$9,Paramètres!$A$1:$I$89,5,0)</f>
        <v>323.88673200000045</v>
      </c>
      <c r="P131" s="13">
        <f t="shared" si="87"/>
        <v>76.161494734560648</v>
      </c>
      <c r="Q131" s="20">
        <f t="shared" ref="Q131:Q153" si="108">(O131+P131)*0.475*44/12</f>
        <v>696.75066156269395</v>
      </c>
      <c r="R131" s="59">
        <f t="shared" ref="R131:R194" si="109">Q131+(I131+J131)*44/12</f>
        <v>990.08399489602721</v>
      </c>
      <c r="S131" s="59">
        <f ca="1">AVERAGE(OFFSET($R$3,0,0,'Données projet'!$E$9+1,1))-AVERAGE(OFFSET($H$3,0,0,'Données projet'!$E$9+1,1))</f>
        <v>298.01613436147056</v>
      </c>
      <c r="T131" s="59">
        <f t="shared" si="88"/>
        <v>212.70221374431253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39.341999930946237</v>
      </c>
      <c r="AA131" s="21">
        <f>EXP(-LN(2)/25)*AA130+(1-EXP(-LN(2)/25))/(LN(2)/25)*Calculateur!V131*Calculateur!X131*VLOOKUP('Données projet'!$B$9,Paramètres!$A$1:$I$89,3,0)*0.475*44/12</f>
        <v>19.936766324745776</v>
      </c>
      <c r="AB131" s="21">
        <f>EXP(-LN(2)/2)*AB130+(1-EXP(-LN(2)/2))/(LN(2)/2)*V131*Y131*VLOOKUP('Données projet'!$B$9,Paramètres!$A$1:$I$89,3,0)*0.475*44/12</f>
        <v>8.5777332167343609E-4</v>
      </c>
      <c r="AC131" s="22">
        <f t="shared" si="57"/>
        <v>59.279624029013689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5.6843418860808015E-13</v>
      </c>
      <c r="AJ131" s="13">
        <f>AI131*VLOOKUP('Données projet'!$B$10,Paramètres!$A$1:$I$89,3,0)*VLOOKUP('Données projet'!$B$10,Paramètres!$A$1:$I$89,5,0)</f>
        <v>3.177547114319168E-13</v>
      </c>
      <c r="AK131" s="13">
        <f t="shared" si="89"/>
        <v>4.1725404435445377E-12</v>
      </c>
      <c r="AL131" s="20">
        <f t="shared" si="58"/>
        <v>7.820597394917325E-12</v>
      </c>
      <c r="AM131" s="59">
        <f t="shared" si="59"/>
        <v>293.33333333334116</v>
      </c>
      <c r="AN131" s="59">
        <f ca="1">AVERAGE(OFFSET($AM$3,0,0,'Données projet'!$E$10+1,1))-AVERAGE(OFFSET($H$3,0,0,'Données projet'!$E$10+1,1))</f>
        <v>287.413090017863</v>
      </c>
      <c r="AO131" s="59">
        <f t="shared" si="90"/>
        <v>258.48456031927117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73.162677244157095</v>
      </c>
      <c r="AV131" s="21">
        <f>EXP(-LN(2)/25)*AV130+(1-EXP(-LN(2)/25))/(LN(2)/25)*Calculateur!AQ131*Calculateur!AS131*VLOOKUP('Données projet'!$B$10,Paramètres!$A$1:$I$89,3,0)*0.475*44/12</f>
        <v>15.371999286755509</v>
      </c>
      <c r="AW131" s="21">
        <f>EXP(-LN(2)/2)*AW130+(1-EXP(-LN(2)/2))/(LN(2)/2)*AQ131*AT131*VLOOKUP('Données projet'!$B$10,Paramètres!$A$1:$I$89,3,0)*0.475*44/12</f>
        <v>1.4063999862004055E-7</v>
      </c>
      <c r="AX131" s="21">
        <f t="shared" si="60"/>
        <v>88.534676671552603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243.33915530322201</v>
      </c>
      <c r="BJ131" s="59">
        <f t="shared" si="92"/>
        <v>247.73814704672577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20.091510285101293</v>
      </c>
      <c r="BQ131" s="21">
        <f>EXP(-LN(2)/25)*BQ130+(1-EXP(-LN(2)/25))/(LN(2)/25)*Calculateur!BL131*Calculateur!BN131*VLOOKUP('Données projet'!$B$11,Paramètres!$A$1:$I$89,3,0)*0.475*44/12</f>
        <v>13.56253158078025</v>
      </c>
      <c r="BR131" s="21">
        <f>EXP(-LN(2)/2)*BR130+(1-EXP(-LN(2)/2))/(LN(2)/2)*BL131*BO131*VLOOKUP('Données projet'!$B$11,Paramètres!$A$1:$I$89,3,0)*0.475*44/12</f>
        <v>3.7206006767988989E-6</v>
      </c>
      <c r="BS131" s="22">
        <f t="shared" si="63"/>
        <v>33.654045586482219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7.7849999999999966</v>
      </c>
      <c r="N132" s="13">
        <f>IF('Données projet'!$A$36&gt;35,N131+M132-V131,IF(A132&lt;'Données projet'!$A$36,$K$205^A132,IF(A132='Données projet'!$A$36,'Données projet'!$B$36,N131+M132-V131)))</f>
        <v>365.75000000000045</v>
      </c>
      <c r="O132" s="13">
        <f>N132*VLOOKUP('Données projet'!$B$9,Paramètres!$A$1:$I$89,3,0)*VLOOKUP('Données projet'!$B$9,Paramètres!$A$1:$I$89,5,0)</f>
        <v>330.93060000000037</v>
      </c>
      <c r="P132" s="13">
        <f t="shared" si="87"/>
        <v>77.623212662146571</v>
      </c>
      <c r="Q132" s="20">
        <f t="shared" si="108"/>
        <v>711.56455705323924</v>
      </c>
      <c r="R132" s="59">
        <f t="shared" si="109"/>
        <v>1004.8978903865725</v>
      </c>
      <c r="S132" s="59">
        <f ca="1">AVERAGE(OFFSET($R$3,0,0,'Données projet'!$E$9+1,1))-AVERAGE(OFFSET($H$3,0,0,'Données projet'!$E$9+1,1))</f>
        <v>298.01613436147056</v>
      </c>
      <c r="T132" s="59">
        <f t="shared" si="88"/>
        <v>212.70221374431253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38.570527308550908</v>
      </c>
      <c r="AA132" s="21">
        <f>EXP(-LN(2)/25)*AA131+(1-EXP(-LN(2)/25))/(LN(2)/25)*Calculateur!V132*Calculateur!X132*VLOOKUP('Données projet'!$B$9,Paramètres!$A$1:$I$89,3,0)*0.475*44/12</f>
        <v>19.391594401166628</v>
      </c>
      <c r="AB132" s="21">
        <f>EXP(-LN(2)/2)*AB131+(1-EXP(-LN(2)/2))/(LN(2)/2)*V132*Y132*VLOOKUP('Données projet'!$B$9,Paramètres!$A$1:$I$89,3,0)*0.475*44/12</f>
        <v>6.0653733247619641E-4</v>
      </c>
      <c r="AC132" s="22">
        <f t="shared" ref="AC132:AC153" si="111">SUM(Z132:AB132)</f>
        <v>57.962728247050009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5.6843418860808015E-13</v>
      </c>
      <c r="AJ132" s="13">
        <f>AI132*VLOOKUP('Données projet'!$B$10,Paramètres!$A$1:$I$89,3,0)*VLOOKUP('Données projet'!$B$10,Paramètres!$A$1:$I$89,5,0)</f>
        <v>3.177547114319168E-13</v>
      </c>
      <c r="AK132" s="13">
        <f t="shared" si="89"/>
        <v>4.1725404435445377E-12</v>
      </c>
      <c r="AL132" s="20">
        <f t="shared" ref="AL132:AL153" si="112">(AJ132+AK132)*0.475*44/12</f>
        <v>7.820597394917325E-12</v>
      </c>
      <c r="AM132" s="59">
        <f t="shared" ref="AM132:AM195" si="113">AL132+(AD132+AE132)*44/12</f>
        <v>293.33333333334116</v>
      </c>
      <c r="AN132" s="59">
        <f ca="1">AVERAGE(OFFSET($AM$3,0,0,'Données projet'!$E$10+1,1))-AVERAGE(OFFSET($H$3,0,0,'Données projet'!$E$10+1,1))</f>
        <v>287.413090017863</v>
      </c>
      <c r="AO132" s="59">
        <f t="shared" si="90"/>
        <v>258.48456031927117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71.728001768225951</v>
      </c>
      <c r="AV132" s="21">
        <f>EXP(-LN(2)/25)*AV131+(1-EXP(-LN(2)/25))/(LN(2)/25)*Calculateur!AQ132*Calculateur!AS132*VLOOKUP('Données projet'!$B$10,Paramètres!$A$1:$I$89,3,0)*0.475*44/12</f>
        <v>14.951651157880869</v>
      </c>
      <c r="AW132" s="21">
        <f>EXP(-LN(2)/2)*AW131+(1-EXP(-LN(2)/2))/(LN(2)/2)*AQ132*AT132*VLOOKUP('Données projet'!$B$10,Paramètres!$A$1:$I$89,3,0)*0.475*44/12</f>
        <v>9.9447496730297358E-8</v>
      </c>
      <c r="AX132" s="21">
        <f t="shared" ref="AX132:AX153" si="114">SUM(AU132:AW132)</f>
        <v>86.679653025554316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243.33915530322201</v>
      </c>
      <c r="BJ132" s="59">
        <f t="shared" si="92"/>
        <v>247.73814704672577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19.69752802302169</v>
      </c>
      <c r="BQ132" s="21">
        <f>EXP(-LN(2)/25)*BQ131+(1-EXP(-LN(2)/25))/(LN(2)/25)*Calculateur!BL132*Calculateur!BN132*VLOOKUP('Données projet'!$B$11,Paramètres!$A$1:$I$89,3,0)*0.475*44/12</f>
        <v>13.191663441481277</v>
      </c>
      <c r="BR132" s="21">
        <f>EXP(-LN(2)/2)*BR131+(1-EXP(-LN(2)/2))/(LN(2)/2)*BL132*BO132*VLOOKUP('Données projet'!$B$11,Paramètres!$A$1:$I$89,3,0)*0.475*44/12</f>
        <v>2.6308619686517599E-6</v>
      </c>
      <c r="BS132" s="22">
        <f t="shared" ref="BS132:BS153" si="117">SUM(BP132:BR132)</f>
        <v>32.889194095364935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7.7849999999999966</v>
      </c>
      <c r="N133" s="13">
        <f>IF('Données projet'!$A$36&gt;35,N132+M133-V132,IF(A133&lt;'Données projet'!$A$36,$K$205^A133,IF(A133='Données projet'!$A$36,'Données projet'!$B$36,N132+M133-V132)))</f>
        <v>373.53500000000042</v>
      </c>
      <c r="O133" s="13">
        <f>N133*VLOOKUP('Données projet'!$B$9,Paramètres!$A$1:$I$89,3,0)*VLOOKUP('Données projet'!$B$9,Paramètres!$A$1:$I$89,5,0)</f>
        <v>337.9744680000004</v>
      </c>
      <c r="P133" s="13">
        <f t="shared" ref="P133:P196" si="141">EXP(-1.0587+0.8836*LN(O133)+0.284)</f>
        <v>79.081313264051104</v>
      </c>
      <c r="Q133" s="20">
        <f t="shared" si="108"/>
        <v>726.37215236822306</v>
      </c>
      <c r="R133" s="59">
        <f t="shared" si="109"/>
        <v>1019.7054857015564</v>
      </c>
      <c r="S133" s="59">
        <f ca="1">AVERAGE(OFFSET($R$3,0,0,'Données projet'!$E$9+1,1))-AVERAGE(OFFSET($H$3,0,0,'Données projet'!$E$9+1,1))</f>
        <v>298.01613436147056</v>
      </c>
      <c r="T133" s="59">
        <f t="shared" ref="T133:T196" si="142">$T$3</f>
        <v>212.70221374431253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37.814182793728911</v>
      </c>
      <c r="AA133" s="21">
        <f>EXP(-LN(2)/25)*AA132+(1-EXP(-LN(2)/25))/(LN(2)/25)*Calculateur!V133*Calculateur!X133*VLOOKUP('Données projet'!$B$9,Paramètres!$A$1:$I$89,3,0)*0.475*44/12</f>
        <v>18.861330232507097</v>
      </c>
      <c r="AB133" s="21">
        <f>EXP(-LN(2)/2)*AB132+(1-EXP(-LN(2)/2))/(LN(2)/2)*V133*Y133*VLOOKUP('Données projet'!$B$9,Paramètres!$A$1:$I$89,3,0)*0.475*44/12</f>
        <v>4.2888666083671804E-4</v>
      </c>
      <c r="AC133" s="22">
        <f t="shared" si="111"/>
        <v>56.675941912896839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5.6843418860808015E-13</v>
      </c>
      <c r="AJ133" s="13">
        <f>AI133*VLOOKUP('Données projet'!$B$10,Paramètres!$A$1:$I$89,3,0)*VLOOKUP('Données projet'!$B$10,Paramètres!$A$1:$I$89,5,0)</f>
        <v>3.177547114319168E-13</v>
      </c>
      <c r="AK133" s="13">
        <f t="shared" ref="AK133:AK153" si="143">EXP(-1.0587+0.8836*LN(AJ133)+0.284)</f>
        <v>4.1725404435445377E-12</v>
      </c>
      <c r="AL133" s="20">
        <f t="shared" si="112"/>
        <v>7.820597394917325E-12</v>
      </c>
      <c r="AM133" s="59">
        <f t="shared" si="113"/>
        <v>293.33333333334116</v>
      </c>
      <c r="AN133" s="59">
        <f ca="1">AVERAGE(OFFSET($AM$3,0,0,'Données projet'!$E$10+1,1))-AVERAGE(OFFSET($H$3,0,0,'Données projet'!$E$10+1,1))</f>
        <v>287.413090017863</v>
      </c>
      <c r="AO133" s="59">
        <f t="shared" ref="AO133:AO196" si="144">$AO$3</f>
        <v>258.48456031927117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70.32145940331219</v>
      </c>
      <c r="AV133" s="21">
        <f>EXP(-LN(2)/25)*AV132+(1-EXP(-LN(2)/25))/(LN(2)/25)*Calculateur!AQ133*Calculateur!AS133*VLOOKUP('Données projet'!$B$10,Paramètres!$A$1:$I$89,3,0)*0.475*44/12</f>
        <v>14.542797470695454</v>
      </c>
      <c r="AW133" s="21">
        <f>EXP(-LN(2)/2)*AW132+(1-EXP(-LN(2)/2))/(LN(2)/2)*AQ133*AT133*VLOOKUP('Données projet'!$B$10,Paramètres!$A$1:$I$89,3,0)*0.475*44/12</f>
        <v>7.0319999310020273E-8</v>
      </c>
      <c r="AX133" s="21">
        <f t="shared" si="114"/>
        <v>84.86425694432765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243.33915530322201</v>
      </c>
      <c r="BJ133" s="59">
        <f t="shared" ref="BJ133:BJ196" si="146">$BJ$3</f>
        <v>247.73814704672577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19.311271512796015</v>
      </c>
      <c r="BQ133" s="21">
        <f>EXP(-LN(2)/25)*BQ132+(1-EXP(-LN(2)/25))/(LN(2)/25)*Calculateur!BL133*Calculateur!BN133*VLOOKUP('Données projet'!$B$11,Paramètres!$A$1:$I$89,3,0)*0.475*44/12</f>
        <v>12.830936710954541</v>
      </c>
      <c r="BR133" s="21">
        <f>EXP(-LN(2)/2)*BR132+(1-EXP(-LN(2)/2))/(LN(2)/2)*BL133*BO133*VLOOKUP('Données projet'!$B$11,Paramètres!$A$1:$I$89,3,0)*0.475*44/12</f>
        <v>1.8603003383994497E-6</v>
      </c>
      <c r="BS133" s="22">
        <f t="shared" si="117"/>
        <v>32.142210084050895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7.7849999999999966</v>
      </c>
      <c r="N134" s="13">
        <f>IF('Données projet'!$A$36&gt;35,N133+M134-V133,IF(A134&lt;'Données projet'!$A$36,$K$205^A134,IF(A134='Données projet'!$A$36,'Données projet'!$B$36,N133+M134-V133)))</f>
        <v>381.32000000000039</v>
      </c>
      <c r="O134" s="13">
        <f>N134*VLOOKUP('Données projet'!$B$9,Paramètres!$A$1:$I$89,3,0)*VLOOKUP('Données projet'!$B$9,Paramètres!$A$1:$I$89,5,0)</f>
        <v>345.01833600000032</v>
      </c>
      <c r="P134" s="13">
        <f t="shared" si="141"/>
        <v>80.535880616180918</v>
      </c>
      <c r="Q134" s="20">
        <f t="shared" si="108"/>
        <v>741.17359393984896</v>
      </c>
      <c r="R134" s="59">
        <f t="shared" si="109"/>
        <v>1034.5069272731823</v>
      </c>
      <c r="S134" s="59">
        <f ca="1">AVERAGE(OFFSET($R$3,0,0,'Données projet'!$E$9+1,1))-AVERAGE(OFFSET($H$3,0,0,'Données projet'!$E$9+1,1))</f>
        <v>298.01613436147056</v>
      </c>
      <c r="T134" s="59">
        <f t="shared" si="142"/>
        <v>212.70221374431253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37.072669733517976</v>
      </c>
      <c r="AA134" s="21">
        <f>EXP(-LN(2)/25)*AA133+(1-EXP(-LN(2)/25))/(LN(2)/25)*Calculateur!V134*Calculateur!X134*VLOOKUP('Données projet'!$B$9,Paramètres!$A$1:$I$89,3,0)*0.475*44/12</f>
        <v>18.345566165424941</v>
      </c>
      <c r="AB134" s="21">
        <f>EXP(-LN(2)/2)*AB133+(1-EXP(-LN(2)/2))/(LN(2)/2)*V134*Y134*VLOOKUP('Données projet'!$B$9,Paramètres!$A$1:$I$89,3,0)*0.475*44/12</f>
        <v>3.032686662380982E-4</v>
      </c>
      <c r="AC134" s="22">
        <f t="shared" si="111"/>
        <v>55.418539167609154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5.6843418860808015E-13</v>
      </c>
      <c r="AJ134" s="13">
        <f>AI134*VLOOKUP('Données projet'!$B$10,Paramètres!$A$1:$I$89,3,0)*VLOOKUP('Données projet'!$B$10,Paramètres!$A$1:$I$89,5,0)</f>
        <v>3.177547114319168E-13</v>
      </c>
      <c r="AK134" s="13">
        <f t="shared" si="143"/>
        <v>4.1725404435445377E-12</v>
      </c>
      <c r="AL134" s="20">
        <f t="shared" si="112"/>
        <v>7.820597394917325E-12</v>
      </c>
      <c r="AM134" s="59">
        <f t="shared" si="113"/>
        <v>293.33333333334116</v>
      </c>
      <c r="AN134" s="59">
        <f ca="1">AVERAGE(OFFSET($AM$3,0,0,'Données projet'!$E$10+1,1))-AVERAGE(OFFSET($H$3,0,0,'Données projet'!$E$10+1,1))</f>
        <v>287.413090017863</v>
      </c>
      <c r="AO134" s="59">
        <f t="shared" si="144"/>
        <v>258.48456031927117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68.942498476268256</v>
      </c>
      <c r="AV134" s="21">
        <f>EXP(-LN(2)/25)*AV133+(1-EXP(-LN(2)/25))/(LN(2)/25)*Calculateur!AQ134*Calculateur!AS134*VLOOKUP('Données projet'!$B$10,Paramètres!$A$1:$I$89,3,0)*0.475*44/12</f>
        <v>14.145123909086806</v>
      </c>
      <c r="AW134" s="21">
        <f>EXP(-LN(2)/2)*AW133+(1-EXP(-LN(2)/2))/(LN(2)/2)*AQ134*AT134*VLOOKUP('Données projet'!$B$10,Paramètres!$A$1:$I$89,3,0)*0.475*44/12</f>
        <v>4.9723748365148679E-8</v>
      </c>
      <c r="AX134" s="21">
        <f t="shared" si="114"/>
        <v>83.087622435078814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243.33915530322201</v>
      </c>
      <c r="BJ134" s="59">
        <f t="shared" si="146"/>
        <v>247.73814704672577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18.932589257142656</v>
      </c>
      <c r="BQ134" s="21">
        <f>EXP(-LN(2)/25)*BQ133+(1-EXP(-LN(2)/25))/(LN(2)/25)*Calculateur!BL134*Calculateur!BN134*VLOOKUP('Données projet'!$B$11,Paramètres!$A$1:$I$89,3,0)*0.475*44/12</f>
        <v>12.480074071843854</v>
      </c>
      <c r="BR134" s="21">
        <f>EXP(-LN(2)/2)*BR133+(1-EXP(-LN(2)/2))/(LN(2)/2)*BL134*BO134*VLOOKUP('Données projet'!$B$11,Paramètres!$A$1:$I$89,3,0)*0.475*44/12</f>
        <v>1.3154309843258801E-6</v>
      </c>
      <c r="BS134" s="22">
        <f t="shared" si="117"/>
        <v>31.412664644417497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7.7849999999999966</v>
      </c>
      <c r="N135" s="13">
        <f>IF('Données projet'!$A$36&gt;35,N134+M135-V134,IF(A135&lt;'Données projet'!$A$36,$K$205^A135,IF(A135='Données projet'!$A$36,'Données projet'!$B$36,N134+M135-V134)))</f>
        <v>389.10500000000036</v>
      </c>
      <c r="O135" s="13">
        <f>N135*VLOOKUP('Données projet'!$B$9,Paramètres!$A$1:$I$89,3,0)*VLOOKUP('Données projet'!$B$9,Paramètres!$A$1:$I$89,5,0)</f>
        <v>352.06220400000029</v>
      </c>
      <c r="P135" s="13">
        <f t="shared" si="141"/>
        <v>81.986995165225665</v>
      </c>
      <c r="Q135" s="20">
        <f t="shared" si="108"/>
        <v>755.96902187943522</v>
      </c>
      <c r="R135" s="59">
        <f t="shared" si="109"/>
        <v>1049.3023552127686</v>
      </c>
      <c r="S135" s="59">
        <f ca="1">AVERAGE(OFFSET($R$3,0,0,'Données projet'!$E$9+1,1))-AVERAGE(OFFSET($H$3,0,0,'Données projet'!$E$9+1,1))</f>
        <v>298.01613436147056</v>
      </c>
      <c r="T135" s="59">
        <f t="shared" si="142"/>
        <v>212.70221374431253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36.345697292139469</v>
      </c>
      <c r="AA135" s="21">
        <f>EXP(-LN(2)/25)*AA134+(1-EXP(-LN(2)/25))/(LN(2)/25)*Calculateur!V135*Calculateur!X135*VLOOKUP('Données projet'!$B$9,Paramètres!$A$1:$I$89,3,0)*0.475*44/12</f>
        <v>17.84390569388</v>
      </c>
      <c r="AB135" s="21">
        <f>EXP(-LN(2)/2)*AB134+(1-EXP(-LN(2)/2))/(LN(2)/2)*V135*Y135*VLOOKUP('Données projet'!$B$9,Paramètres!$A$1:$I$89,3,0)*0.475*44/12</f>
        <v>2.1444333041835902E-4</v>
      </c>
      <c r="AC135" s="22">
        <f t="shared" si="111"/>
        <v>54.189817429349887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3.177547114319168E-13</v>
      </c>
      <c r="AK135" s="13">
        <f t="shared" si="143"/>
        <v>4.1725404435445377E-12</v>
      </c>
      <c r="AL135" s="20">
        <f t="shared" si="112"/>
        <v>7.820597394917325E-12</v>
      </c>
      <c r="AM135" s="59">
        <f t="shared" si="113"/>
        <v>293.33333333334116</v>
      </c>
      <c r="AN135" s="59">
        <f ca="1">AVERAGE(OFFSET($AM$3,0,0,'Données projet'!$E$10+1,1))-AVERAGE(OFFSET($H$3,0,0,'Données projet'!$E$10+1,1))</f>
        <v>287.413090017863</v>
      </c>
      <c r="AO135" s="59">
        <f t="shared" si="144"/>
        <v>258.48456031927117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67.590578131920537</v>
      </c>
      <c r="AV135" s="21">
        <f>EXP(-LN(2)/25)*AV134+(1-EXP(-LN(2)/25))/(LN(2)/25)*Calculateur!AQ135*Calculateur!AS135*VLOOKUP('Données projet'!$B$10,Paramètres!$A$1:$I$89,3,0)*0.475*44/12</f>
        <v>13.75832475193309</v>
      </c>
      <c r="AW135" s="21">
        <f>EXP(-LN(2)/2)*AW134+(1-EXP(-LN(2)/2))/(LN(2)/2)*AQ135*AT135*VLOOKUP('Données projet'!$B$10,Paramètres!$A$1:$I$89,3,0)*0.475*44/12</f>
        <v>3.5159999655010136E-8</v>
      </c>
      <c r="AX135" s="21">
        <f t="shared" si="114"/>
        <v>81.348902919013625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243.33915530322201</v>
      </c>
      <c r="BJ135" s="59">
        <f t="shared" si="146"/>
        <v>247.73814704672577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18.561332729549292</v>
      </c>
      <c r="BQ135" s="21">
        <f>EXP(-LN(2)/25)*BQ134+(1-EXP(-LN(2)/25))/(LN(2)/25)*Calculateur!BL135*Calculateur!BN135*VLOOKUP('Données projet'!$B$11,Paramètres!$A$1:$I$89,3,0)*0.475*44/12</f>
        <v>12.138805790050712</v>
      </c>
      <c r="BR135" s="21">
        <f>EXP(-LN(2)/2)*BR134+(1-EXP(-LN(2)/2))/(LN(2)/2)*BL135*BO135*VLOOKUP('Données projet'!$B$11,Paramètres!$A$1:$I$89,3,0)*0.475*44/12</f>
        <v>9.3015016919972505E-7</v>
      </c>
      <c r="BS135" s="22">
        <f t="shared" si="117"/>
        <v>30.700139449750171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7.7849999999999966</v>
      </c>
      <c r="N136" s="13">
        <f>IF('Données projet'!$A$36&gt;35,N135+M136-V135,IF(A136&lt;'Données projet'!$A$36,$K$205^A136,IF(A136='Données projet'!$A$36,'Données projet'!$B$36,N135+M136-V135)))</f>
        <v>396.89000000000033</v>
      </c>
      <c r="O136" s="13">
        <f>N136*VLOOKUP('Données projet'!$B$9,Paramètres!$A$1:$I$89,3,0)*VLOOKUP('Données projet'!$B$9,Paramètres!$A$1:$I$89,5,0)</f>
        <v>359.10607200000027</v>
      </c>
      <c r="P136" s="13">
        <f t="shared" si="141"/>
        <v>83.434733954740693</v>
      </c>
      <c r="Q136" s="20">
        <f t="shared" si="108"/>
        <v>770.75857037117385</v>
      </c>
      <c r="R136" s="59">
        <f t="shared" si="109"/>
        <v>1064.0919037045071</v>
      </c>
      <c r="S136" s="59">
        <f ca="1">AVERAGE(OFFSET($R$3,0,0,'Données projet'!$E$9+1,1))-AVERAGE(OFFSET($H$3,0,0,'Données projet'!$E$9+1,1))</f>
        <v>298.01613436147056</v>
      </c>
      <c r="T136" s="59">
        <f t="shared" si="142"/>
        <v>212.70221374431253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35.632980336926984</v>
      </c>
      <c r="AA136" s="21">
        <f>EXP(-LN(2)/25)*AA135+(1-EXP(-LN(2)/25))/(LN(2)/25)*Calculateur!V136*Calculateur!X136*VLOOKUP('Données projet'!$B$9,Paramètres!$A$1:$I$89,3,0)*0.475*44/12</f>
        <v>17.355963154310633</v>
      </c>
      <c r="AB136" s="21">
        <f>EXP(-LN(2)/2)*AB135+(1-EXP(-LN(2)/2))/(LN(2)/2)*V136*Y136*VLOOKUP('Données projet'!$B$9,Paramètres!$A$1:$I$89,3,0)*0.475*44/12</f>
        <v>1.516343331190491E-4</v>
      </c>
      <c r="AC136" s="22">
        <f t="shared" si="111"/>
        <v>52.989095125570742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3.177547114319168E-13</v>
      </c>
      <c r="AK136" s="13">
        <f t="shared" si="143"/>
        <v>4.1725404435445377E-12</v>
      </c>
      <c r="AL136" s="20">
        <f t="shared" si="112"/>
        <v>7.820597394917325E-12</v>
      </c>
      <c r="AM136" s="59">
        <f t="shared" si="113"/>
        <v>293.33333333334116</v>
      </c>
      <c r="AN136" s="59">
        <f ca="1">AVERAGE(OFFSET($AM$3,0,0,'Données projet'!$E$10+1,1))-AVERAGE(OFFSET($H$3,0,0,'Données projet'!$E$10+1,1))</f>
        <v>287.413090017863</v>
      </c>
      <c r="AO136" s="59">
        <f t="shared" si="144"/>
        <v>258.48456031927117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66.265168120935485</v>
      </c>
      <c r="AV136" s="21">
        <f>EXP(-LN(2)/25)*AV135+(1-EXP(-LN(2)/25))/(LN(2)/25)*Calculateur!AQ136*Calculateur!AS136*VLOOKUP('Données projet'!$B$10,Paramètres!$A$1:$I$89,3,0)*0.475*44/12</f>
        <v>13.382102638072626</v>
      </c>
      <c r="AW136" s="21">
        <f>EXP(-LN(2)/2)*AW135+(1-EXP(-LN(2)/2))/(LN(2)/2)*AQ136*AT136*VLOOKUP('Données projet'!$B$10,Paramètres!$A$1:$I$89,3,0)*0.475*44/12</f>
        <v>2.4861874182574339E-8</v>
      </c>
      <c r="AX136" s="21">
        <f t="shared" si="114"/>
        <v>79.647270783869985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243.33915530322201</v>
      </c>
      <c r="BJ136" s="59">
        <f t="shared" si="146"/>
        <v>247.73814704672577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18.19735631601791</v>
      </c>
      <c r="BQ136" s="21">
        <f>EXP(-LN(2)/25)*BQ135+(1-EXP(-LN(2)/25))/(LN(2)/25)*Calculateur!BL136*Calculateur!BN136*VLOOKUP('Données projet'!$B$11,Paramètres!$A$1:$I$89,3,0)*0.475*44/12</f>
        <v>11.806869507369722</v>
      </c>
      <c r="BR136" s="21">
        <f>EXP(-LN(2)/2)*BR135+(1-EXP(-LN(2)/2))/(LN(2)/2)*BL136*BO136*VLOOKUP('Données projet'!$B$11,Paramètres!$A$1:$I$89,3,0)*0.475*44/12</f>
        <v>6.5771549216294018E-7</v>
      </c>
      <c r="BS136" s="22">
        <f t="shared" si="117"/>
        <v>30.004226481103125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7.7849999999999966</v>
      </c>
      <c r="N137" s="13">
        <f>IF('Données projet'!$A$36&gt;35,N136+M137-V136,IF(A137&lt;'Données projet'!$A$36,$K$205^A137,IF(A137='Données projet'!$A$36,'Données projet'!$B$36,N136+M137-V136)))</f>
        <v>404.6750000000003</v>
      </c>
      <c r="O137" s="13">
        <f>N137*VLOOKUP('Données projet'!$B$9,Paramètres!$A$1:$I$89,3,0)*VLOOKUP('Données projet'!$B$9,Paramètres!$A$1:$I$89,5,0)</f>
        <v>366.14994000000024</v>
      </c>
      <c r="P137" s="13">
        <f t="shared" si="141"/>
        <v>84.879170832991178</v>
      </c>
      <c r="Q137" s="20">
        <f t="shared" si="108"/>
        <v>785.54236803412675</v>
      </c>
      <c r="R137" s="59">
        <f t="shared" si="109"/>
        <v>1078.8757013674601</v>
      </c>
      <c r="S137" s="59">
        <f ca="1">AVERAGE(OFFSET($R$3,0,0,'Données projet'!$E$9+1,1))-AVERAGE(OFFSET($H$3,0,0,'Données projet'!$E$9+1,1))</f>
        <v>298.01613436147056</v>
      </c>
      <c r="T137" s="59">
        <f t="shared" si="142"/>
        <v>212.70221374431253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34.934239326491799</v>
      </c>
      <c r="AA137" s="21">
        <f>EXP(-LN(2)/25)*AA136+(1-EXP(-LN(2)/25))/(LN(2)/25)*Calculateur!V137*Calculateur!X137*VLOOKUP('Données projet'!$B$9,Paramètres!$A$1:$I$89,3,0)*0.475*44/12</f>
        <v>16.881363429145573</v>
      </c>
      <c r="AB137" s="21">
        <f>EXP(-LN(2)/2)*AB136+(1-EXP(-LN(2)/2))/(LN(2)/2)*V137*Y137*VLOOKUP('Données projet'!$B$9,Paramètres!$A$1:$I$89,3,0)*0.475*44/12</f>
        <v>1.0722166520917951E-4</v>
      </c>
      <c r="AC137" s="22">
        <f t="shared" si="111"/>
        <v>51.815709977302582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3.177547114319168E-13</v>
      </c>
      <c r="AK137" s="13">
        <f t="shared" si="143"/>
        <v>4.1725404435445377E-12</v>
      </c>
      <c r="AL137" s="20">
        <f t="shared" si="112"/>
        <v>7.820597394917325E-12</v>
      </c>
      <c r="AM137" s="59">
        <f t="shared" si="113"/>
        <v>293.33333333334116</v>
      </c>
      <c r="AN137" s="59">
        <f ca="1">AVERAGE(OFFSET($AM$3,0,0,'Données projet'!$E$10+1,1))-AVERAGE(OFFSET($H$3,0,0,'Données projet'!$E$10+1,1))</f>
        <v>287.413090017863</v>
      </c>
      <c r="AO137" s="59">
        <f t="shared" si="144"/>
        <v>258.48456031927117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64.965748591845568</v>
      </c>
      <c r="AV137" s="21">
        <f>EXP(-LN(2)/25)*AV136+(1-EXP(-LN(2)/25))/(LN(2)/25)*Calculateur!AQ137*Calculateur!AS137*VLOOKUP('Données projet'!$B$10,Paramètres!$A$1:$I$89,3,0)*0.475*44/12</f>
        <v>13.016168337700337</v>
      </c>
      <c r="AW137" s="21">
        <f>EXP(-LN(2)/2)*AW136+(1-EXP(-LN(2)/2))/(LN(2)/2)*AQ137*AT137*VLOOKUP('Données projet'!$B$10,Paramètres!$A$1:$I$89,3,0)*0.475*44/12</f>
        <v>1.7579999827505068E-8</v>
      </c>
      <c r="AX137" s="21">
        <f t="shared" si="114"/>
        <v>77.98191694712591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243.33915530322201</v>
      </c>
      <c r="BJ137" s="59">
        <f t="shared" si="146"/>
        <v>247.73814704672577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17.840517257952186</v>
      </c>
      <c r="BQ137" s="21">
        <f>EXP(-LN(2)/25)*BQ136+(1-EXP(-LN(2)/25))/(LN(2)/25)*Calculateur!BL137*Calculateur!BN137*VLOOKUP('Données projet'!$B$11,Paramètres!$A$1:$I$89,3,0)*0.475*44/12</f>
        <v>11.484010039794414</v>
      </c>
      <c r="BR137" s="21">
        <f>EXP(-LN(2)/2)*BR136+(1-EXP(-LN(2)/2))/(LN(2)/2)*BL137*BO137*VLOOKUP('Données projet'!$B$11,Paramètres!$A$1:$I$89,3,0)*0.475*44/12</f>
        <v>4.6507508459986258E-7</v>
      </c>
      <c r="BS137" s="22">
        <f t="shared" si="117"/>
        <v>29.324527762821685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7.7849999999999966</v>
      </c>
      <c r="N138" s="13">
        <f>IF('Données projet'!$A$36&gt;35,N137+M138-V137,IF(A138&lt;'Données projet'!$A$36,$K$205^A138,IF(A138='Données projet'!$A$36,'Données projet'!$B$36,N137+M138-V137)))</f>
        <v>412.46000000000026</v>
      </c>
      <c r="O138" s="13">
        <f>N138*VLOOKUP('Données projet'!$B$9,Paramètres!$A$1:$I$89,3,0)*VLOOKUP('Données projet'!$B$9,Paramètres!$A$1:$I$89,5,0)</f>
        <v>373.19380800000022</v>
      </c>
      <c r="P138" s="13">
        <f t="shared" si="141"/>
        <v>86.320376644349466</v>
      </c>
      <c r="Q138" s="20">
        <f t="shared" si="108"/>
        <v>800.32053825557568</v>
      </c>
      <c r="R138" s="59">
        <f t="shared" si="109"/>
        <v>1093.6538715889089</v>
      </c>
      <c r="S138" s="59">
        <f ca="1">AVERAGE(OFFSET($R$3,0,0,'Données projet'!$E$9+1,1))-AVERAGE(OFFSET($H$3,0,0,'Données projet'!$E$9+1,1))</f>
        <v>298.01613436147056</v>
      </c>
      <c r="T138" s="59">
        <f t="shared" si="142"/>
        <v>212.70221374431253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34.249200201081315</v>
      </c>
      <c r="AA138" s="21">
        <f>EXP(-LN(2)/25)*AA137+(1-EXP(-LN(2)/25))/(LN(2)/25)*Calculateur!V138*Calculateur!X138*VLOOKUP('Données projet'!$B$9,Paramètres!$A$1:$I$89,3,0)*0.475*44/12</f>
        <v>16.419741658423266</v>
      </c>
      <c r="AB138" s="21">
        <f>EXP(-LN(2)/2)*AB137+(1-EXP(-LN(2)/2))/(LN(2)/2)*V138*Y138*VLOOKUP('Données projet'!$B$9,Paramètres!$A$1:$I$89,3,0)*0.475*44/12</f>
        <v>7.5817166559524551E-5</v>
      </c>
      <c r="AC138" s="22">
        <f t="shared" si="111"/>
        <v>50.669017676671146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3.177547114319168E-13</v>
      </c>
      <c r="AK138" s="13">
        <f t="shared" si="143"/>
        <v>4.1725404435445377E-12</v>
      </c>
      <c r="AL138" s="20">
        <f t="shared" si="112"/>
        <v>7.820597394917325E-12</v>
      </c>
      <c r="AM138" s="59">
        <f t="shared" si="113"/>
        <v>293.33333333334116</v>
      </c>
      <c r="AN138" s="59">
        <f ca="1">AVERAGE(OFFSET($AM$3,0,0,'Données projet'!$E$10+1,1))-AVERAGE(OFFSET($H$3,0,0,'Données projet'!$E$10+1,1))</f>
        <v>287.413090017863</v>
      </c>
      <c r="AO138" s="59">
        <f t="shared" si="144"/>
        <v>258.48456031927117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63.691809887153454</v>
      </c>
      <c r="AV138" s="21">
        <f>EXP(-LN(2)/25)*AV137+(1-EXP(-LN(2)/25))/(LN(2)/25)*Calculateur!AQ138*Calculateur!AS138*VLOOKUP('Données projet'!$B$10,Paramètres!$A$1:$I$89,3,0)*0.475*44/12</f>
        <v>12.660240530015377</v>
      </c>
      <c r="AW138" s="21">
        <f>EXP(-LN(2)/2)*AW137+(1-EXP(-LN(2)/2))/(LN(2)/2)*AQ138*AT138*VLOOKUP('Données projet'!$B$10,Paramètres!$A$1:$I$89,3,0)*0.475*44/12</f>
        <v>1.243093709128717E-8</v>
      </c>
      <c r="AX138" s="21">
        <f t="shared" si="114"/>
        <v>76.352050429599757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243.33915530322201</v>
      </c>
      <c r="BJ138" s="59">
        <f t="shared" si="146"/>
        <v>247.73814704672577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17.490675596164799</v>
      </c>
      <c r="BQ138" s="21">
        <f>EXP(-LN(2)/25)*BQ137+(1-EXP(-LN(2)/25))/(LN(2)/25)*Calculateur!BL138*Calculateur!BN138*VLOOKUP('Données projet'!$B$11,Paramètres!$A$1:$I$89,3,0)*0.475*44/12</f>
        <v>11.169979181338395</v>
      </c>
      <c r="BR138" s="21">
        <f>EXP(-LN(2)/2)*BR137+(1-EXP(-LN(2)/2))/(LN(2)/2)*BL138*BO138*VLOOKUP('Données projet'!$B$11,Paramètres!$A$1:$I$89,3,0)*0.475*44/12</f>
        <v>3.2885774608147014E-7</v>
      </c>
      <c r="BS138" s="22">
        <f t="shared" si="117"/>
        <v>28.660655106360938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7.7849999999999966</v>
      </c>
      <c r="N139" s="13">
        <f>IF('Données projet'!$A$36&gt;35,N138+M139-V138,IF(A139&lt;'Données projet'!$A$36,$K$205^A139,IF(A139='Données projet'!$A$36,'Données projet'!$B$36,N138+M139-V138)))</f>
        <v>420.24500000000023</v>
      </c>
      <c r="O139" s="13">
        <f>N139*VLOOKUP('Données projet'!$B$9,Paramètres!$A$1:$I$89,3,0)*VLOOKUP('Données projet'!$B$9,Paramètres!$A$1:$I$89,5,0)</f>
        <v>380.23767600000019</v>
      </c>
      <c r="P139" s="13">
        <f t="shared" si="141"/>
        <v>87.758419405833862</v>
      </c>
      <c r="Q139" s="20">
        <f t="shared" si="108"/>
        <v>815.0931994984943</v>
      </c>
      <c r="R139" s="59">
        <f t="shared" si="109"/>
        <v>1108.4265328318277</v>
      </c>
      <c r="S139" s="59">
        <f ca="1">AVERAGE(OFFSET($R$3,0,0,'Données projet'!$E$9+1,1))-AVERAGE(OFFSET($H$3,0,0,'Données projet'!$E$9+1,1))</f>
        <v>298.01613436147056</v>
      </c>
      <c r="T139" s="59">
        <f t="shared" si="142"/>
        <v>212.70221374431253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33.57759427508752</v>
      </c>
      <c r="AA139" s="21">
        <f>EXP(-LN(2)/25)*AA138+(1-EXP(-LN(2)/25))/(LN(2)/25)*Calculateur!V139*Calculateur!X139*VLOOKUP('Données projet'!$B$9,Paramètres!$A$1:$I$89,3,0)*0.475*44/12</f>
        <v>15.970742959296997</v>
      </c>
      <c r="AB139" s="21">
        <f>EXP(-LN(2)/2)*AB138+(1-EXP(-LN(2)/2))/(LN(2)/2)*V139*Y139*VLOOKUP('Données projet'!$B$9,Paramètres!$A$1:$I$89,3,0)*0.475*44/12</f>
        <v>5.3610832604589755E-5</v>
      </c>
      <c r="AC139" s="22">
        <f t="shared" si="111"/>
        <v>49.548390845217121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3.177547114319168E-13</v>
      </c>
      <c r="AK139" s="13">
        <f t="shared" si="143"/>
        <v>4.1725404435445377E-12</v>
      </c>
      <c r="AL139" s="20">
        <f t="shared" si="112"/>
        <v>7.820597394917325E-12</v>
      </c>
      <c r="AM139" s="59">
        <f t="shared" si="113"/>
        <v>293.33333333334116</v>
      </c>
      <c r="AN139" s="59">
        <f ca="1">AVERAGE(OFFSET($AM$3,0,0,'Données projet'!$E$10+1,1))-AVERAGE(OFFSET($H$3,0,0,'Données projet'!$E$10+1,1))</f>
        <v>287.413090017863</v>
      </c>
      <c r="AO139" s="59">
        <f t="shared" si="144"/>
        <v>258.48456031927117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62.442852343434467</v>
      </c>
      <c r="AV139" s="21">
        <f>EXP(-LN(2)/25)*AV138+(1-EXP(-LN(2)/25))/(LN(2)/25)*Calculateur!AQ139*Calculateur!AS139*VLOOKUP('Données projet'!$B$10,Paramètres!$A$1:$I$89,3,0)*0.475*44/12</f>
        <v>12.314045586948993</v>
      </c>
      <c r="AW139" s="21">
        <f>EXP(-LN(2)/2)*AW138+(1-EXP(-LN(2)/2))/(LN(2)/2)*AQ139*AT139*VLOOKUP('Données projet'!$B$10,Paramètres!$A$1:$I$89,3,0)*0.475*44/12</f>
        <v>8.7899999137525341E-9</v>
      </c>
      <c r="AX139" s="21">
        <f t="shared" si="114"/>
        <v>74.756897939173456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243.33915530322201</v>
      </c>
      <c r="BJ139" s="59">
        <f t="shared" si="146"/>
        <v>247.73814704672577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17.147694115982716</v>
      </c>
      <c r="BQ139" s="21">
        <f>EXP(-LN(2)/25)*BQ138+(1-EXP(-LN(2)/25))/(LN(2)/25)*Calculateur!BL139*Calculateur!BN139*VLOOKUP('Données projet'!$B$11,Paramètres!$A$1:$I$89,3,0)*0.475*44/12</f>
        <v>10.864535513221021</v>
      </c>
      <c r="BR139" s="21">
        <f>EXP(-LN(2)/2)*BR138+(1-EXP(-LN(2)/2))/(LN(2)/2)*BL139*BO139*VLOOKUP('Données projet'!$B$11,Paramètres!$A$1:$I$89,3,0)*0.475*44/12</f>
        <v>2.3253754229993132E-7</v>
      </c>
      <c r="BS139" s="22">
        <f t="shared" si="117"/>
        <v>28.012229861741279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428.03</v>
      </c>
      <c r="L140" s="12">
        <f>VLOOKUP(A140,'Données projet'!$A$35:$I$55,9,0)</f>
        <v>7.7849999999999966</v>
      </c>
      <c r="M140" s="12">
        <f t="array" ref="M140">INDEX(L:L,MIN(IF(ISNUMBER(L140:L336),ROW(L140:L336),"")))</f>
        <v>7.7849999999999966</v>
      </c>
      <c r="N140" s="13">
        <f>IF('Données projet'!$A$36&gt;35,N139+M140-V139,IF(A140&lt;'Données projet'!$A$36,$K$205^A140,IF(A140='Données projet'!$A$36,'Données projet'!$B$36,N139+M140-V139)))</f>
        <v>428.0300000000002</v>
      </c>
      <c r="O140" s="13">
        <f>N140*VLOOKUP('Données projet'!$B$9,Paramètres!$A$1:$I$89,3,0)*VLOOKUP('Données projet'!$B$9,Paramètres!$A$1:$I$89,5,0)</f>
        <v>387.28154400000017</v>
      </c>
      <c r="P140" s="13">
        <f t="shared" si="141"/>
        <v>89.193364470196371</v>
      </c>
      <c r="Q140" s="20">
        <f t="shared" si="108"/>
        <v>829.86046558559235</v>
      </c>
      <c r="R140" s="59">
        <f t="shared" si="109"/>
        <v>1123.1937989189257</v>
      </c>
      <c r="S140" s="59">
        <f ca="1">AVERAGE(OFFSET($R$3,0,0,'Données projet'!$E$9+1,1))-AVERAGE(OFFSET($H$3,0,0,'Données projet'!$E$9+1,1))</f>
        <v>298.01613436147056</v>
      </c>
      <c r="T140" s="59">
        <f t="shared" si="142"/>
        <v>212.70221374431253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74.669999999999959</v>
      </c>
      <c r="W140" s="16">
        <f>IF(ISNA(VLOOKUP(A140,'Données projet'!$A$35:$I$55,5,0)),0%,VLOOKUP(A140,'Données projet'!$A$35:$I$55,5,0)*VLOOKUP('Données projet'!$B$9,Paramètres!$A$1:$I$89,7,0))</f>
        <v>0.215</v>
      </c>
      <c r="X140" s="16">
        <f>IF(ISNA(VLOOKUP(A140,'Données projet'!$A$35:$I$55,6,0)),0%,VLOOKUP(A140,'Données projet'!$A$35:$I$55,6,0)*VLOOKUP('Données projet'!$B$9,Paramètres!$A$1:$I$89,7,0))</f>
        <v>8.6000000000000007E-2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48.976894131933548</v>
      </c>
      <c r="AA140" s="21">
        <f>EXP(-LN(2)/25)*AA139+(1-EXP(-LN(2)/25))/(LN(2)/25)*Calculateur!V140*Calculateur!X140*VLOOKUP('Données projet'!$B$9,Paramètres!$A$1:$I$89,3,0)*0.475*44/12</f>
        <v>21.931826383274185</v>
      </c>
      <c r="AB140" s="21">
        <f>EXP(-LN(2)/2)*AB139+(1-EXP(-LN(2)/2))/(LN(2)/2)*V140*Y140*VLOOKUP('Données projet'!$B$9,Paramètres!$A$1:$I$89,3,0)*0.475*44/12</f>
        <v>3.7908583279762275E-5</v>
      </c>
      <c r="AC140" s="22">
        <f t="shared" si="111"/>
        <v>70.908758423791014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3.177547114319168E-13</v>
      </c>
      <c r="AK140" s="13">
        <f t="shared" si="143"/>
        <v>4.1725404435445377E-12</v>
      </c>
      <c r="AL140" s="20">
        <f t="shared" si="112"/>
        <v>7.820597394917325E-12</v>
      </c>
      <c r="AM140" s="59">
        <f t="shared" si="113"/>
        <v>293.33333333334116</v>
      </c>
      <c r="AN140" s="59">
        <f ca="1">AVERAGE(OFFSET($AM$3,0,0,'Données projet'!$E$10+1,1))-AVERAGE(OFFSET($H$3,0,0,'Données projet'!$E$10+1,1))</f>
        <v>287.413090017863</v>
      </c>
      <c r="AO140" s="59">
        <f t="shared" si="144"/>
        <v>258.48456031927117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61.21838609535893</v>
      </c>
      <c r="AV140" s="21">
        <f>EXP(-LN(2)/25)*AV139+(1-EXP(-LN(2)/25))/(LN(2)/25)*Calculateur!AQ140*Calculateur!AS140*VLOOKUP('Données projet'!$B$10,Paramètres!$A$1:$I$89,3,0)*0.475*44/12</f>
        <v>11.977317362806359</v>
      </c>
      <c r="AW140" s="21">
        <f>EXP(-LN(2)/2)*AW139+(1-EXP(-LN(2)/2))/(LN(2)/2)*AQ140*AT140*VLOOKUP('Données projet'!$B$10,Paramètres!$A$1:$I$89,3,0)*0.475*44/12</f>
        <v>6.2154685456435849E-9</v>
      </c>
      <c r="AX140" s="21">
        <f t="shared" si="114"/>
        <v>73.195703464380756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243.33915530322201</v>
      </c>
      <c r="BJ140" s="59">
        <f t="shared" si="146"/>
        <v>247.73814704672577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16.81143829342896</v>
      </c>
      <c r="BQ140" s="21">
        <f>EXP(-LN(2)/25)*BQ139+(1-EXP(-LN(2)/25))/(LN(2)/25)*Calculateur!BL140*Calculateur!BN140*VLOOKUP('Données projet'!$B$11,Paramètres!$A$1:$I$89,3,0)*0.475*44/12</f>
        <v>10.567444218270902</v>
      </c>
      <c r="BR140" s="21">
        <f>EXP(-LN(2)/2)*BR139+(1-EXP(-LN(2)/2))/(LN(2)/2)*BL140*BO140*VLOOKUP('Données projet'!$B$11,Paramètres!$A$1:$I$89,3,0)*0.475*44/12</f>
        <v>1.6442887304073507E-7</v>
      </c>
      <c r="BS140" s="22">
        <f t="shared" si="117"/>
        <v>27.378882676128736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7.5999999999999988</v>
      </c>
      <c r="N141" s="13">
        <f>IF('Données projet'!$A$36&gt;35,N140+M141-V140,IF(A141&lt;'Données projet'!$A$36,$K$205^A141,IF(A141='Données projet'!$A$36,'Données projet'!$B$36,N140+M141-V140)))</f>
        <v>360.96000000000026</v>
      </c>
      <c r="O141" s="13">
        <f>N141*VLOOKUP('Données projet'!$B$9,Paramètres!$A$1:$I$89,3,0)*VLOOKUP('Données projet'!$B$9,Paramètres!$A$1:$I$89,5,0)</f>
        <v>326.59660800000023</v>
      </c>
      <c r="P141" s="13">
        <f t="shared" si="141"/>
        <v>76.724272012237279</v>
      </c>
      <c r="Q141" s="20">
        <f t="shared" si="108"/>
        <v>702.45053268798029</v>
      </c>
      <c r="R141" s="59">
        <f t="shared" si="109"/>
        <v>995.78386602131354</v>
      </c>
      <c r="S141" s="59">
        <f ca="1">AVERAGE(OFFSET($R$3,0,0,'Données projet'!$E$9+1,1))-AVERAGE(OFFSET($H$3,0,0,'Données projet'!$E$9+1,1))</f>
        <v>298.01613436147056</v>
      </c>
      <c r="T141" s="59">
        <f t="shared" si="142"/>
        <v>212.70221374431253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48.016487110962039</v>
      </c>
      <c r="AA141" s="21">
        <f>EXP(-LN(2)/25)*AA140+(1-EXP(-LN(2)/25))/(LN(2)/25)*Calculateur!V141*Calculateur!X141*VLOOKUP('Données projet'!$B$9,Paramètres!$A$1:$I$89,3,0)*0.475*44/12</f>
        <v>21.332099437478927</v>
      </c>
      <c r="AB141" s="21">
        <f>EXP(-LN(2)/2)*AB140+(1-EXP(-LN(2)/2))/(LN(2)/2)*V141*Y141*VLOOKUP('Données projet'!$B$9,Paramètres!$A$1:$I$89,3,0)*0.475*44/12</f>
        <v>2.6805416302294878E-5</v>
      </c>
      <c r="AC141" s="22">
        <f t="shared" si="111"/>
        <v>69.34861335385726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3.177547114319168E-13</v>
      </c>
      <c r="AK141" s="13">
        <f t="shared" si="143"/>
        <v>4.1725404435445377E-12</v>
      </c>
      <c r="AL141" s="20">
        <f t="shared" si="112"/>
        <v>7.820597394917325E-12</v>
      </c>
      <c r="AM141" s="59">
        <f t="shared" si="113"/>
        <v>293.33333333334116</v>
      </c>
      <c r="AN141" s="59">
        <f ca="1">AVERAGE(OFFSET($AM$3,0,0,'Données projet'!$E$10+1,1))-AVERAGE(OFFSET($H$3,0,0,'Données projet'!$E$10+1,1))</f>
        <v>287.413090017863</v>
      </c>
      <c r="AO141" s="59">
        <f t="shared" si="144"/>
        <v>258.48456031927117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60.01793088355749</v>
      </c>
      <c r="AV141" s="21">
        <f>EXP(-LN(2)/25)*AV140+(1-EXP(-LN(2)/25))/(LN(2)/25)*Calculateur!AQ141*Calculateur!AS141*VLOOKUP('Données projet'!$B$10,Paramètres!$A$1:$I$89,3,0)*0.475*44/12</f>
        <v>11.649796989660674</v>
      </c>
      <c r="AW141" s="21">
        <f>EXP(-LN(2)/2)*AW140+(1-EXP(-LN(2)/2))/(LN(2)/2)*AQ141*AT141*VLOOKUP('Données projet'!$B$10,Paramètres!$A$1:$I$89,3,0)*0.475*44/12</f>
        <v>4.394999956876267E-9</v>
      </c>
      <c r="AX141" s="21">
        <f t="shared" si="114"/>
        <v>71.667727877613174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243.33915530322201</v>
      </c>
      <c r="BJ141" s="59">
        <f t="shared" si="146"/>
        <v>247.73814704672577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16.481776242459681</v>
      </c>
      <c r="BQ141" s="21">
        <f>EXP(-LN(2)/25)*BQ140+(1-EXP(-LN(2)/25))/(LN(2)/25)*Calculateur!BL141*Calculateur!BN141*VLOOKUP('Données projet'!$B$11,Paramètres!$A$1:$I$89,3,0)*0.475*44/12</f>
        <v>10.278476900404545</v>
      </c>
      <c r="BR141" s="21">
        <f>EXP(-LN(2)/2)*BR140+(1-EXP(-LN(2)/2))/(LN(2)/2)*BL141*BO141*VLOOKUP('Données projet'!$B$11,Paramètres!$A$1:$I$89,3,0)*0.475*44/12</f>
        <v>1.1626877114996566E-7</v>
      </c>
      <c r="BS141" s="22">
        <f t="shared" si="117"/>
        <v>26.760253259132998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7.5999999999999988</v>
      </c>
      <c r="N142" s="13">
        <f>IF('Données projet'!$A$36&gt;35,N141+M142-V141,IF(A142&lt;'Données projet'!$A$36,$K$205^A142,IF(A142='Données projet'!$A$36,'Données projet'!$B$36,N141+M142-V141)))</f>
        <v>368.56000000000029</v>
      </c>
      <c r="O142" s="13">
        <f>N142*VLOOKUP('Données projet'!$B$9,Paramètres!$A$1:$I$89,3,0)*VLOOKUP('Données projet'!$B$9,Paramètres!$A$1:$I$89,5,0)</f>
        <v>333.47308800000025</v>
      </c>
      <c r="P142" s="13">
        <f t="shared" si="141"/>
        <v>78.149927586670955</v>
      </c>
      <c r="Q142" s="20">
        <f t="shared" si="108"/>
        <v>716.91008548011894</v>
      </c>
      <c r="R142" s="59">
        <f t="shared" si="109"/>
        <v>1010.2434188134523</v>
      </c>
      <c r="S142" s="59">
        <f ca="1">AVERAGE(OFFSET($R$3,0,0,'Données projet'!$E$9+1,1))-AVERAGE(OFFSET($H$3,0,0,'Données projet'!$E$9+1,1))</f>
        <v>298.01613436147056</v>
      </c>
      <c r="T142" s="59">
        <f t="shared" si="142"/>
        <v>212.70221374431253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47.074913085881342</v>
      </c>
      <c r="AA142" s="21">
        <f>EXP(-LN(2)/25)*AA141+(1-EXP(-LN(2)/25))/(LN(2)/25)*Calculateur!V142*Calculateur!X142*VLOOKUP('Données projet'!$B$9,Paramètres!$A$1:$I$89,3,0)*0.475*44/12</f>
        <v>20.74877205655471</v>
      </c>
      <c r="AB142" s="21">
        <f>EXP(-LN(2)/2)*AB141+(1-EXP(-LN(2)/2))/(LN(2)/2)*V142*Y142*VLOOKUP('Données projet'!$B$9,Paramètres!$A$1:$I$89,3,0)*0.475*44/12</f>
        <v>1.8954291639881138E-5</v>
      </c>
      <c r="AC142" s="22">
        <f t="shared" si="111"/>
        <v>67.823704096727681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3.177547114319168E-13</v>
      </c>
      <c r="AK142" s="13">
        <f t="shared" si="143"/>
        <v>4.1725404435445377E-12</v>
      </c>
      <c r="AL142" s="20">
        <f t="shared" si="112"/>
        <v>7.820597394917325E-12</v>
      </c>
      <c r="AM142" s="59">
        <f t="shared" si="113"/>
        <v>293.33333333334116</v>
      </c>
      <c r="AN142" s="59">
        <f ca="1">AVERAGE(OFFSET($AM$3,0,0,'Données projet'!$E$10+1,1))-AVERAGE(OFFSET($H$3,0,0,'Données projet'!$E$10+1,1))</f>
        <v>287.413090017863</v>
      </c>
      <c r="AO142" s="59">
        <f t="shared" si="144"/>
        <v>258.48456031927117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58.841015866254097</v>
      </c>
      <c r="AV142" s="21">
        <f>EXP(-LN(2)/25)*AV141+(1-EXP(-LN(2)/25))/(LN(2)/25)*Calculateur!AQ142*Calculateur!AS142*VLOOKUP('Données projet'!$B$10,Paramètres!$A$1:$I$89,3,0)*0.475*44/12</f>
        <v>11.331232678342205</v>
      </c>
      <c r="AW142" s="21">
        <f>EXP(-LN(2)/2)*AW141+(1-EXP(-LN(2)/2))/(LN(2)/2)*AQ142*AT142*VLOOKUP('Données projet'!$B$10,Paramètres!$A$1:$I$89,3,0)*0.475*44/12</f>
        <v>3.1077342728217924E-9</v>
      </c>
      <c r="AX142" s="21">
        <f t="shared" si="114"/>
        <v>70.172248547704029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243.33915530322201</v>
      </c>
      <c r="BJ142" s="59">
        <f t="shared" si="146"/>
        <v>247.73814704672577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16.158578663235915</v>
      </c>
      <c r="BQ142" s="21">
        <f>EXP(-LN(2)/25)*BQ141+(1-EXP(-LN(2)/25))/(LN(2)/25)*Calculateur!BL142*Calculateur!BN142*VLOOKUP('Données projet'!$B$11,Paramètres!$A$1:$I$89,3,0)*0.475*44/12</f>
        <v>9.9974114090413746</v>
      </c>
      <c r="BR142" s="21">
        <f>EXP(-LN(2)/2)*BR141+(1-EXP(-LN(2)/2))/(LN(2)/2)*BL142*BO142*VLOOKUP('Données projet'!$B$11,Paramètres!$A$1:$I$89,3,0)*0.475*44/12</f>
        <v>8.2214436520367535E-8</v>
      </c>
      <c r="BS142" s="22">
        <f t="shared" si="117"/>
        <v>26.155990154491729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7.5999999999999988</v>
      </c>
      <c r="N143" s="13">
        <f>IF('Données projet'!$A$36&gt;35,N142+M143-V142,IF(A143&lt;'Données projet'!$A$36,$K$205^A143,IF(A143='Données projet'!$A$36,'Données projet'!$B$36,N142+M143-V142)))</f>
        <v>376.16000000000031</v>
      </c>
      <c r="O143" s="13">
        <f>N143*VLOOKUP('Données projet'!$B$9,Paramètres!$A$1:$I$89,3,0)*VLOOKUP('Données projet'!$B$9,Paramètres!$A$1:$I$89,5,0)</f>
        <v>340.34956800000026</v>
      </c>
      <c r="P143" s="13">
        <f t="shared" si="141"/>
        <v>79.572165063820393</v>
      </c>
      <c r="Q143" s="20">
        <f t="shared" si="108"/>
        <v>731.36368508615408</v>
      </c>
      <c r="R143" s="59">
        <f t="shared" si="109"/>
        <v>1024.6970184194874</v>
      </c>
      <c r="S143" s="59">
        <f ca="1">AVERAGE(OFFSET($R$3,0,0,'Données projet'!$E$9+1,1))-AVERAGE(OFFSET($H$3,0,0,'Données projet'!$E$9+1,1))</f>
        <v>298.01613436147056</v>
      </c>
      <c r="T143" s="59">
        <f t="shared" si="142"/>
        <v>212.70221374431253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46.151802753129033</v>
      </c>
      <c r="AA143" s="21">
        <f>EXP(-LN(2)/25)*AA142+(1-EXP(-LN(2)/25))/(LN(2)/25)*Calculateur!V143*Calculateur!X143*VLOOKUP('Données projet'!$B$9,Paramètres!$A$1:$I$89,3,0)*0.475*44/12</f>
        <v>20.181395793537721</v>
      </c>
      <c r="AB143" s="21">
        <f>EXP(-LN(2)/2)*AB142+(1-EXP(-LN(2)/2))/(LN(2)/2)*V143*Y143*VLOOKUP('Données projet'!$B$9,Paramètres!$A$1:$I$89,3,0)*0.475*44/12</f>
        <v>1.3402708151147439E-5</v>
      </c>
      <c r="AC143" s="22">
        <f t="shared" si="111"/>
        <v>66.333211949374899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3.177547114319168E-13</v>
      </c>
      <c r="AK143" s="13">
        <f t="shared" si="143"/>
        <v>4.1725404435445377E-12</v>
      </c>
      <c r="AL143" s="20">
        <f t="shared" si="112"/>
        <v>7.820597394917325E-12</v>
      </c>
      <c r="AM143" s="59">
        <f t="shared" si="113"/>
        <v>293.33333333334116</v>
      </c>
      <c r="AN143" s="59">
        <f ca="1">AVERAGE(OFFSET($AM$3,0,0,'Données projet'!$E$10+1,1))-AVERAGE(OFFSET($H$3,0,0,'Données projet'!$E$10+1,1))</f>
        <v>287.413090017863</v>
      </c>
      <c r="AO143" s="59">
        <f t="shared" si="144"/>
        <v>258.48456031927117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57.687179434592743</v>
      </c>
      <c r="AV143" s="21">
        <f>EXP(-LN(2)/25)*AV142+(1-EXP(-LN(2)/25))/(LN(2)/25)*Calculateur!AQ143*Calculateur!AS143*VLOOKUP('Données projet'!$B$10,Paramètres!$A$1:$I$89,3,0)*0.475*44/12</f>
        <v>11.021379524869308</v>
      </c>
      <c r="AW143" s="21">
        <f>EXP(-LN(2)/2)*AW142+(1-EXP(-LN(2)/2))/(LN(2)/2)*AQ143*AT143*VLOOKUP('Données projet'!$B$10,Paramètres!$A$1:$I$89,3,0)*0.475*44/12</f>
        <v>2.1974999784381335E-9</v>
      </c>
      <c r="AX143" s="21">
        <f t="shared" si="114"/>
        <v>68.708558961659548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243.33915530322201</v>
      </c>
      <c r="BJ143" s="59">
        <f t="shared" si="146"/>
        <v>247.73814704672577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15.841718791409667</v>
      </c>
      <c r="BQ143" s="21">
        <f>EXP(-LN(2)/25)*BQ142+(1-EXP(-LN(2)/25))/(LN(2)/25)*Calculateur!BL143*Calculateur!BN143*VLOOKUP('Données projet'!$B$11,Paramètres!$A$1:$I$89,3,0)*0.475*44/12</f>
        <v>9.7240316683201211</v>
      </c>
      <c r="BR143" s="21">
        <f>EXP(-LN(2)/2)*BR142+(1-EXP(-LN(2)/2))/(LN(2)/2)*BL143*BO143*VLOOKUP('Données projet'!$B$11,Paramètres!$A$1:$I$89,3,0)*0.475*44/12</f>
        <v>5.8134385574982829E-8</v>
      </c>
      <c r="BS143" s="22">
        <f t="shared" si="117"/>
        <v>25.565750517864174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7.5999999999999988</v>
      </c>
      <c r="N144" s="13">
        <f>IF('Données projet'!$A$36&gt;35,N143+M144-V143,IF(A144&lt;'Données projet'!$A$36,$K$205^A144,IF(A144='Données projet'!$A$36,'Données projet'!$B$36,N143+M144-V143)))</f>
        <v>383.76000000000033</v>
      </c>
      <c r="O144" s="13">
        <f>N144*VLOOKUP('Données projet'!$B$9,Paramètres!$A$1:$I$89,3,0)*VLOOKUP('Données projet'!$B$9,Paramètres!$A$1:$I$89,5,0)</f>
        <v>347.22604800000028</v>
      </c>
      <c r="P144" s="13">
        <f t="shared" si="141"/>
        <v>80.991061462049885</v>
      </c>
      <c r="Q144" s="20">
        <f t="shared" si="108"/>
        <v>745.81146564640403</v>
      </c>
      <c r="R144" s="59">
        <f t="shared" si="109"/>
        <v>1039.1447989797373</v>
      </c>
      <c r="S144" s="59">
        <f ca="1">AVERAGE(OFFSET($R$3,0,0,'Données projet'!$E$9+1,1))-AVERAGE(OFFSET($H$3,0,0,'Données projet'!$E$9+1,1))</f>
        <v>298.01613436147056</v>
      </c>
      <c r="T144" s="59">
        <f t="shared" si="142"/>
        <v>212.70221374431253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45.24679405096029</v>
      </c>
      <c r="AA144" s="21">
        <f>EXP(-LN(2)/25)*AA143+(1-EXP(-LN(2)/25))/(LN(2)/25)*Calculateur!V144*Calculateur!X144*VLOOKUP('Données projet'!$B$9,Paramètres!$A$1:$I$89,3,0)*0.475*44/12</f>
        <v>19.629534464269952</v>
      </c>
      <c r="AB144" s="21">
        <f>EXP(-LN(2)/2)*AB143+(1-EXP(-LN(2)/2))/(LN(2)/2)*V144*Y144*VLOOKUP('Données projet'!$B$9,Paramètres!$A$1:$I$89,3,0)*0.475*44/12</f>
        <v>9.4771458199405688E-6</v>
      </c>
      <c r="AC144" s="22">
        <f t="shared" si="111"/>
        <v>64.876337992376065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3.177547114319168E-13</v>
      </c>
      <c r="AK144" s="13">
        <f t="shared" si="143"/>
        <v>4.1725404435445377E-12</v>
      </c>
      <c r="AL144" s="20">
        <f t="shared" si="112"/>
        <v>7.820597394917325E-12</v>
      </c>
      <c r="AM144" s="59">
        <f t="shared" si="113"/>
        <v>293.33333333334116</v>
      </c>
      <c r="AN144" s="59">
        <f ca="1">AVERAGE(OFFSET($AM$3,0,0,'Données projet'!$E$10+1,1))-AVERAGE(OFFSET($H$3,0,0,'Données projet'!$E$10+1,1))</f>
        <v>287.413090017863</v>
      </c>
      <c r="AO144" s="59">
        <f t="shared" si="144"/>
        <v>258.48456031927117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56.555969031585533</v>
      </c>
      <c r="AV144" s="21">
        <f>EXP(-LN(2)/25)*AV143+(1-EXP(-LN(2)/25))/(LN(2)/25)*Calculateur!AQ144*Calculateur!AS144*VLOOKUP('Données projet'!$B$10,Paramètres!$A$1:$I$89,3,0)*0.475*44/12</f>
        <v>10.719999322172598</v>
      </c>
      <c r="AW144" s="21">
        <f>EXP(-LN(2)/2)*AW143+(1-EXP(-LN(2)/2))/(LN(2)/2)*AQ144*AT144*VLOOKUP('Données projet'!$B$10,Paramètres!$A$1:$I$89,3,0)*0.475*44/12</f>
        <v>1.5538671364108962E-9</v>
      </c>
      <c r="AX144" s="21">
        <f t="shared" si="114"/>
        <v>67.275968355312003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243.33915530322201</v>
      </c>
      <c r="BJ144" s="59">
        <f t="shared" si="146"/>
        <v>247.73814704672577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15.531072348404495</v>
      </c>
      <c r="BQ144" s="21">
        <f>EXP(-LN(2)/25)*BQ143+(1-EXP(-LN(2)/25))/(LN(2)/25)*Calculateur!BL144*Calculateur!BN144*VLOOKUP('Données projet'!$B$11,Paramètres!$A$1:$I$89,3,0)*0.475*44/12</f>
        <v>9.4581275109853067</v>
      </c>
      <c r="BR144" s="21">
        <f>EXP(-LN(2)/2)*BR143+(1-EXP(-LN(2)/2))/(LN(2)/2)*BL144*BO144*VLOOKUP('Données projet'!$B$11,Paramètres!$A$1:$I$89,3,0)*0.475*44/12</f>
        <v>4.1107218260183768E-8</v>
      </c>
      <c r="BS144" s="22">
        <f t="shared" si="117"/>
        <v>24.989199900497017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7.5999999999999988</v>
      </c>
      <c r="N145" s="13">
        <f>IF('Données projet'!$A$36&gt;35,N144+M145-V144,IF(A145&lt;'Données projet'!$A$36,$K$205^A145,IF(A145='Données projet'!$A$36,'Données projet'!$B$36,N144+M145-V144)))</f>
        <v>391.36000000000035</v>
      </c>
      <c r="O145" s="13">
        <f>N145*VLOOKUP('Données projet'!$B$9,Paramètres!$A$1:$I$89,3,0)*VLOOKUP('Données projet'!$B$9,Paramètres!$A$1:$I$89,5,0)</f>
        <v>354.10252800000029</v>
      </c>
      <c r="P145" s="13">
        <f t="shared" si="141"/>
        <v>82.406690574717359</v>
      </c>
      <c r="Q145" s="20">
        <f t="shared" si="108"/>
        <v>760.25355568429995</v>
      </c>
      <c r="R145" s="59">
        <f t="shared" si="109"/>
        <v>1053.5868890176332</v>
      </c>
      <c r="S145" s="59">
        <f ca="1">AVERAGE(OFFSET($R$3,0,0,'Données projet'!$E$9+1,1))-AVERAGE(OFFSET($H$3,0,0,'Données projet'!$E$9+1,1))</f>
        <v>298.01613436147056</v>
      </c>
      <c r="T145" s="59">
        <f t="shared" si="142"/>
        <v>212.70221374431253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44.359532017440273</v>
      </c>
      <c r="AA145" s="21">
        <f>EXP(-LN(2)/25)*AA144+(1-EXP(-LN(2)/25))/(LN(2)/25)*Calculateur!V145*Calculateur!X145*VLOOKUP('Données projet'!$B$9,Paramètres!$A$1:$I$89,3,0)*0.475*44/12</f>
        <v>19.092763812072135</v>
      </c>
      <c r="AB145" s="21">
        <f>EXP(-LN(2)/2)*AB144+(1-EXP(-LN(2)/2))/(LN(2)/2)*V145*Y145*VLOOKUP('Données projet'!$B$9,Paramètres!$A$1:$I$89,3,0)*0.475*44/12</f>
        <v>6.7013540755737194E-6</v>
      </c>
      <c r="AC145" s="22">
        <f t="shared" si="111"/>
        <v>63.452302530866483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3.177547114319168E-13</v>
      </c>
      <c r="AK145" s="13">
        <f t="shared" si="143"/>
        <v>4.1725404435445377E-12</v>
      </c>
      <c r="AL145" s="20">
        <f t="shared" si="112"/>
        <v>7.820597394917325E-12</v>
      </c>
      <c r="AM145" s="59">
        <f t="shared" si="113"/>
        <v>293.33333333334116</v>
      </c>
      <c r="AN145" s="59">
        <f ca="1">AVERAGE(OFFSET($AM$3,0,0,'Données projet'!$E$10+1,1))-AVERAGE(OFFSET($H$3,0,0,'Données projet'!$E$10+1,1))</f>
        <v>287.413090017863</v>
      </c>
      <c r="AO145" s="59">
        <f t="shared" si="144"/>
        <v>258.48456031927117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55.446940974611081</v>
      </c>
      <c r="AV145" s="21">
        <f>EXP(-LN(2)/25)*AV144+(1-EXP(-LN(2)/25))/(LN(2)/25)*Calculateur!AQ145*Calculateur!AS145*VLOOKUP('Données projet'!$B$10,Paramètres!$A$1:$I$89,3,0)*0.475*44/12</f>
        <v>10.426860376967525</v>
      </c>
      <c r="AW145" s="21">
        <f>EXP(-LN(2)/2)*AW144+(1-EXP(-LN(2)/2))/(LN(2)/2)*AQ145*AT145*VLOOKUP('Données projet'!$B$10,Paramètres!$A$1:$I$89,3,0)*0.475*44/12</f>
        <v>1.0987499892190668E-9</v>
      </c>
      <c r="AX145" s="21">
        <f t="shared" si="114"/>
        <v>65.873801352677361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243.33915530322201</v>
      </c>
      <c r="BJ145" s="59">
        <f t="shared" si="146"/>
        <v>247.73814704672577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15.226517492671032</v>
      </c>
      <c r="BQ145" s="21">
        <f>EXP(-LN(2)/25)*BQ144+(1-EXP(-LN(2)/25))/(LN(2)/25)*Calculateur!BL145*Calculateur!BN145*VLOOKUP('Données projet'!$B$11,Paramètres!$A$1:$I$89,3,0)*0.475*44/12</f>
        <v>9.1994945168161042</v>
      </c>
      <c r="BR145" s="21">
        <f>EXP(-LN(2)/2)*BR144+(1-EXP(-LN(2)/2))/(LN(2)/2)*BL145*BO145*VLOOKUP('Données projet'!$B$11,Paramètres!$A$1:$I$89,3,0)*0.475*44/12</f>
        <v>2.9067192787491415E-8</v>
      </c>
      <c r="BS145" s="22">
        <f t="shared" si="117"/>
        <v>24.42601203855433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7.5999999999999988</v>
      </c>
      <c r="N146" s="13">
        <f>IF('Données projet'!$A$36&gt;35,N145+M146-V145,IF(A146&lt;'Données projet'!$A$36,$K$205^A146,IF(A146='Données projet'!$A$36,'Données projet'!$B$36,N145+M146-V145)))</f>
        <v>398.96000000000038</v>
      </c>
      <c r="O146" s="13">
        <f>N146*VLOOKUP('Données projet'!$B$9,Paramètres!$A$1:$I$89,3,0)*VLOOKUP('Données projet'!$B$9,Paramètres!$A$1:$I$89,5,0)</f>
        <v>360.97900800000036</v>
      </c>
      <c r="P146" s="13">
        <f t="shared" si="141"/>
        <v>83.819123165176237</v>
      </c>
      <c r="Q146" s="20">
        <f t="shared" si="108"/>
        <v>774.69007844601583</v>
      </c>
      <c r="R146" s="59">
        <f t="shared" si="109"/>
        <v>1068.0234117793491</v>
      </c>
      <c r="S146" s="59">
        <f ca="1">AVERAGE(OFFSET($R$3,0,0,'Données projet'!$E$9+1,1))-AVERAGE(OFFSET($H$3,0,0,'Données projet'!$E$9+1,1))</f>
        <v>298.01613436147056</v>
      </c>
      <c r="T146" s="59">
        <f t="shared" si="142"/>
        <v>212.70221374431253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43.48966865122118</v>
      </c>
      <c r="AA146" s="21">
        <f>EXP(-LN(2)/25)*AA145+(1-EXP(-LN(2)/25))/(LN(2)/25)*Calculateur!V146*Calculateur!X146*VLOOKUP('Données projet'!$B$9,Paramètres!$A$1:$I$89,3,0)*0.475*44/12</f>
        <v>18.57067118158621</v>
      </c>
      <c r="AB146" s="21">
        <f>EXP(-LN(2)/2)*AB145+(1-EXP(-LN(2)/2))/(LN(2)/2)*V146*Y146*VLOOKUP('Données projet'!$B$9,Paramètres!$A$1:$I$89,3,0)*0.475*44/12</f>
        <v>4.7385729099702844E-6</v>
      </c>
      <c r="AC146" s="22">
        <f t="shared" si="111"/>
        <v>62.060344571380298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3.177547114319168E-13</v>
      </c>
      <c r="AK146" s="13">
        <f t="shared" si="143"/>
        <v>4.1725404435445377E-12</v>
      </c>
      <c r="AL146" s="20">
        <f t="shared" si="112"/>
        <v>7.820597394917325E-12</v>
      </c>
      <c r="AM146" s="59">
        <f t="shared" si="113"/>
        <v>293.33333333334116</v>
      </c>
      <c r="AN146" s="59">
        <f ca="1">AVERAGE(OFFSET($AM$3,0,0,'Données projet'!$E$10+1,1))-AVERAGE(OFFSET($H$3,0,0,'Données projet'!$E$10+1,1))</f>
        <v>287.413090017863</v>
      </c>
      <c r="AO146" s="59">
        <f t="shared" si="144"/>
        <v>258.48456031927117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54.359660281393573</v>
      </c>
      <c r="AV146" s="21">
        <f>EXP(-LN(2)/25)*AV145+(1-EXP(-LN(2)/25))/(LN(2)/25)*Calculateur!AQ146*Calculateur!AS146*VLOOKUP('Données projet'!$B$10,Paramètres!$A$1:$I$89,3,0)*0.475*44/12</f>
        <v>10.141737331634593</v>
      </c>
      <c r="AW146" s="21">
        <f>EXP(-LN(2)/2)*AW145+(1-EXP(-LN(2)/2))/(LN(2)/2)*AQ146*AT146*VLOOKUP('Données projet'!$B$10,Paramètres!$A$1:$I$89,3,0)*0.475*44/12</f>
        <v>7.7693356820544811E-10</v>
      </c>
      <c r="AX146" s="21">
        <f t="shared" si="114"/>
        <v>64.501397613805096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243.33915530322201</v>
      </c>
      <c r="BJ146" s="59">
        <f t="shared" si="146"/>
        <v>247.73814704672577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14.927934771898384</v>
      </c>
      <c r="BQ146" s="21">
        <f>EXP(-LN(2)/25)*BQ145+(1-EXP(-LN(2)/25))/(LN(2)/25)*Calculateur!BL146*Calculateur!BN146*VLOOKUP('Données projet'!$B$11,Paramètres!$A$1:$I$89,3,0)*0.475*44/12</f>
        <v>8.9479338554733765</v>
      </c>
      <c r="BR146" s="21">
        <f>EXP(-LN(2)/2)*BR145+(1-EXP(-LN(2)/2))/(LN(2)/2)*BL146*BO146*VLOOKUP('Données projet'!$B$11,Paramètres!$A$1:$I$89,3,0)*0.475*44/12</f>
        <v>2.0553609130091884E-8</v>
      </c>
      <c r="BS146" s="22">
        <f t="shared" si="117"/>
        <v>23.875868647925369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7.5999999999999988</v>
      </c>
      <c r="N147" s="13">
        <f>IF('Données projet'!$A$36&gt;35,N146+M147-V146,IF(A147&lt;'Données projet'!$A$36,$K$205^A147,IF(A147='Données projet'!$A$36,'Données projet'!$B$36,N146+M147-V146)))</f>
        <v>406.5600000000004</v>
      </c>
      <c r="O147" s="13">
        <f>N147*VLOOKUP('Données projet'!$B$9,Paramètres!$A$1:$I$89,3,0)*VLOOKUP('Données projet'!$B$9,Paramètres!$A$1:$I$89,5,0)</f>
        <v>367.85548800000038</v>
      </c>
      <c r="P147" s="13">
        <f t="shared" si="141"/>
        <v>85.228427146498575</v>
      </c>
      <c r="Q147" s="20">
        <f t="shared" si="108"/>
        <v>789.12115221348574</v>
      </c>
      <c r="R147" s="59">
        <f t="shared" si="109"/>
        <v>1082.4544855468191</v>
      </c>
      <c r="S147" s="59">
        <f ca="1">AVERAGE(OFFSET($R$3,0,0,'Données projet'!$E$9+1,1))-AVERAGE(OFFSET($H$3,0,0,'Données projet'!$E$9+1,1))</f>
        <v>298.01613436147056</v>
      </c>
      <c r="T147" s="59">
        <f t="shared" si="142"/>
        <v>212.70221374431253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42.63686277504938</v>
      </c>
      <c r="AA147" s="21">
        <f>EXP(-LN(2)/25)*AA146+(1-EXP(-LN(2)/25))/(LN(2)/25)*Calculateur!V147*Calculateur!X147*VLOOKUP('Données projet'!$B$9,Paramètres!$A$1:$I$89,3,0)*0.475*44/12</f>
        <v>18.062855201536582</v>
      </c>
      <c r="AB147" s="21">
        <f>EXP(-LN(2)/2)*AB146+(1-EXP(-LN(2)/2))/(LN(2)/2)*V147*Y147*VLOOKUP('Données projet'!$B$9,Paramètres!$A$1:$I$89,3,0)*0.475*44/12</f>
        <v>3.3506770377868597E-6</v>
      </c>
      <c r="AC147" s="22">
        <f t="shared" si="111"/>
        <v>60.699721327262999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3.177547114319168E-13</v>
      </c>
      <c r="AK147" s="13">
        <f t="shared" si="143"/>
        <v>4.1725404435445377E-12</v>
      </c>
      <c r="AL147" s="20">
        <f t="shared" si="112"/>
        <v>7.820597394917325E-12</v>
      </c>
      <c r="AM147" s="59">
        <f t="shared" si="113"/>
        <v>293.33333333334116</v>
      </c>
      <c r="AN147" s="59">
        <f ca="1">AVERAGE(OFFSET($AM$3,0,0,'Données projet'!$E$10+1,1))-AVERAGE(OFFSET($H$3,0,0,'Données projet'!$E$10+1,1))</f>
        <v>287.413090017863</v>
      </c>
      <c r="AO147" s="59">
        <f t="shared" si="144"/>
        <v>258.48456031927117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53.293700499394319</v>
      </c>
      <c r="AV147" s="21">
        <f>EXP(-LN(2)/25)*AV146+(1-EXP(-LN(2)/25))/(LN(2)/25)*Calculateur!AQ147*Calculateur!AS147*VLOOKUP('Données projet'!$B$10,Paramètres!$A$1:$I$89,3,0)*0.475*44/12</f>
        <v>9.8644109909702582</v>
      </c>
      <c r="AW147" s="21">
        <f>EXP(-LN(2)/2)*AW146+(1-EXP(-LN(2)/2))/(LN(2)/2)*AQ147*AT147*VLOOKUP('Données projet'!$B$10,Paramètres!$A$1:$I$89,3,0)*0.475*44/12</f>
        <v>5.4937499460953338E-10</v>
      </c>
      <c r="AX147" s="21">
        <f t="shared" si="114"/>
        <v>63.158111490913953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243.33915530322201</v>
      </c>
      <c r="BJ147" s="59">
        <f t="shared" si="146"/>
        <v>247.73814704672577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14.63520707616261</v>
      </c>
      <c r="BQ147" s="21">
        <f>EXP(-LN(2)/25)*BQ146+(1-EXP(-LN(2)/25))/(LN(2)/25)*Calculateur!BL147*Calculateur!BN147*VLOOKUP('Données projet'!$B$11,Paramètres!$A$1:$I$89,3,0)*0.475*44/12</f>
        <v>8.7032521336440656</v>
      </c>
      <c r="BR147" s="21">
        <f>EXP(-LN(2)/2)*BR146+(1-EXP(-LN(2)/2))/(LN(2)/2)*BL147*BO147*VLOOKUP('Données projet'!$B$11,Paramètres!$A$1:$I$89,3,0)*0.475*44/12</f>
        <v>1.4533596393745707E-8</v>
      </c>
      <c r="BS147" s="22">
        <f t="shared" si="117"/>
        <v>23.338459224340273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7.5999999999999988</v>
      </c>
      <c r="N148" s="13">
        <f>IF('Données projet'!$A$36&gt;35,N147+M148-V147,IF(A148&lt;'Données projet'!$A$36,$K$205^A148,IF(A148='Données projet'!$A$36,'Données projet'!$B$36,N147+M148-V147)))</f>
        <v>414.16000000000042</v>
      </c>
      <c r="O148" s="13">
        <f>N148*VLOOKUP('Données projet'!$B$9,Paramètres!$A$1:$I$89,3,0)*VLOOKUP('Données projet'!$B$9,Paramètres!$A$1:$I$89,5,0)</f>
        <v>374.73196800000034</v>
      </c>
      <c r="P148" s="13">
        <f t="shared" si="141"/>
        <v>86.634667747380036</v>
      </c>
      <c r="Q148" s="20">
        <f t="shared" si="108"/>
        <v>803.54689059335408</v>
      </c>
      <c r="R148" s="59">
        <f t="shared" si="109"/>
        <v>1096.8802239266874</v>
      </c>
      <c r="S148" s="59">
        <f ca="1">AVERAGE(OFFSET($R$3,0,0,'Données projet'!$E$9+1,1))-AVERAGE(OFFSET($H$3,0,0,'Données projet'!$E$9+1,1))</f>
        <v>298.01613436147056</v>
      </c>
      <c r="T148" s="59">
        <f t="shared" si="142"/>
        <v>212.70221374431253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41.800779901949085</v>
      </c>
      <c r="AA148" s="21">
        <f>EXP(-LN(2)/25)*AA147+(1-EXP(-LN(2)/25))/(LN(2)/25)*Calculateur!V148*Calculateur!X148*VLOOKUP('Données projet'!$B$9,Paramètres!$A$1:$I$89,3,0)*0.475*44/12</f>
        <v>17.568925476166292</v>
      </c>
      <c r="AB148" s="21">
        <f>EXP(-LN(2)/2)*AB147+(1-EXP(-LN(2)/2))/(LN(2)/2)*V148*Y148*VLOOKUP('Données projet'!$B$9,Paramètres!$A$1:$I$89,3,0)*0.475*44/12</f>
        <v>2.3692864549851422E-6</v>
      </c>
      <c r="AC148" s="22">
        <f t="shared" si="111"/>
        <v>59.369707747401833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3.177547114319168E-13</v>
      </c>
      <c r="AK148" s="13">
        <f t="shared" si="143"/>
        <v>4.1725404435445377E-12</v>
      </c>
      <c r="AL148" s="20">
        <f t="shared" si="112"/>
        <v>7.820597394917325E-12</v>
      </c>
      <c r="AM148" s="59">
        <f t="shared" si="113"/>
        <v>293.33333333334116</v>
      </c>
      <c r="AN148" s="59">
        <f ca="1">AVERAGE(OFFSET($AM$3,0,0,'Données projet'!$E$10+1,1))-AVERAGE(OFFSET($H$3,0,0,'Données projet'!$E$10+1,1))</f>
        <v>287.413090017863</v>
      </c>
      <c r="AO148" s="59">
        <f t="shared" si="144"/>
        <v>258.48456031927117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52.248643538548805</v>
      </c>
      <c r="AV148" s="21">
        <f>EXP(-LN(2)/25)*AV147+(1-EXP(-LN(2)/25))/(LN(2)/25)*Calculateur!AQ148*Calculateur!AS148*VLOOKUP('Données projet'!$B$10,Paramètres!$A$1:$I$89,3,0)*0.475*44/12</f>
        <v>9.5946681536753484</v>
      </c>
      <c r="AW148" s="21">
        <f>EXP(-LN(2)/2)*AW147+(1-EXP(-LN(2)/2))/(LN(2)/2)*AQ148*AT148*VLOOKUP('Données projet'!$B$10,Paramètres!$A$1:$I$89,3,0)*0.475*44/12</f>
        <v>3.8846678410272405E-10</v>
      </c>
      <c r="AX148" s="21">
        <f t="shared" si="114"/>
        <v>61.843311692612623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243.33915530322201</v>
      </c>
      <c r="BJ148" s="59">
        <f t="shared" si="146"/>
        <v>247.73814704672577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14.348219591993949</v>
      </c>
      <c r="BQ148" s="21">
        <f>EXP(-LN(2)/25)*BQ147+(1-EXP(-LN(2)/25))/(LN(2)/25)*Calculateur!BL148*Calculateur!BN148*VLOOKUP('Données projet'!$B$11,Paramètres!$A$1:$I$89,3,0)*0.475*44/12</f>
        <v>8.4652612463654311</v>
      </c>
      <c r="BR148" s="21">
        <f>EXP(-LN(2)/2)*BR147+(1-EXP(-LN(2)/2))/(LN(2)/2)*BL148*BO148*VLOOKUP('Données projet'!$B$11,Paramètres!$A$1:$I$89,3,0)*0.475*44/12</f>
        <v>1.0276804565045942E-8</v>
      </c>
      <c r="BS148" s="22">
        <f t="shared" si="117"/>
        <v>22.813480848636186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7.5999999999999988</v>
      </c>
      <c r="N149" s="13">
        <f>IF('Données projet'!$A$36&gt;35,N148+M149-V148,IF(A149&lt;'Données projet'!$A$36,$K$205^A149,IF(A149='Données projet'!$A$36,'Données projet'!$B$36,N148+M149-V148)))</f>
        <v>421.76000000000045</v>
      </c>
      <c r="O149" s="13">
        <f>N149*VLOOKUP('Données projet'!$B$9,Paramètres!$A$1:$I$89,3,0)*VLOOKUP('Données projet'!$B$9,Paramètres!$A$1:$I$89,5,0)</f>
        <v>381.60844800000035</v>
      </c>
      <c r="P149" s="13">
        <f t="shared" si="141"/>
        <v>88.037907665522127</v>
      </c>
      <c r="Q149" s="20">
        <f t="shared" si="108"/>
        <v>817.96740278411835</v>
      </c>
      <c r="R149" s="59">
        <f t="shared" si="109"/>
        <v>1111.3007361174516</v>
      </c>
      <c r="S149" s="59">
        <f ca="1">AVERAGE(OFFSET($R$3,0,0,'Données projet'!$E$9+1,1))-AVERAGE(OFFSET($H$3,0,0,'Données projet'!$E$9+1,1))</f>
        <v>298.01613436147056</v>
      </c>
      <c r="T149" s="59">
        <f t="shared" si="142"/>
        <v>212.70221374431253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40.98109210403009</v>
      </c>
      <c r="AA149" s="21">
        <f>EXP(-LN(2)/25)*AA148+(1-EXP(-LN(2)/25))/(LN(2)/25)*Calculateur!V149*Calculateur!X149*VLOOKUP('Données projet'!$B$9,Paramètres!$A$1:$I$89,3,0)*0.475*44/12</f>
        <v>17.088502285110888</v>
      </c>
      <c r="AB149" s="21">
        <f>EXP(-LN(2)/2)*AB148+(1-EXP(-LN(2)/2))/(LN(2)/2)*V149*Y149*VLOOKUP('Données projet'!$B$9,Paramètres!$A$1:$I$89,3,0)*0.475*44/12</f>
        <v>1.6753385188934299E-6</v>
      </c>
      <c r="AC149" s="22">
        <f t="shared" si="111"/>
        <v>58.069596064479491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3.177547114319168E-13</v>
      </c>
      <c r="AK149" s="13">
        <f t="shared" si="143"/>
        <v>4.1725404435445377E-12</v>
      </c>
      <c r="AL149" s="20">
        <f t="shared" si="112"/>
        <v>7.820597394917325E-12</v>
      </c>
      <c r="AM149" s="59">
        <f t="shared" si="113"/>
        <v>293.33333333334116</v>
      </c>
      <c r="AN149" s="59">
        <f ca="1">AVERAGE(OFFSET($AM$3,0,0,'Données projet'!$E$10+1,1))-AVERAGE(OFFSET($H$3,0,0,'Données projet'!$E$10+1,1))</f>
        <v>287.413090017863</v>
      </c>
      <c r="AO149" s="59">
        <f t="shared" si="144"/>
        <v>258.48456031927117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51.224079507283669</v>
      </c>
      <c r="AV149" s="21">
        <f>EXP(-LN(2)/25)*AV148+(1-EXP(-LN(2)/25))/(LN(2)/25)*Calculateur!AQ149*Calculateur!AS149*VLOOKUP('Données projet'!$B$10,Paramètres!$A$1:$I$89,3,0)*0.475*44/12</f>
        <v>9.3323014484514264</v>
      </c>
      <c r="AW149" s="21">
        <f>EXP(-LN(2)/2)*AW148+(1-EXP(-LN(2)/2))/(LN(2)/2)*AQ149*AT149*VLOOKUP('Données projet'!$B$10,Paramètres!$A$1:$I$89,3,0)*0.475*44/12</f>
        <v>2.7468749730476669E-10</v>
      </c>
      <c r="AX149" s="21">
        <f t="shared" si="114"/>
        <v>60.556380956009782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243.33915530322201</v>
      </c>
      <c r="BJ149" s="59">
        <f t="shared" si="146"/>
        <v>247.73814704672577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14.066859757344755</v>
      </c>
      <c r="BQ149" s="21">
        <f>EXP(-LN(2)/25)*BQ148+(1-EXP(-LN(2)/25))/(LN(2)/25)*Calculateur!BL149*Calculateur!BN149*VLOOKUP('Données projet'!$B$11,Paramètres!$A$1:$I$89,3,0)*0.475*44/12</f>
        <v>8.2337782324148279</v>
      </c>
      <c r="BR149" s="21">
        <f>EXP(-LN(2)/2)*BR148+(1-EXP(-LN(2)/2))/(LN(2)/2)*BL149*BO149*VLOOKUP('Données projet'!$B$11,Paramètres!$A$1:$I$89,3,0)*0.475*44/12</f>
        <v>7.2667981968728536E-9</v>
      </c>
      <c r="BS149" s="22">
        <f t="shared" si="117"/>
        <v>22.300637997026381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7.5999999999999988</v>
      </c>
      <c r="N150" s="13">
        <f>IF('Données projet'!$A$36&gt;35,N149+M150-V149,IF(A150&lt;'Données projet'!$A$36,$K$205^A150,IF(A150='Données projet'!$A$36,'Données projet'!$B$36,N149+M150-V149)))</f>
        <v>429.36000000000047</v>
      </c>
      <c r="O150" s="13">
        <f>N150*VLOOKUP('Données projet'!$B$9,Paramètres!$A$1:$I$89,3,0)*VLOOKUP('Données projet'!$B$9,Paramètres!$A$1:$I$89,5,0)</f>
        <v>388.48492800000042</v>
      </c>
      <c r="P150" s="13">
        <f t="shared" si="141"/>
        <v>89.438207209646222</v>
      </c>
      <c r="Q150" s="20">
        <f t="shared" si="108"/>
        <v>832.38279382346775</v>
      </c>
      <c r="R150" s="59">
        <f t="shared" si="109"/>
        <v>1125.7161271568011</v>
      </c>
      <c r="S150" s="59">
        <f ca="1">AVERAGE(OFFSET($R$3,0,0,'Données projet'!$E$9+1,1))-AVERAGE(OFFSET($H$3,0,0,'Données projet'!$E$9+1,1))</f>
        <v>298.01613436147056</v>
      </c>
      <c r="T150" s="59">
        <f t="shared" si="142"/>
        <v>212.70221374431253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40.177477883868093</v>
      </c>
      <c r="AA150" s="21">
        <f>EXP(-LN(2)/25)*AA149+(1-EXP(-LN(2)/25))/(LN(2)/25)*Calculateur!V150*Calculateur!X150*VLOOKUP('Données projet'!$B$9,Paramètres!$A$1:$I$89,3,0)*0.475*44/12</f>
        <v>16.62121629147925</v>
      </c>
      <c r="AB150" s="21">
        <f>EXP(-LN(2)/2)*AB149+(1-EXP(-LN(2)/2))/(LN(2)/2)*V150*Y150*VLOOKUP('Données projet'!$B$9,Paramètres!$A$1:$I$89,3,0)*0.475*44/12</f>
        <v>1.1846432274925711E-6</v>
      </c>
      <c r="AC150" s="22">
        <f t="shared" si="111"/>
        <v>56.798695359990568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3.177547114319168E-13</v>
      </c>
      <c r="AK150" s="13">
        <f t="shared" si="143"/>
        <v>4.1725404435445377E-12</v>
      </c>
      <c r="AL150" s="20">
        <f t="shared" si="112"/>
        <v>7.820597394917325E-12</v>
      </c>
      <c r="AM150" s="59">
        <f t="shared" si="113"/>
        <v>293.33333333334116</v>
      </c>
      <c r="AN150" s="59">
        <f ca="1">AVERAGE(OFFSET($AM$3,0,0,'Données projet'!$E$10+1,1))-AVERAGE(OFFSET($H$3,0,0,'Données projet'!$E$10+1,1))</f>
        <v>287.413090017863</v>
      </c>
      <c r="AO150" s="59">
        <f t="shared" si="144"/>
        <v>258.48456031927117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50.219606551749287</v>
      </c>
      <c r="AV150" s="21">
        <f>EXP(-LN(2)/25)*AV149+(1-EXP(-LN(2)/25))/(LN(2)/25)*Calculateur!AQ150*Calculateur!AS150*VLOOKUP('Données projet'!$B$10,Paramètres!$A$1:$I$89,3,0)*0.475*44/12</f>
        <v>9.0771091745791175</v>
      </c>
      <c r="AW150" s="21">
        <f>EXP(-LN(2)/2)*AW149+(1-EXP(-LN(2)/2))/(LN(2)/2)*AQ150*AT150*VLOOKUP('Données projet'!$B$10,Paramètres!$A$1:$I$89,3,0)*0.475*44/12</f>
        <v>1.9423339205136203E-10</v>
      </c>
      <c r="AX150" s="21">
        <f t="shared" si="114"/>
        <v>59.296715726522635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243.33915530322201</v>
      </c>
      <c r="BJ150" s="59">
        <f t="shared" si="146"/>
        <v>247.73814704672577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13.791017217440478</v>
      </c>
      <c r="BQ150" s="21">
        <f>EXP(-LN(2)/25)*BQ149+(1-EXP(-LN(2)/25))/(LN(2)/25)*Calculateur!BL150*Calculateur!BN150*VLOOKUP('Données projet'!$B$11,Paramètres!$A$1:$I$89,3,0)*0.475*44/12</f>
        <v>8.0086251336538652</v>
      </c>
      <c r="BR150" s="21">
        <f>EXP(-LN(2)/2)*BR149+(1-EXP(-LN(2)/2))/(LN(2)/2)*BL150*BO150*VLOOKUP('Données projet'!$B$11,Paramètres!$A$1:$I$89,3,0)*0.475*44/12</f>
        <v>5.138402282522971E-9</v>
      </c>
      <c r="BS150" s="22">
        <f t="shared" si="117"/>
        <v>21.799642356232745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7.5999999999999988</v>
      </c>
      <c r="N151" s="13">
        <f>IF('Données projet'!$A$36&gt;35,N150+M151-V150,IF(A151&lt;'Données projet'!$A$36,$K$205^A151,IF(A151='Données projet'!$A$36,'Données projet'!$B$36,N150+M151-V150)))</f>
        <v>436.96000000000049</v>
      </c>
      <c r="O151" s="13">
        <f>N151*VLOOKUP('Données projet'!$B$9,Paramètres!$A$1:$I$89,3,0)*VLOOKUP('Données projet'!$B$9,Paramètres!$A$1:$I$89,5,0)</f>
        <v>395.36140800000044</v>
      </c>
      <c r="P151" s="13">
        <f t="shared" si="141"/>
        <v>90.835624431167318</v>
      </c>
      <c r="Q151" s="20">
        <f t="shared" si="108"/>
        <v>846.79316481761714</v>
      </c>
      <c r="R151" s="59">
        <f t="shared" si="109"/>
        <v>1140.1264981509505</v>
      </c>
      <c r="S151" s="59">
        <f ca="1">AVERAGE(OFFSET($R$3,0,0,'Données projet'!$E$9+1,1))-AVERAGE(OFFSET($H$3,0,0,'Données projet'!$E$9+1,1))</f>
        <v>298.01613436147056</v>
      </c>
      <c r="T151" s="59">
        <f t="shared" si="142"/>
        <v>212.70221374431253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39.389622048407197</v>
      </c>
      <c r="AA151" s="21">
        <f>EXP(-LN(2)/25)*AA150+(1-EXP(-LN(2)/25))/(LN(2)/25)*Calculateur!V151*Calculateur!X151*VLOOKUP('Données projet'!$B$9,Paramètres!$A$1:$I$89,3,0)*0.475*44/12</f>
        <v>16.166708257916973</v>
      </c>
      <c r="AB151" s="21">
        <f>EXP(-LN(2)/2)*AB150+(1-EXP(-LN(2)/2))/(LN(2)/2)*V151*Y151*VLOOKUP('Données projet'!$B$9,Paramètres!$A$1:$I$89,3,0)*0.475*44/12</f>
        <v>8.3766925944671493E-7</v>
      </c>
      <c r="AC151" s="22">
        <f t="shared" si="111"/>
        <v>55.556331143993432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3.177547114319168E-13</v>
      </c>
      <c r="AK151" s="13">
        <f t="shared" si="143"/>
        <v>4.1725404435445377E-12</v>
      </c>
      <c r="AL151" s="20">
        <f t="shared" si="112"/>
        <v>7.820597394917325E-12</v>
      </c>
      <c r="AM151" s="59">
        <f t="shared" si="113"/>
        <v>293.33333333334116</v>
      </c>
      <c r="AN151" s="59">
        <f ca="1">AVERAGE(OFFSET($AM$3,0,0,'Données projet'!$E$10+1,1))-AVERAGE(OFFSET($H$3,0,0,'Données projet'!$E$10+1,1))</f>
        <v>287.413090017863</v>
      </c>
      <c r="AO151" s="59">
        <f t="shared" si="144"/>
        <v>258.48456031927117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49.234830698204924</v>
      </c>
      <c r="AV151" s="21">
        <f>EXP(-LN(2)/25)*AV150+(1-EXP(-LN(2)/25))/(LN(2)/25)*Calculateur!AQ151*Calculateur!AS151*VLOOKUP('Données projet'!$B$10,Paramètres!$A$1:$I$89,3,0)*0.475*44/12</f>
        <v>8.8288951468558263</v>
      </c>
      <c r="AW151" s="21">
        <f>EXP(-LN(2)/2)*AW150+(1-EXP(-LN(2)/2))/(LN(2)/2)*AQ151*AT151*VLOOKUP('Données projet'!$B$10,Paramètres!$A$1:$I$89,3,0)*0.475*44/12</f>
        <v>1.3734374865238334E-10</v>
      </c>
      <c r="AX151" s="21">
        <f t="shared" si="114"/>
        <v>58.063725845198093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243.33915530322201</v>
      </c>
      <c r="BJ151" s="59">
        <f t="shared" si="146"/>
        <v>247.73814704672577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13.520583781496388</v>
      </c>
      <c r="BQ151" s="21">
        <f>EXP(-LN(2)/25)*BQ150+(1-EXP(-LN(2)/25))/(LN(2)/25)*Calculateur!BL151*Calculateur!BN151*VLOOKUP('Données projet'!$B$11,Paramètres!$A$1:$I$89,3,0)*0.475*44/12</f>
        <v>7.7896288582188085</v>
      </c>
      <c r="BR151" s="21">
        <f>EXP(-LN(2)/2)*BR150+(1-EXP(-LN(2)/2))/(LN(2)/2)*BL151*BO151*VLOOKUP('Données projet'!$B$11,Paramètres!$A$1:$I$89,3,0)*0.475*44/12</f>
        <v>3.6333990984364268E-9</v>
      </c>
      <c r="BS151" s="22">
        <f t="shared" si="117"/>
        <v>21.310212643348596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444.56</v>
      </c>
      <c r="L152" s="12">
        <f>VLOOKUP(A152,'Données projet'!$A$35:$I$55,9,0)</f>
        <v>7.5999999999999988</v>
      </c>
      <c r="M152" s="12">
        <f t="array" ref="M152">INDEX(L:L,MIN(IF(ISNUMBER(L152:L348),ROW(L152:L348),"")))</f>
        <v>7.5999999999999988</v>
      </c>
      <c r="N152" s="13">
        <f>IF('Données projet'!$A$36&gt;35,N151+M152-V151,IF(A152&lt;'Données projet'!$A$36,$K$205^A152,IF(A152='Données projet'!$A$36,'Données projet'!$B$36,N151+M152-V151)))</f>
        <v>444.56000000000051</v>
      </c>
      <c r="O152" s="13">
        <f>N152*VLOOKUP('Données projet'!$B$9,Paramètres!$A$1:$I$89,3,0)*VLOOKUP('Données projet'!$B$9,Paramètres!$A$1:$I$89,5,0)</f>
        <v>402.23788800000051</v>
      </c>
      <c r="P152" s="13">
        <f t="shared" si="141"/>
        <v>92.230215246448978</v>
      </c>
      <c r="Q152" s="20">
        <f t="shared" si="108"/>
        <v>861.1986131542327</v>
      </c>
      <c r="R152" s="59">
        <f t="shared" si="109"/>
        <v>1154.5319464875661</v>
      </c>
      <c r="S152" s="59">
        <f ca="1">AVERAGE(OFFSET($R$3,0,0,'Données projet'!$E$9+1,1))-AVERAGE(OFFSET($H$3,0,0,'Données projet'!$E$9+1,1))</f>
        <v>298.01613436147056</v>
      </c>
      <c r="T152" s="59">
        <f t="shared" si="142"/>
        <v>212.70221374431253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176.67000000000002</v>
      </c>
      <c r="W152" s="16">
        <f>IF(ISNA(VLOOKUP(A152,'Données projet'!$A$35:$I$55,5,0)),0%,VLOOKUP(A152,'Données projet'!$A$35:$I$55,5,0)*VLOOKUP('Données projet'!$B$9,Paramètres!$A$1:$I$89,7,0))</f>
        <v>0.19350000000000001</v>
      </c>
      <c r="X152" s="16">
        <f>IF(ISNA(VLOOKUP(A152,'Données projet'!$A$35:$I$55,6,0)),0%,VLOOKUP(A152,'Données projet'!$A$35:$I$55,6,0)*VLOOKUP('Données projet'!$B$9,Paramètres!$A$1:$I$89,7,0))</f>
        <v>2.1500000000000002E-2</v>
      </c>
      <c r="Y152" s="16">
        <f>IF(ISNA(VLOOKUP(A152,'Données projet'!$A$35:$I$55,7,0)),0%,VLOOKUP(A152,'Données projet'!$A$35:$I$55,7,0))</f>
        <v>0.05</v>
      </c>
      <c r="Z152" s="21">
        <f>EXP(-LN(2)/35)*Z151+(1-EXP(-LN(2)/35))/(LN(2)/35)*V152*W152*VLOOKUP('Données projet'!$B$9,Paramètres!$A$1:$I$89,3,0)*0.475*44/12</f>
        <v>72.810709588964016</v>
      </c>
      <c r="AA152" s="21">
        <f>EXP(-LN(2)/25)*AA151+(1-EXP(-LN(2)/25))/(LN(2)/25)*Calculateur!V152*Calculateur!X152*VLOOKUP('Données projet'!$B$9,Paramètres!$A$1:$I$89,3,0)*0.475*44/12</f>
        <v>19.508946680322214</v>
      </c>
      <c r="AB152" s="21">
        <f>EXP(-LN(2)/2)*AB151+(1-EXP(-LN(2)/2))/(LN(2)/2)*V152*Y152*VLOOKUP('Données projet'!$B$9,Paramètres!$A$1:$I$89,3,0)*0.475*44/12</f>
        <v>7.5411873884724425</v>
      </c>
      <c r="AC152" s="22">
        <f t="shared" si="111"/>
        <v>99.860843657758664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3.177547114319168E-13</v>
      </c>
      <c r="AK152" s="13">
        <f t="shared" si="143"/>
        <v>4.1725404435445377E-12</v>
      </c>
      <c r="AL152" s="20">
        <f t="shared" si="112"/>
        <v>7.820597394917325E-12</v>
      </c>
      <c r="AM152" s="59">
        <f t="shared" si="113"/>
        <v>293.33333333334116</v>
      </c>
      <c r="AN152" s="59">
        <f ca="1">AVERAGE(OFFSET($AM$3,0,0,'Données projet'!$E$10+1,1))-AVERAGE(OFFSET($H$3,0,0,'Données projet'!$E$10+1,1))</f>
        <v>287.413090017863</v>
      </c>
      <c r="AO152" s="59">
        <f t="shared" si="144"/>
        <v>258.48456031927117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48.26936569849461</v>
      </c>
      <c r="AV152" s="21">
        <f>EXP(-LN(2)/25)*AV151+(1-EXP(-LN(2)/25))/(LN(2)/25)*Calculateur!AQ152*Calculateur!AS152*VLOOKUP('Données projet'!$B$10,Paramètres!$A$1:$I$89,3,0)*0.475*44/12</f>
        <v>8.5874685447736372</v>
      </c>
      <c r="AW152" s="21">
        <f>EXP(-LN(2)/2)*AW151+(1-EXP(-LN(2)/2))/(LN(2)/2)*AQ152*AT152*VLOOKUP('Données projet'!$B$10,Paramètres!$A$1:$I$89,3,0)*0.475*44/12</f>
        <v>9.7116696025681013E-11</v>
      </c>
      <c r="AX152" s="21">
        <f t="shared" si="114"/>
        <v>56.856834243365363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243.33915530322201</v>
      </c>
      <c r="BJ152" s="59">
        <f t="shared" si="146"/>
        <v>247.73814704672577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13.255453380283052</v>
      </c>
      <c r="BQ152" s="21">
        <f>EXP(-LN(2)/25)*BQ151+(1-EXP(-LN(2)/25))/(LN(2)/25)*Calculateur!BL152*Calculateur!BN152*VLOOKUP('Données projet'!$B$11,Paramètres!$A$1:$I$89,3,0)*0.475*44/12</f>
        <v>7.5766210474520372</v>
      </c>
      <c r="BR152" s="21">
        <f>EXP(-LN(2)/2)*BR151+(1-EXP(-LN(2)/2))/(LN(2)/2)*BL152*BO152*VLOOKUP('Données projet'!$B$11,Paramètres!$A$1:$I$89,3,0)*0.475*44/12</f>
        <v>2.5692011412614855E-9</v>
      </c>
      <c r="BS152" s="22">
        <f t="shared" si="117"/>
        <v>20.832074430304292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4.6025000000000063</v>
      </c>
      <c r="N153" s="13">
        <f>IF('Données projet'!$A$36&gt;35,N152+M153-V152,IF(A153&lt;'Données projet'!$A$36,$K$205^A153,IF(A153='Données projet'!$A$36,'Données projet'!$B$36,N152+M153-V152)))</f>
        <v>272.49250000000052</v>
      </c>
      <c r="O153" s="13">
        <f>N153*VLOOKUP('Données projet'!$B$9,Paramètres!$A$1:$I$89,3,0)*VLOOKUP('Données projet'!$B$9,Paramètres!$A$1:$I$89,5,0)</f>
        <v>246.55121400000044</v>
      </c>
      <c r="P153" s="13">
        <f t="shared" si="141"/>
        <v>59.846839241174408</v>
      </c>
      <c r="Q153" s="20">
        <f t="shared" si="108"/>
        <v>533.64327606171275</v>
      </c>
      <c r="R153" s="59">
        <f t="shared" si="109"/>
        <v>826.97660939504613</v>
      </c>
      <c r="S153" s="59">
        <f ca="1">AVERAGE(OFFSET($R$3,0,0,'Données projet'!$E$9+1,1))-AVERAGE(OFFSET($H$3,0,0,'Données projet'!$E$9+1,1))</f>
        <v>298.01613436147056</v>
      </c>
      <c r="T153" s="59">
        <f t="shared" si="142"/>
        <v>212.70221374431253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71.382935984072148</v>
      </c>
      <c r="AA153" s="21">
        <f>EXP(-LN(2)/25)*AA152+(1-EXP(-LN(2)/25))/(LN(2)/25)*Calculateur!V153*Calculateur!X153*VLOOKUP('Données projet'!$B$9,Paramètres!$A$1:$I$89,3,0)*0.475*44/12</f>
        <v>18.975473507417885</v>
      </c>
      <c r="AB153" s="21">
        <f>EXP(-LN(2)/2)*AB152+(1-EXP(-LN(2)/2))/(LN(2)/2)*V153*Y153*VLOOKUP('Données projet'!$B$9,Paramètres!$A$1:$I$89,3,0)*0.475*44/12</f>
        <v>5.332424740587336</v>
      </c>
      <c r="AC153" s="22">
        <f t="shared" si="111"/>
        <v>95.690834232077378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3.177547114319168E-13</v>
      </c>
      <c r="AK153" s="13">
        <f t="shared" si="143"/>
        <v>4.1725404435445377E-12</v>
      </c>
      <c r="AL153" s="20">
        <f t="shared" si="112"/>
        <v>7.820597394917325E-12</v>
      </c>
      <c r="AM153" s="59">
        <f t="shared" si="113"/>
        <v>293.33333333334116</v>
      </c>
      <c r="AN153" s="59">
        <f ca="1">AVERAGE(OFFSET($AM$3,0,0,'Données projet'!$E$10+1,1))-AVERAGE(OFFSET($H$3,0,0,'Données projet'!$E$10+1,1))</f>
        <v>287.413090017863</v>
      </c>
      <c r="AO153" s="59">
        <f t="shared" si="144"/>
        <v>258.48456031927117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47.322832878553108</v>
      </c>
      <c r="AV153" s="21">
        <f>EXP(-LN(2)/25)*AV152+(1-EXP(-LN(2)/25))/(LN(2)/25)*Calculateur!AQ153*Calculateur!AS153*VLOOKUP('Données projet'!$B$10,Paramètres!$A$1:$I$89,3,0)*0.475*44/12</f>
        <v>8.3526437658214583</v>
      </c>
      <c r="AW153" s="21">
        <f>EXP(-LN(2)/2)*AW152+(1-EXP(-LN(2)/2))/(LN(2)/2)*AQ153*AT153*VLOOKUP('Données projet'!$B$10,Paramètres!$A$1:$I$89,3,0)*0.475*44/12</f>
        <v>6.8671874326191672E-11</v>
      </c>
      <c r="AX153" s="21">
        <f t="shared" si="114"/>
        <v>55.675476644443243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243.33915530322201</v>
      </c>
      <c r="BJ153" s="59">
        <f t="shared" si="146"/>
        <v>247.73814704672577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12.995522024523934</v>
      </c>
      <c r="BQ153" s="21">
        <f>EXP(-LN(2)/25)*BQ152+(1-EXP(-LN(2)/25))/(LN(2)/25)*Calculateur!BL153*Calculateur!BN153*VLOOKUP('Données projet'!$B$11,Paramètres!$A$1:$I$89,3,0)*0.475*44/12</f>
        <v>7.369437946472277</v>
      </c>
      <c r="BR153" s="21">
        <f>EXP(-LN(2)/2)*BR152+(1-EXP(-LN(2)/2))/(LN(2)/2)*BL153*BO153*VLOOKUP('Données projet'!$B$11,Paramètres!$A$1:$I$89,3,0)*0.475*44/12</f>
        <v>1.8166995492182134E-9</v>
      </c>
      <c r="BS153" s="22">
        <f t="shared" si="117"/>
        <v>20.364959972812908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4.6025000000000063</v>
      </c>
      <c r="N154" s="13">
        <f>IF('Données projet'!$A$36&gt;35,N153+M154-V153,IF(A154&lt;'Données projet'!$A$36,$K$205^A154,IF(A154='Données projet'!$A$36,'Données projet'!$B$36,N153+M154-V153)))</f>
        <v>277.09500000000054</v>
      </c>
      <c r="O154" s="13">
        <f>N154*VLOOKUP('Données projet'!$B$9,Paramètres!$A$1:$I$89,3,0)*VLOOKUP('Données projet'!$B$9,Paramètres!$A$1:$I$89,5,0)</f>
        <v>250.71555600000048</v>
      </c>
      <c r="P154" s="13">
        <f t="shared" si="141"/>
        <v>60.739140902774786</v>
      </c>
      <c r="Q154" s="20">
        <f t="shared" ref="Q154:Q203" si="162">(O154+P154)*0.475*44/12</f>
        <v>542.45026377233353</v>
      </c>
      <c r="R154" s="59">
        <f t="shared" si="109"/>
        <v>835.78359710566679</v>
      </c>
      <c r="S154" s="59">
        <f ca="1">AVERAGE(OFFSET($R$3,0,0,'Données projet'!$E$9+1,1))-AVERAGE(OFFSET($H$3,0,0,'Données projet'!$E$9+1,1))</f>
        <v>298.01613436147056</v>
      </c>
      <c r="T154" s="59">
        <f t="shared" si="142"/>
        <v>212.70221374431253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69.983160148716294</v>
      </c>
      <c r="AA154" s="21">
        <f>EXP(-LN(2)/25)*AA153+(1-EXP(-LN(2)/25))/(LN(2)/25)*Calculateur!V154*Calculateur!X154*VLOOKUP('Données projet'!$B$9,Paramètres!$A$1:$I$89,3,0)*0.475*44/12</f>
        <v>18.456588186480761</v>
      </c>
      <c r="AB154" s="21">
        <f>EXP(-LN(2)/2)*AB153+(1-EXP(-LN(2)/2))/(LN(2)/2)*V154*Y154*VLOOKUP('Données projet'!$B$9,Paramètres!$A$1:$I$89,3,0)*0.475*44/12</f>
        <v>3.7705936942362221</v>
      </c>
      <c r="AC154" s="22">
        <f t="shared" ref="AC154:AC203" si="163">SUM(Z154:AB154)</f>
        <v>92.210342029433278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3.177547114319168E-13</v>
      </c>
      <c r="AK154" s="13">
        <f t="shared" ref="AK154:AK203" si="164">EXP(-1.0587+0.8836*LN(AJ154)+0.284)</f>
        <v>4.1725404435445377E-12</v>
      </c>
      <c r="AL154" s="20">
        <f t="shared" ref="AL154:AL203" si="165">(AJ154+AK154)*0.475*44/12</f>
        <v>7.820597394917325E-12</v>
      </c>
      <c r="AM154" s="59">
        <f t="shared" si="113"/>
        <v>293.33333333334116</v>
      </c>
      <c r="AN154" s="59">
        <f ca="1">AVERAGE(OFFSET($AM$3,0,0,'Données projet'!$E$10+1,1))-AVERAGE(OFFSET($H$3,0,0,'Données projet'!$E$10+1,1))</f>
        <v>287.413090017863</v>
      </c>
      <c r="AO154" s="59">
        <f t="shared" si="144"/>
        <v>258.48456031927117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46.394860989882645</v>
      </c>
      <c r="AV154" s="21">
        <f>EXP(-LN(2)/25)*AV153+(1-EXP(-LN(2)/25))/(LN(2)/25)*Calculateur!AQ154*Calculateur!AS154*VLOOKUP('Données projet'!$B$10,Paramètres!$A$1:$I$89,3,0)*0.475*44/12</f>
        <v>8.1242402827986258</v>
      </c>
      <c r="AW154" s="21">
        <f>EXP(-LN(2)/2)*AW153+(1-EXP(-LN(2)/2))/(LN(2)/2)*AQ154*AT154*VLOOKUP('Données projet'!$B$10,Paramètres!$A$1:$I$89,3,0)*0.475*44/12</f>
        <v>4.8558348012840507E-11</v>
      </c>
      <c r="AX154" s="21">
        <f t="shared" ref="AX154:AX203" si="166">SUM(AU154:AW154)</f>
        <v>54.519101272729827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243.33915530322201</v>
      </c>
      <c r="BJ154" s="59">
        <f t="shared" si="146"/>
        <v>247.73814704672577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12.740687764108779</v>
      </c>
      <c r="BQ154" s="21">
        <f>EXP(-LN(2)/25)*BQ153+(1-EXP(-LN(2)/25))/(LN(2)/25)*Calculateur!BL154*Calculateur!BN154*VLOOKUP('Données projet'!$B$11,Paramètres!$A$1:$I$89,3,0)*0.475*44/12</f>
        <v>7.1679202782840941</v>
      </c>
      <c r="BR154" s="21">
        <f>EXP(-LN(2)/2)*BR153+(1-EXP(-LN(2)/2))/(LN(2)/2)*BL154*BO154*VLOOKUP('Données projet'!$B$11,Paramètres!$A$1:$I$89,3,0)*0.475*44/12</f>
        <v>1.2846005706307427E-9</v>
      </c>
      <c r="BS154" s="22">
        <f t="shared" ref="BS154:BS203" si="169">SUM(BP154:BR154)</f>
        <v>19.908608043677475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4.6025000000000063</v>
      </c>
      <c r="N155" s="13">
        <f>IF('Données projet'!$A$36&gt;35,N154+M155-V154,IF(A155&lt;'Données projet'!$A$36,$K$205^A155,IF(A155='Données projet'!$A$36,'Données projet'!$B$36,N154+M155-V154)))</f>
        <v>281.69750000000056</v>
      </c>
      <c r="O155" s="13">
        <f>N155*VLOOKUP('Données projet'!$B$9,Paramètres!$A$1:$I$89,3,0)*VLOOKUP('Données projet'!$B$9,Paramètres!$A$1:$I$89,5,0)</f>
        <v>254.87989800000048</v>
      </c>
      <c r="P155" s="13">
        <f t="shared" si="141"/>
        <v>61.629718985583246</v>
      </c>
      <c r="Q155" s="20">
        <f t="shared" si="162"/>
        <v>551.25424958322492</v>
      </c>
      <c r="R155" s="59">
        <f t="shared" si="109"/>
        <v>844.58758291655818</v>
      </c>
      <c r="S155" s="59">
        <f ca="1">AVERAGE(OFFSET($R$3,0,0,'Données projet'!$E$9+1,1))-AVERAGE(OFFSET($H$3,0,0,'Données projet'!$E$9+1,1))</f>
        <v>298.01613436147056</v>
      </c>
      <c r="T155" s="59">
        <f t="shared" si="142"/>
        <v>212.70221374431253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68.610833063712818</v>
      </c>
      <c r="AA155" s="21">
        <f>EXP(-LN(2)/25)*AA154+(1-EXP(-LN(2)/25))/(LN(2)/25)*Calculateur!V155*Calculateur!X155*VLOOKUP('Données projet'!$B$9,Paramètres!$A$1:$I$89,3,0)*0.475*44/12</f>
        <v>17.951891811931656</v>
      </c>
      <c r="AB155" s="21">
        <f>EXP(-LN(2)/2)*AB154+(1-EXP(-LN(2)/2))/(LN(2)/2)*V155*Y155*VLOOKUP('Données projet'!$B$9,Paramètres!$A$1:$I$89,3,0)*0.475*44/12</f>
        <v>2.6662123702936684</v>
      </c>
      <c r="AC155" s="22">
        <f t="shared" si="163"/>
        <v>89.228937245938141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3.177547114319168E-13</v>
      </c>
      <c r="AK155" s="13">
        <f t="shared" si="164"/>
        <v>4.1725404435445377E-12</v>
      </c>
      <c r="AL155" s="20">
        <f t="shared" si="165"/>
        <v>7.820597394917325E-12</v>
      </c>
      <c r="AM155" s="59">
        <f t="shared" si="113"/>
        <v>293.33333333334116</v>
      </c>
      <c r="AN155" s="59">
        <f ca="1">AVERAGE(OFFSET($AM$3,0,0,'Données projet'!$E$10+1,1))-AVERAGE(OFFSET($H$3,0,0,'Données projet'!$E$10+1,1))</f>
        <v>287.413090017863</v>
      </c>
      <c r="AO155" s="59">
        <f t="shared" si="144"/>
        <v>258.48456031927117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45.485086063942049</v>
      </c>
      <c r="AV155" s="21">
        <f>EXP(-LN(2)/25)*AV154+(1-EXP(-LN(2)/25))/(LN(2)/25)*Calculateur!AQ155*Calculateur!AS155*VLOOKUP('Données projet'!$B$10,Paramètres!$A$1:$I$89,3,0)*0.475*44/12</f>
        <v>7.9020825050302692</v>
      </c>
      <c r="AW155" s="21">
        <f>EXP(-LN(2)/2)*AW154+(1-EXP(-LN(2)/2))/(LN(2)/2)*AQ155*AT155*VLOOKUP('Données projet'!$B$10,Paramètres!$A$1:$I$89,3,0)*0.475*44/12</f>
        <v>3.4335937163095836E-11</v>
      </c>
      <c r="AX155" s="21">
        <f t="shared" si="166"/>
        <v>53.387168569006654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243.33915530322201</v>
      </c>
      <c r="BJ155" s="59">
        <f t="shared" si="146"/>
        <v>247.73814704672577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12.490850648106814</v>
      </c>
      <c r="BQ155" s="21">
        <f>EXP(-LN(2)/25)*BQ154+(1-EXP(-LN(2)/25))/(LN(2)/25)*Calculateur!BL155*Calculateur!BN155*VLOOKUP('Données projet'!$B$11,Paramètres!$A$1:$I$89,3,0)*0.475*44/12</f>
        <v>6.9719131213298704</v>
      </c>
      <c r="BR155" s="21">
        <f>EXP(-LN(2)/2)*BR154+(1-EXP(-LN(2)/2))/(LN(2)/2)*BL155*BO155*VLOOKUP('Données projet'!$B$11,Paramètres!$A$1:$I$89,3,0)*0.475*44/12</f>
        <v>9.083497746091067E-10</v>
      </c>
      <c r="BS155" s="22">
        <f t="shared" si="169"/>
        <v>19.462763770345035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286.3</v>
      </c>
      <c r="L156" s="12">
        <f>VLOOKUP(A156,'Données projet'!$A$35:$I$55,9,0)</f>
        <v>4.6025000000000063</v>
      </c>
      <c r="M156" s="12">
        <f t="array" ref="M156">INDEX(L:L,MIN(IF(ISNUMBER(L156:L352),ROW(L156:L352),"")))</f>
        <v>4.6025000000000063</v>
      </c>
      <c r="N156" s="13">
        <f>IF('Données projet'!$A$36&gt;35,N155+M156-V155,IF(A156&lt;'Données projet'!$A$36,$K$205^A156,IF(A156='Données projet'!$A$36,'Données projet'!$B$36,N155+M156-V155)))</f>
        <v>286.30000000000058</v>
      </c>
      <c r="O156" s="13">
        <f>N156*VLOOKUP('Données projet'!$B$9,Paramètres!$A$1:$I$89,3,0)*VLOOKUP('Données projet'!$B$9,Paramètres!$A$1:$I$89,5,0)</f>
        <v>259.04424000000051</v>
      </c>
      <c r="P156" s="13">
        <f t="shared" si="141"/>
        <v>62.518604901036426</v>
      </c>
      <c r="Q156" s="20">
        <f t="shared" si="162"/>
        <v>560.0552882026393</v>
      </c>
      <c r="R156" s="59">
        <f t="shared" si="109"/>
        <v>853.38862153597256</v>
      </c>
      <c r="S156" s="59">
        <f ca="1">AVERAGE(OFFSET($R$3,0,0,'Données projet'!$E$9+1,1))-AVERAGE(OFFSET($H$3,0,0,'Données projet'!$E$9+1,1))</f>
        <v>298.01613436147056</v>
      </c>
      <c r="T156" s="59">
        <f t="shared" si="142"/>
        <v>212.70221374431253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102.89000000000001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87.179202619655996</v>
      </c>
      <c r="AA156" s="21">
        <f>EXP(-LN(2)/25)*AA155+(1-EXP(-LN(2)/25))/(LN(2)/25)*Calculateur!V156*Calculateur!X156*VLOOKUP('Données projet'!$B$9,Paramètres!$A$1:$I$89,3,0)*0.475*44/12</f>
        <v>19.664927272957744</v>
      </c>
      <c r="AB156" s="21">
        <f>EXP(-LN(2)/2)*AB155+(1-EXP(-LN(2)/2))/(LN(2)/2)*V156*Y156*VLOOKUP('Données projet'!$B$9,Paramètres!$A$1:$I$89,3,0)*0.475*44/12</f>
        <v>6.2771727143052889</v>
      </c>
      <c r="AC156" s="22">
        <f t="shared" si="163"/>
        <v>113.12130260691903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3.177547114319168E-13</v>
      </c>
      <c r="AK156" s="13">
        <f t="shared" si="164"/>
        <v>4.1725404435445377E-12</v>
      </c>
      <c r="AL156" s="20">
        <f t="shared" si="165"/>
        <v>7.820597394917325E-12</v>
      </c>
      <c r="AM156" s="59">
        <f t="shared" si="113"/>
        <v>293.33333333334116</v>
      </c>
      <c r="AN156" s="59">
        <f ca="1">AVERAGE(OFFSET($AM$3,0,0,'Données projet'!$E$10+1,1))-AVERAGE(OFFSET($H$3,0,0,'Données projet'!$E$10+1,1))</f>
        <v>287.413090017863</v>
      </c>
      <c r="AO156" s="59">
        <f t="shared" si="144"/>
        <v>258.48456031927117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44.593151269391235</v>
      </c>
      <c r="AV156" s="21">
        <f>EXP(-LN(2)/25)*AV155+(1-EXP(-LN(2)/25))/(LN(2)/25)*Calculateur!AQ156*Calculateur!AS156*VLOOKUP('Données projet'!$B$10,Paramètres!$A$1:$I$89,3,0)*0.475*44/12</f>
        <v>7.685999643377758</v>
      </c>
      <c r="AW156" s="21">
        <f>EXP(-LN(2)/2)*AW155+(1-EXP(-LN(2)/2))/(LN(2)/2)*AQ156*AT156*VLOOKUP('Données projet'!$B$10,Paramètres!$A$1:$I$89,3,0)*0.475*44/12</f>
        <v>2.4279174006420253E-11</v>
      </c>
      <c r="AX156" s="21">
        <f t="shared" si="166"/>
        <v>52.27915091279327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243.33915530322201</v>
      </c>
      <c r="BJ156" s="59">
        <f t="shared" si="146"/>
        <v>247.73814704672577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12.245912685564054</v>
      </c>
      <c r="BQ156" s="21">
        <f>EXP(-LN(2)/25)*BQ155+(1-EXP(-LN(2)/25))/(LN(2)/25)*Calculateur!BL156*Calculateur!BN156*VLOOKUP('Données projet'!$B$11,Paramètres!$A$1:$I$89,3,0)*0.475*44/12</f>
        <v>6.7812657903901288</v>
      </c>
      <c r="BR156" s="21">
        <f>EXP(-LN(2)/2)*BR155+(1-EXP(-LN(2)/2))/(LN(2)/2)*BL156*BO156*VLOOKUP('Données projet'!$B$11,Paramètres!$A$1:$I$89,3,0)*0.475*44/12</f>
        <v>6.4230028531537137E-10</v>
      </c>
      <c r="BS156" s="22">
        <f t="shared" si="169"/>
        <v>19.027178476596482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2.7775000000000034</v>
      </c>
      <c r="N157" s="13">
        <f>IF('Données projet'!$A$36&gt;35,N156+M157-V156,IF(A157&lt;'Données projet'!$A$36,$K$205^A157,IF(A157='Données projet'!$A$36,'Données projet'!$B$36,N156+M157-V156)))</f>
        <v>186.18750000000054</v>
      </c>
      <c r="O157" s="13">
        <f>N157*VLOOKUP('Données projet'!$B$9,Paramètres!$A$1:$I$89,3,0)*VLOOKUP('Données projet'!$B$9,Paramètres!$A$1:$I$89,5,0)</f>
        <v>168.4624500000005</v>
      </c>
      <c r="P157" s="13">
        <f t="shared" si="141"/>
        <v>42.745481653995263</v>
      </c>
      <c r="Q157" s="20">
        <f t="shared" si="162"/>
        <v>367.85381429737589</v>
      </c>
      <c r="R157" s="59">
        <f t="shared" si="109"/>
        <v>661.18714763070921</v>
      </c>
      <c r="S157" s="59">
        <f ca="1">AVERAGE(OFFSET($R$3,0,0,'Données projet'!$E$9+1,1))-AVERAGE(OFFSET($H$3,0,0,'Données projet'!$E$9+1,1))</f>
        <v>298.01613436147056</v>
      </c>
      <c r="T157" s="59">
        <f t="shared" si="142"/>
        <v>212.70221374431253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85.469671630347634</v>
      </c>
      <c r="AA157" s="21">
        <f>EXP(-LN(2)/25)*AA156+(1-EXP(-LN(2)/25))/(LN(2)/25)*Calculateur!V157*Calculateur!X157*VLOOKUP('Données projet'!$B$9,Paramètres!$A$1:$I$89,3,0)*0.475*44/12</f>
        <v>19.127188802545135</v>
      </c>
      <c r="AB157" s="21">
        <f>EXP(-LN(2)/2)*AB156+(1-EXP(-LN(2)/2))/(LN(2)/2)*V157*Y157*VLOOKUP('Données projet'!$B$9,Paramètres!$A$1:$I$89,3,0)*0.475*44/12</f>
        <v>4.438631392964437</v>
      </c>
      <c r="AC157" s="22">
        <f t="shared" si="163"/>
        <v>109.03549182585721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3.177547114319168E-13</v>
      </c>
      <c r="AK157" s="13">
        <f t="shared" si="164"/>
        <v>4.1725404435445377E-12</v>
      </c>
      <c r="AL157" s="20">
        <f t="shared" si="165"/>
        <v>7.820597394917325E-12</v>
      </c>
      <c r="AM157" s="59">
        <f t="shared" si="113"/>
        <v>293.33333333334116</v>
      </c>
      <c r="AN157" s="59">
        <f ca="1">AVERAGE(OFFSET($AM$3,0,0,'Données projet'!$E$10+1,1))-AVERAGE(OFFSET($H$3,0,0,'Données projet'!$E$10+1,1))</f>
        <v>287.413090017863</v>
      </c>
      <c r="AO157" s="59">
        <f t="shared" si="144"/>
        <v>258.48456031927117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43.718706772135057</v>
      </c>
      <c r="AV157" s="21">
        <f>EXP(-LN(2)/25)*AV156+(1-EXP(-LN(2)/25))/(LN(2)/25)*Calculateur!AQ157*Calculateur!AS157*VLOOKUP('Données projet'!$B$10,Paramètres!$A$1:$I$89,3,0)*0.475*44/12</f>
        <v>7.4758255789404382</v>
      </c>
      <c r="AW157" s="21">
        <f>EXP(-LN(2)/2)*AW156+(1-EXP(-LN(2)/2))/(LN(2)/2)*AQ157*AT157*VLOOKUP('Données projet'!$B$10,Paramètres!$A$1:$I$89,3,0)*0.475*44/12</f>
        <v>1.7167968581547918E-11</v>
      </c>
      <c r="AX157" s="21">
        <f t="shared" si="166"/>
        <v>51.194532351092661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243.33915530322201</v>
      </c>
      <c r="BJ157" s="59">
        <f t="shared" si="146"/>
        <v>247.73814704672577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12.005777807069352</v>
      </c>
      <c r="BQ157" s="21">
        <f>EXP(-LN(2)/25)*BQ156+(1-EXP(-LN(2)/25))/(LN(2)/25)*Calculateur!BL157*Calculateur!BN157*VLOOKUP('Données projet'!$B$11,Paramètres!$A$1:$I$89,3,0)*0.475*44/12</f>
        <v>6.5958317207406418</v>
      </c>
      <c r="BR157" s="21">
        <f>EXP(-LN(2)/2)*BR156+(1-EXP(-LN(2)/2))/(LN(2)/2)*BL157*BO157*VLOOKUP('Données projet'!$B$11,Paramètres!$A$1:$I$89,3,0)*0.475*44/12</f>
        <v>4.5417488730455335E-10</v>
      </c>
      <c r="BS157" s="22">
        <f t="shared" si="169"/>
        <v>18.60160952826417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2.7775000000000034</v>
      </c>
      <c r="N158" s="13">
        <f>IF('Données projet'!$A$36&gt;35,N157+M158-V157,IF(A158&lt;'Données projet'!$A$36,$K$205^A158,IF(A158='Données projet'!$A$36,'Données projet'!$B$36,N157+M158-V157)))</f>
        <v>188.96500000000054</v>
      </c>
      <c r="O158" s="13">
        <f>N158*VLOOKUP('Données projet'!$B$9,Paramètres!$A$1:$I$89,3,0)*VLOOKUP('Données projet'!$B$9,Paramètres!$A$1:$I$89,5,0)</f>
        <v>170.9755320000005</v>
      </c>
      <c r="P158" s="13">
        <f t="shared" si="141"/>
        <v>43.308437487586524</v>
      </c>
      <c r="Q158" s="20">
        <f t="shared" si="162"/>
        <v>373.21124685754739</v>
      </c>
      <c r="R158" s="59">
        <f t="shared" si="109"/>
        <v>666.54458019088065</v>
      </c>
      <c r="S158" s="59">
        <f ca="1">AVERAGE(OFFSET($R$3,0,0,'Données projet'!$E$9+1,1))-AVERAGE(OFFSET($H$3,0,0,'Données projet'!$E$9+1,1))</f>
        <v>298.01613436147056</v>
      </c>
      <c r="T158" s="59">
        <f t="shared" si="142"/>
        <v>212.70221374431253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83.793663501028661</v>
      </c>
      <c r="AA158" s="21">
        <f>EXP(-LN(2)/25)*AA157+(1-EXP(-LN(2)/25))/(LN(2)/25)*Calculateur!V158*Calculateur!X158*VLOOKUP('Données projet'!$B$9,Paramètres!$A$1:$I$89,3,0)*0.475*44/12</f>
        <v>18.604154818884396</v>
      </c>
      <c r="AB158" s="21">
        <f>EXP(-LN(2)/2)*AB157+(1-EXP(-LN(2)/2))/(LN(2)/2)*V158*Y158*VLOOKUP('Données projet'!$B$9,Paramètres!$A$1:$I$89,3,0)*0.475*44/12</f>
        <v>3.1385863571526449</v>
      </c>
      <c r="AC158" s="22">
        <f t="shared" si="163"/>
        <v>105.5364046770657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3.177547114319168E-13</v>
      </c>
      <c r="AK158" s="13">
        <f t="shared" si="164"/>
        <v>4.1725404435445377E-12</v>
      </c>
      <c r="AL158" s="20">
        <f t="shared" si="165"/>
        <v>7.820597394917325E-12</v>
      </c>
      <c r="AM158" s="59">
        <f t="shared" si="113"/>
        <v>293.33333333334116</v>
      </c>
      <c r="AN158" s="59">
        <f ca="1">AVERAGE(OFFSET($AM$3,0,0,'Données projet'!$E$10+1,1))-AVERAGE(OFFSET($H$3,0,0,'Données projet'!$E$10+1,1))</f>
        <v>287.413090017863</v>
      </c>
      <c r="AO158" s="59">
        <f t="shared" si="144"/>
        <v>258.48456031927117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42.861409598111592</v>
      </c>
      <c r="AV158" s="21">
        <f>EXP(-LN(2)/25)*AV157+(1-EXP(-LN(2)/25))/(LN(2)/25)*Calculateur!AQ158*Calculateur!AS158*VLOOKUP('Données projet'!$B$10,Paramètres!$A$1:$I$89,3,0)*0.475*44/12</f>
        <v>7.2713987353477307</v>
      </c>
      <c r="AW158" s="21">
        <f>EXP(-LN(2)/2)*AW157+(1-EXP(-LN(2)/2))/(LN(2)/2)*AQ158*AT158*VLOOKUP('Données projet'!$B$10,Paramètres!$A$1:$I$89,3,0)*0.475*44/12</f>
        <v>1.2139587003210127E-11</v>
      </c>
      <c r="AX158" s="21">
        <f t="shared" si="166"/>
        <v>50.132808333471459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243.33915530322201</v>
      </c>
      <c r="BJ158" s="59">
        <f t="shared" si="146"/>
        <v>247.73814704672577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11.770351827074117</v>
      </c>
      <c r="BQ158" s="21">
        <f>EXP(-LN(2)/25)*BQ157+(1-EXP(-LN(2)/25))/(LN(2)/25)*Calculateur!BL158*Calculateur!BN158*VLOOKUP('Données projet'!$B$11,Paramètres!$A$1:$I$89,3,0)*0.475*44/12</f>
        <v>6.415468355477274</v>
      </c>
      <c r="BR158" s="21">
        <f>EXP(-LN(2)/2)*BR157+(1-EXP(-LN(2)/2))/(LN(2)/2)*BL158*BO158*VLOOKUP('Données projet'!$B$11,Paramètres!$A$1:$I$89,3,0)*0.475*44/12</f>
        <v>3.2115014265768568E-10</v>
      </c>
      <c r="BS158" s="22">
        <f t="shared" si="169"/>
        <v>18.185820182872543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2.7775000000000034</v>
      </c>
      <c r="N159" s="13">
        <f>IF('Données projet'!$A$36&gt;35,N158+M159-V158,IF(A159&lt;'Données projet'!$A$36,$K$205^A159,IF(A159='Données projet'!$A$36,'Données projet'!$B$36,N158+M159-V158)))</f>
        <v>191.74250000000055</v>
      </c>
      <c r="O159" s="13">
        <f>N159*VLOOKUP('Données projet'!$B$9,Paramètres!$A$1:$I$89,3,0)*VLOOKUP('Données projet'!$B$9,Paramètres!$A$1:$I$89,5,0)</f>
        <v>173.4886140000005</v>
      </c>
      <c r="P159" s="13">
        <f t="shared" si="141"/>
        <v>43.870430944544125</v>
      </c>
      <c r="Q159" s="20">
        <f t="shared" si="162"/>
        <v>378.56700327841526</v>
      </c>
      <c r="R159" s="59">
        <f t="shared" si="109"/>
        <v>671.90033661174857</v>
      </c>
      <c r="S159" s="59">
        <f ca="1">AVERAGE(OFFSET($R$3,0,0,'Données projet'!$E$9+1,1))-AVERAGE(OFFSET($H$3,0,0,'Données projet'!$E$9+1,1))</f>
        <v>298.01613436147056</v>
      </c>
      <c r="T159" s="59">
        <f t="shared" si="142"/>
        <v>212.70221374431253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82.150520868861619</v>
      </c>
      <c r="AA159" s="21">
        <f>EXP(-LN(2)/25)*AA158+(1-EXP(-LN(2)/25))/(LN(2)/25)*Calculateur!V159*Calculateur!X159*VLOOKUP('Données projet'!$B$9,Paramètres!$A$1:$I$89,3,0)*0.475*44/12</f>
        <v>18.09542322701202</v>
      </c>
      <c r="AB159" s="21">
        <f>EXP(-LN(2)/2)*AB158+(1-EXP(-LN(2)/2))/(LN(2)/2)*V159*Y159*VLOOKUP('Données projet'!$B$9,Paramètres!$A$1:$I$89,3,0)*0.475*44/12</f>
        <v>2.2193156964822189</v>
      </c>
      <c r="AC159" s="22">
        <f t="shared" si="163"/>
        <v>102.46525979235585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3.177547114319168E-13</v>
      </c>
      <c r="AK159" s="13">
        <f t="shared" si="164"/>
        <v>4.1725404435445377E-12</v>
      </c>
      <c r="AL159" s="20">
        <f t="shared" si="165"/>
        <v>7.820597394917325E-12</v>
      </c>
      <c r="AM159" s="59">
        <f t="shared" si="113"/>
        <v>293.33333333334116</v>
      </c>
      <c r="AN159" s="59">
        <f ca="1">AVERAGE(OFFSET($AM$3,0,0,'Données projet'!$E$10+1,1))-AVERAGE(OFFSET($H$3,0,0,'Données projet'!$E$10+1,1))</f>
        <v>287.413090017863</v>
      </c>
      <c r="AO159" s="59">
        <f t="shared" si="144"/>
        <v>258.48456031927117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42.020923498771083</v>
      </c>
      <c r="AV159" s="21">
        <f>EXP(-LN(2)/25)*AV158+(1-EXP(-LN(2)/25))/(LN(2)/25)*Calculateur!AQ159*Calculateur!AS159*VLOOKUP('Données projet'!$B$10,Paramètres!$A$1:$I$89,3,0)*0.475*44/12</f>
        <v>7.0725619545434064</v>
      </c>
      <c r="AW159" s="21">
        <f>EXP(-LN(2)/2)*AW158+(1-EXP(-LN(2)/2))/(LN(2)/2)*AQ159*AT159*VLOOKUP('Données projet'!$B$10,Paramètres!$A$1:$I$89,3,0)*0.475*44/12</f>
        <v>8.583984290773959E-12</v>
      </c>
      <c r="AX159" s="21">
        <f t="shared" si="166"/>
        <v>49.093485453323069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243.33915530322201</v>
      </c>
      <c r="BJ159" s="59">
        <f t="shared" si="146"/>
        <v>247.73814704672577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11.53954240695092</v>
      </c>
      <c r="BQ159" s="21">
        <f>EXP(-LN(2)/25)*BQ158+(1-EXP(-LN(2)/25))/(LN(2)/25)*Calculateur!BL159*Calculateur!BN159*VLOOKUP('Données projet'!$B$11,Paramètres!$A$1:$I$89,3,0)*0.475*44/12</f>
        <v>6.2400370359219295</v>
      </c>
      <c r="BR159" s="21">
        <f>EXP(-LN(2)/2)*BR158+(1-EXP(-LN(2)/2))/(LN(2)/2)*BL159*BO159*VLOOKUP('Données projet'!$B$11,Paramètres!$A$1:$I$89,3,0)*0.475*44/12</f>
        <v>2.2708744365227668E-10</v>
      </c>
      <c r="BS159" s="22">
        <f t="shared" si="169"/>
        <v>17.779579443099937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194.52</v>
      </c>
      <c r="L160" s="12">
        <f>VLOOKUP(A160,'Données projet'!$A$35:$I$55,9,0)</f>
        <v>2.7775000000000034</v>
      </c>
      <c r="M160" s="12">
        <f t="array" ref="M160">INDEX(L:L,MIN(IF(ISNUMBER(L160:L356),ROW(L160:L356),"")))</f>
        <v>2.7775000000000034</v>
      </c>
      <c r="N160" s="13">
        <f>IF('Données projet'!$A$36&gt;35,N159+M160-V159,IF(A160&lt;'Données projet'!$A$36,$K$205^A160,IF(A160='Données projet'!$A$36,'Données projet'!$B$36,N159+M160-V159)))</f>
        <v>194.52000000000055</v>
      </c>
      <c r="O160" s="13">
        <f>N160*VLOOKUP('Données projet'!$B$9,Paramètres!$A$1:$I$89,3,0)*VLOOKUP('Données projet'!$B$9,Paramètres!$A$1:$I$89,5,0)</f>
        <v>176.00169600000049</v>
      </c>
      <c r="P160" s="13">
        <f t="shared" si="141"/>
        <v>44.431477576109785</v>
      </c>
      <c r="Q160" s="20">
        <f t="shared" si="162"/>
        <v>383.92111064505872</v>
      </c>
      <c r="R160" s="59">
        <f t="shared" si="109"/>
        <v>677.25444397839203</v>
      </c>
      <c r="S160" s="59">
        <f ca="1">AVERAGE(OFFSET($R$3,0,0,'Données projet'!$E$9+1,1))-AVERAGE(OFFSET($H$3,0,0,'Données projet'!$E$9+1,1))</f>
        <v>298.01613436147056</v>
      </c>
      <c r="T160" s="59">
        <f t="shared" si="142"/>
        <v>212.70221374431253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67.13000000000001</v>
      </c>
      <c r="W160" s="16">
        <f>IF(ISNA(VLOOKUP(A160,'Données projet'!$A$35:$I$55,5,0)),0%,VLOOKUP(A160,'Données projet'!$A$35:$I$55,5,0)*VLOOKUP('Données projet'!$B$9,Paramètres!$A$1:$I$89,7,0))</f>
        <v>0.19350000000000001</v>
      </c>
      <c r="X160" s="16">
        <f>IF(ISNA(VLOOKUP(A160,'Données projet'!$A$35:$I$55,6,0)),0%,VLOOKUP(A160,'Données projet'!$A$35:$I$55,6,0)*VLOOKUP('Données projet'!$B$9,Paramètres!$A$1:$I$89,7,0))</f>
        <v>2.1500000000000002E-2</v>
      </c>
      <c r="Y160" s="16">
        <f>IF(ISNA(VLOOKUP(A160,'Données projet'!$A$35:$I$55,7,0)),0%,VLOOKUP(A160,'Données projet'!$A$35:$I$55,7,0))</f>
        <v>0.05</v>
      </c>
      <c r="Z160" s="21">
        <f>EXP(-LN(2)/35)*Z159+(1-EXP(-LN(2)/35))/(LN(2)/35)*V160*W160*VLOOKUP('Données projet'!$B$9,Paramètres!$A$1:$I$89,3,0)*0.475*44/12</f>
        <v>93.53223667850591</v>
      </c>
      <c r="AA160" s="21">
        <f>EXP(-LN(2)/25)*AA159+(1-EXP(-LN(2)/25))/(LN(2)/25)*Calculateur!V160*Calculateur!X160*VLOOKUP('Données projet'!$B$9,Paramètres!$A$1:$I$89,3,0)*0.475*44/12</f>
        <v>19.038545199818962</v>
      </c>
      <c r="AB160" s="21">
        <f>EXP(-LN(2)/2)*AB159+(1-EXP(-LN(2)/2))/(LN(2)/2)*V160*Y160*VLOOKUP('Données projet'!$B$9,Paramètres!$A$1:$I$89,3,0)*0.475*44/12</f>
        <v>4.4347478093886004</v>
      </c>
      <c r="AC160" s="22">
        <f t="shared" si="163"/>
        <v>117.00552968771348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3.177547114319168E-13</v>
      </c>
      <c r="AK160" s="13">
        <f t="shared" si="164"/>
        <v>4.1725404435445377E-12</v>
      </c>
      <c r="AL160" s="20">
        <f t="shared" si="165"/>
        <v>7.820597394917325E-12</v>
      </c>
      <c r="AM160" s="59">
        <f t="shared" si="113"/>
        <v>293.33333333334116</v>
      </c>
      <c r="AN160" s="59">
        <f ca="1">AVERAGE(OFFSET($AM$3,0,0,'Données projet'!$E$10+1,1))-AVERAGE(OFFSET($H$3,0,0,'Données projet'!$E$10+1,1))</f>
        <v>287.413090017863</v>
      </c>
      <c r="AO160" s="59">
        <f t="shared" si="144"/>
        <v>258.48456031927117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41.196918819192739</v>
      </c>
      <c r="AV160" s="21">
        <f>EXP(-LN(2)/25)*AV159+(1-EXP(-LN(2)/25))/(LN(2)/25)*Calculateur!AQ160*Calculateur!AS160*VLOOKUP('Données projet'!$B$10,Paramètres!$A$1:$I$89,3,0)*0.475*44/12</f>
        <v>6.8791623759665486</v>
      </c>
      <c r="AW160" s="21">
        <f>EXP(-LN(2)/2)*AW159+(1-EXP(-LN(2)/2))/(LN(2)/2)*AQ160*AT160*VLOOKUP('Données projet'!$B$10,Paramètres!$A$1:$I$89,3,0)*0.475*44/12</f>
        <v>6.0697935016050633E-12</v>
      </c>
      <c r="AX160" s="21">
        <f t="shared" si="166"/>
        <v>48.076081195165358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243.33915530322201</v>
      </c>
      <c r="BJ160" s="59">
        <f t="shared" si="146"/>
        <v>247.73814704672577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11.313259018776494</v>
      </c>
      <c r="BQ160" s="21">
        <f>EXP(-LN(2)/25)*BQ159+(1-EXP(-LN(2)/25))/(LN(2)/25)*Calculateur!BL160*Calculateur!BN160*VLOOKUP('Données projet'!$B$11,Paramètres!$A$1:$I$89,3,0)*0.475*44/12</f>
        <v>6.069402895025358</v>
      </c>
      <c r="BR160" s="21">
        <f>EXP(-LN(2)/2)*BR159+(1-EXP(-LN(2)/2))/(LN(2)/2)*BL160*BO160*VLOOKUP('Données projet'!$B$11,Paramètres!$A$1:$I$89,3,0)*0.475*44/12</f>
        <v>1.6057507132884284E-10</v>
      </c>
      <c r="BS160" s="22">
        <f t="shared" si="169"/>
        <v>17.382661913962426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1.7174999999999976</v>
      </c>
      <c r="N161" s="13">
        <f>IF('Données projet'!$A$36&gt;35,N160+M161-V160,IF(A161&lt;'Données projet'!$A$36,$K$205^A161,IF(A161='Données projet'!$A$36,'Données projet'!$B$36,N160+M161-V160)))</f>
        <v>129.10750000000053</v>
      </c>
      <c r="O161" s="13">
        <f>N161*VLOOKUP('Données projet'!$B$9,Paramètres!$A$1:$I$89,3,0)*VLOOKUP('Données projet'!$B$9,Paramètres!$A$1:$I$89,5,0)</f>
        <v>116.81646600000047</v>
      </c>
      <c r="P161" s="13">
        <f t="shared" si="141"/>
        <v>30.931334347171287</v>
      </c>
      <c r="Q161" s="20">
        <f t="shared" si="162"/>
        <v>257.32741893799079</v>
      </c>
      <c r="R161" s="59">
        <f t="shared" si="109"/>
        <v>550.6607522713241</v>
      </c>
      <c r="S161" s="59">
        <f ca="1">AVERAGE(OFFSET($R$3,0,0,'Données projet'!$E$9+1,1))-AVERAGE(OFFSET($H$3,0,0,'Données projet'!$E$9+1,1))</f>
        <v>298.01613436147056</v>
      </c>
      <c r="T161" s="59">
        <f t="shared" si="142"/>
        <v>212.70221374431253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91.698126566271654</v>
      </c>
      <c r="AA161" s="21">
        <f>EXP(-LN(2)/25)*AA160+(1-EXP(-LN(2)/25))/(LN(2)/25)*Calculateur!V161*Calculateur!X161*VLOOKUP('Données projet'!$B$9,Paramètres!$A$1:$I$89,3,0)*0.475*44/12</f>
        <v>18.517935180136334</v>
      </c>
      <c r="AB161" s="21">
        <f>EXP(-LN(2)/2)*AB160+(1-EXP(-LN(2)/2))/(LN(2)/2)*V161*Y161*VLOOKUP('Données projet'!$B$9,Paramètres!$A$1:$I$89,3,0)*0.475*44/12</f>
        <v>3.1358402488708661</v>
      </c>
      <c r="AC161" s="22">
        <f t="shared" si="163"/>
        <v>113.35190199527885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3.177547114319168E-13</v>
      </c>
      <c r="AK161" s="13">
        <f t="shared" si="164"/>
        <v>4.1725404435445377E-12</v>
      </c>
      <c r="AL161" s="20">
        <f t="shared" si="165"/>
        <v>7.820597394917325E-12</v>
      </c>
      <c r="AM161" s="59">
        <f t="shared" si="113"/>
        <v>293.33333333334116</v>
      </c>
      <c r="AN161" s="59">
        <f ca="1">AVERAGE(OFFSET($AM$3,0,0,'Données projet'!$E$10+1,1))-AVERAGE(OFFSET($H$3,0,0,'Données projet'!$E$10+1,1))</f>
        <v>287.413090017863</v>
      </c>
      <c r="AO161" s="59">
        <f t="shared" si="144"/>
        <v>258.48456031927117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40.389072368787701</v>
      </c>
      <c r="AV161" s="21">
        <f>EXP(-LN(2)/25)*AV160+(1-EXP(-LN(2)/25))/(LN(2)/25)*Calculateur!AQ161*Calculateur!AS161*VLOOKUP('Données projet'!$B$10,Paramètres!$A$1:$I$89,3,0)*0.475*44/12</f>
        <v>6.6910513190363163</v>
      </c>
      <c r="AW161" s="21">
        <f>EXP(-LN(2)/2)*AW160+(1-EXP(-LN(2)/2))/(LN(2)/2)*AQ161*AT161*VLOOKUP('Données projet'!$B$10,Paramètres!$A$1:$I$89,3,0)*0.475*44/12</f>
        <v>4.2919921453869795E-12</v>
      </c>
      <c r="AX161" s="21">
        <f t="shared" si="166"/>
        <v>47.080123687828312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243.33915530322201</v>
      </c>
      <c r="BJ161" s="59">
        <f t="shared" si="146"/>
        <v>247.73814704672577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11.09141290982493</v>
      </c>
      <c r="BQ161" s="21">
        <f>EXP(-LN(2)/25)*BQ160+(1-EXP(-LN(2)/25))/(LN(2)/25)*Calculateur!BL161*Calculateur!BN161*VLOOKUP('Données projet'!$B$11,Paramètres!$A$1:$I$89,3,0)*0.475*44/12</f>
        <v>5.9034347536848628</v>
      </c>
      <c r="BR161" s="21">
        <f>EXP(-LN(2)/2)*BR160+(1-EXP(-LN(2)/2))/(LN(2)/2)*BL161*BO161*VLOOKUP('Données projet'!$B$11,Paramètres!$A$1:$I$89,3,0)*0.475*44/12</f>
        <v>1.1354372182613834E-10</v>
      </c>
      <c r="BS161" s="22">
        <f t="shared" si="169"/>
        <v>16.994847663623339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1.7174999999999976</v>
      </c>
      <c r="N162" s="13">
        <f>IF('Données projet'!$A$36&gt;35,N161+M162-V161,IF(A162&lt;'Données projet'!$A$36,$K$205^A162,IF(A162='Données projet'!$A$36,'Données projet'!$B$36,N161+M162-V161)))</f>
        <v>130.82500000000053</v>
      </c>
      <c r="O162" s="13">
        <f>N162*VLOOKUP('Données projet'!$B$9,Paramètres!$A$1:$I$89,3,0)*VLOOKUP('Données projet'!$B$9,Paramètres!$A$1:$I$89,5,0)</f>
        <v>118.37046000000048</v>
      </c>
      <c r="P162" s="13">
        <f t="shared" si="141"/>
        <v>31.29463394593726</v>
      </c>
      <c r="Q162" s="20">
        <f t="shared" si="162"/>
        <v>260.6667052891749</v>
      </c>
      <c r="R162" s="59">
        <f t="shared" si="109"/>
        <v>554.00003862250821</v>
      </c>
      <c r="S162" s="59">
        <f ca="1">AVERAGE(OFFSET($R$3,0,0,'Données projet'!$E$9+1,1))-AVERAGE(OFFSET($H$3,0,0,'Données projet'!$E$9+1,1))</f>
        <v>298.01613436147056</v>
      </c>
      <c r="T162" s="59">
        <f t="shared" si="142"/>
        <v>212.70221374431253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89.899982234641612</v>
      </c>
      <c r="AA162" s="21">
        <f>EXP(-LN(2)/25)*AA161+(1-EXP(-LN(2)/25))/(LN(2)/25)*Calculateur!V162*Calculateur!X162*VLOOKUP('Données projet'!$B$9,Paramètres!$A$1:$I$89,3,0)*0.475*44/12</f>
        <v>18.011561268819619</v>
      </c>
      <c r="AB162" s="21">
        <f>EXP(-LN(2)/2)*AB161+(1-EXP(-LN(2)/2))/(LN(2)/2)*V162*Y162*VLOOKUP('Données projet'!$B$9,Paramètres!$A$1:$I$89,3,0)*0.475*44/12</f>
        <v>2.2173739046943002</v>
      </c>
      <c r="AC162" s="22">
        <f t="shared" si="163"/>
        <v>110.12891740815553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3.177547114319168E-13</v>
      </c>
      <c r="AK162" s="13">
        <f t="shared" si="164"/>
        <v>4.1725404435445377E-12</v>
      </c>
      <c r="AL162" s="20">
        <f t="shared" si="165"/>
        <v>7.820597394917325E-12</v>
      </c>
      <c r="AM162" s="59">
        <f t="shared" si="113"/>
        <v>293.33333333334116</v>
      </c>
      <c r="AN162" s="59">
        <f ca="1">AVERAGE(OFFSET($AM$3,0,0,'Données projet'!$E$10+1,1))-AVERAGE(OFFSET($H$3,0,0,'Données projet'!$E$10+1,1))</f>
        <v>287.413090017863</v>
      </c>
      <c r="AO162" s="59">
        <f t="shared" si="144"/>
        <v>258.48456031927117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39.597067294537425</v>
      </c>
      <c r="AV162" s="21">
        <f>EXP(-LN(2)/25)*AV161+(1-EXP(-LN(2)/25))/(LN(2)/25)*Calculateur!AQ162*Calculateur!AS162*VLOOKUP('Données projet'!$B$10,Paramètres!$A$1:$I$89,3,0)*0.475*44/12</f>
        <v>6.5080841688501723</v>
      </c>
      <c r="AW162" s="21">
        <f>EXP(-LN(2)/2)*AW161+(1-EXP(-LN(2)/2))/(LN(2)/2)*AQ162*AT162*VLOOKUP('Données projet'!$B$10,Paramètres!$A$1:$I$89,3,0)*0.475*44/12</f>
        <v>3.0348967508025317E-12</v>
      </c>
      <c r="AX162" s="21">
        <f t="shared" si="166"/>
        <v>46.105151463390634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243.33915530322201</v>
      </c>
      <c r="BJ162" s="59">
        <f t="shared" si="146"/>
        <v>247.73814704672577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10.873917067757141</v>
      </c>
      <c r="BQ162" s="21">
        <f>EXP(-LN(2)/25)*BQ161+(1-EXP(-LN(2)/25))/(LN(2)/25)*Calculateur!BL162*Calculateur!BN162*VLOOKUP('Données projet'!$B$11,Paramètres!$A$1:$I$89,3,0)*0.475*44/12</f>
        <v>5.742005019897209</v>
      </c>
      <c r="BR162" s="21">
        <f>EXP(-LN(2)/2)*BR161+(1-EXP(-LN(2)/2))/(LN(2)/2)*BL162*BO162*VLOOKUP('Données projet'!$B$11,Paramètres!$A$1:$I$89,3,0)*0.475*44/12</f>
        <v>8.0287535664421421E-11</v>
      </c>
      <c r="BS162" s="22">
        <f t="shared" si="169"/>
        <v>16.615922087734639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1.7174999999999976</v>
      </c>
      <c r="N163" s="13">
        <f>IF('Données projet'!$A$36&gt;35,N162+M163-V162,IF(A163&lt;'Données projet'!$A$36,$K$205^A163,IF(A163='Données projet'!$A$36,'Données projet'!$B$36,N162+M163-V162)))</f>
        <v>132.54250000000053</v>
      </c>
      <c r="O163" s="13">
        <f>N163*VLOOKUP('Données projet'!$B$9,Paramètres!$A$1:$I$89,3,0)*VLOOKUP('Données projet'!$B$9,Paramètres!$A$1:$I$89,5,0)</f>
        <v>119.92445400000048</v>
      </c>
      <c r="P163" s="13">
        <f t="shared" si="141"/>
        <v>31.657378784489545</v>
      </c>
      <c r="Q163" s="20">
        <f t="shared" si="162"/>
        <v>264.00502543298677</v>
      </c>
      <c r="R163" s="59">
        <f t="shared" si="109"/>
        <v>557.33835876632008</v>
      </c>
      <c r="S163" s="59">
        <f ca="1">AVERAGE(OFFSET($R$3,0,0,'Données projet'!$E$9+1,1))-AVERAGE(OFFSET($H$3,0,0,'Données projet'!$E$9+1,1))</f>
        <v>298.01613436147056</v>
      </c>
      <c r="T163" s="59">
        <f t="shared" si="142"/>
        <v>212.70221374431253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88.137098416595094</v>
      </c>
      <c r="AA163" s="21">
        <f>EXP(-LN(2)/25)*AA162+(1-EXP(-LN(2)/25))/(LN(2)/25)*Calculateur!V163*Calculateur!X163*VLOOKUP('Données projet'!$B$9,Paramètres!$A$1:$I$89,3,0)*0.475*44/12</f>
        <v>17.519034178736906</v>
      </c>
      <c r="AB163" s="21">
        <f>EXP(-LN(2)/2)*AB162+(1-EXP(-LN(2)/2))/(LN(2)/2)*V163*Y163*VLOOKUP('Données projet'!$B$9,Paramètres!$A$1:$I$89,3,0)*0.475*44/12</f>
        <v>1.567920124435433</v>
      </c>
      <c r="AC163" s="22">
        <f t="shared" si="163"/>
        <v>107.22405271976743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3.177547114319168E-13</v>
      </c>
      <c r="AK163" s="13">
        <f t="shared" si="164"/>
        <v>4.1725404435445377E-12</v>
      </c>
      <c r="AL163" s="20">
        <f t="shared" si="165"/>
        <v>7.820597394917325E-12</v>
      </c>
      <c r="AM163" s="59">
        <f t="shared" si="113"/>
        <v>293.33333333334116</v>
      </c>
      <c r="AN163" s="59">
        <f ca="1">AVERAGE(OFFSET($AM$3,0,0,'Données projet'!$E$10+1,1))-AVERAGE(OFFSET($H$3,0,0,'Données projet'!$E$10+1,1))</f>
        <v>287.413090017863</v>
      </c>
      <c r="AO163" s="59">
        <f t="shared" si="144"/>
        <v>258.48456031927117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38.820592956717803</v>
      </c>
      <c r="AV163" s="21">
        <f>EXP(-LN(2)/25)*AV162+(1-EXP(-LN(2)/25))/(LN(2)/25)*Calculateur!AQ163*Calculateur!AS163*VLOOKUP('Données projet'!$B$10,Paramètres!$A$1:$I$89,3,0)*0.475*44/12</f>
        <v>6.3301202650076922</v>
      </c>
      <c r="AW163" s="21">
        <f>EXP(-LN(2)/2)*AW162+(1-EXP(-LN(2)/2))/(LN(2)/2)*AQ163*AT163*VLOOKUP('Données projet'!$B$10,Paramètres!$A$1:$I$89,3,0)*0.475*44/12</f>
        <v>2.1459960726934898E-12</v>
      </c>
      <c r="AX163" s="21">
        <f t="shared" si="166"/>
        <v>45.150713221727642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243.33915530322201</v>
      </c>
      <c r="BJ163" s="59">
        <f t="shared" si="146"/>
        <v>247.73814704672577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10.660686186492937</v>
      </c>
      <c r="BQ163" s="21">
        <f>EXP(-LN(2)/25)*BQ162+(1-EXP(-LN(2)/25))/(LN(2)/25)*Calculateur!BL163*Calculateur!BN163*VLOOKUP('Données projet'!$B$11,Paramètres!$A$1:$I$89,3,0)*0.475*44/12</f>
        <v>5.5849895906691991</v>
      </c>
      <c r="BR163" s="21">
        <f>EXP(-LN(2)/2)*BR162+(1-EXP(-LN(2)/2))/(LN(2)/2)*BL163*BO163*VLOOKUP('Données projet'!$B$11,Paramètres!$A$1:$I$89,3,0)*0.475*44/12</f>
        <v>5.6771860913069169E-11</v>
      </c>
      <c r="BS163" s="22">
        <f t="shared" si="169"/>
        <v>16.245675777218906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134.26</v>
      </c>
      <c r="L164" s="12">
        <f>VLOOKUP(A164,'Données projet'!$A$35:$I$55,9,0)</f>
        <v>1.7174999999999976</v>
      </c>
      <c r="M164" s="12">
        <f t="array" ref="M164">INDEX(L:L,MIN(IF(ISNUMBER(L164:L360),ROW(L164:L360),"")))</f>
        <v>1.7174999999999976</v>
      </c>
      <c r="N164" s="13">
        <f>IF('Données projet'!$A$36&gt;35,N163+M164-V163,IF(A164&lt;'Données projet'!$A$36,$K$205^A164,IF(A164='Données projet'!$A$36,'Données projet'!$B$36,N163+M164-V163)))</f>
        <v>134.26000000000053</v>
      </c>
      <c r="O164" s="13">
        <f>N164*VLOOKUP('Données projet'!$B$9,Paramètres!$A$1:$I$89,3,0)*VLOOKUP('Données projet'!$B$9,Paramètres!$A$1:$I$89,5,0)</f>
        <v>121.47844800000047</v>
      </c>
      <c r="P164" s="13">
        <f t="shared" si="141"/>
        <v>32.019576882630901</v>
      </c>
      <c r="Q164" s="20">
        <f t="shared" si="162"/>
        <v>267.34239333724963</v>
      </c>
      <c r="R164" s="59">
        <f t="shared" si="109"/>
        <v>560.67572667058289</v>
      </c>
      <c r="S164" s="59">
        <f ca="1">AVERAGE(OFFSET($R$3,0,0,'Données projet'!$E$9+1,1))-AVERAGE(OFFSET($H$3,0,0,'Données projet'!$E$9+1,1))</f>
        <v>298.01613436147056</v>
      </c>
      <c r="T164" s="59">
        <f t="shared" si="142"/>
        <v>212.70221374431253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134.26</v>
      </c>
      <c r="W164" s="16">
        <f>IF(ISNA(VLOOKUP(A164,'Données projet'!$A$35:$I$55,5,0)),0%,VLOOKUP(A164,'Données projet'!$A$35:$I$55,5,0)*VLOOKUP('Données projet'!$B$9,Paramètres!$A$1:$I$89,7,0))</f>
        <v>0.19350000000000001</v>
      </c>
      <c r="X164" s="16">
        <f>IF(ISNA(VLOOKUP(A164,'Données projet'!$A$35:$I$55,6,0)),0%,VLOOKUP(A164,'Données projet'!$A$35:$I$55,6,0)*VLOOKUP('Données projet'!$B$9,Paramètres!$A$1:$I$89,7,0))</f>
        <v>2.1500000000000002E-2</v>
      </c>
      <c r="Y164" s="16">
        <f>IF(ISNA(VLOOKUP(A164,'Données projet'!$A$35:$I$55,7,0)),0%,VLOOKUP(A164,'Données projet'!$A$35:$I$55,7,0))</f>
        <v>0.05</v>
      </c>
      <c r="Z164" s="21">
        <f>EXP(-LN(2)/35)*Z163+(1-EXP(-LN(2)/35))/(LN(2)/35)*V164*W164*VLOOKUP('Données projet'!$B$9,Paramètres!$A$1:$I$89,3,0)*0.475*44/12</f>
        <v>112.39405850899264</v>
      </c>
      <c r="AA164" s="21">
        <f>EXP(-LN(2)/25)*AA163+(1-EXP(-LN(2)/25))/(LN(2)/25)*Calculateur!V164*Calculateur!X164*VLOOKUP('Données projet'!$B$9,Paramètres!$A$1:$I$89,3,0)*0.475*44/12</f>
        <v>19.915859812926445</v>
      </c>
      <c r="AB164" s="21">
        <f>EXP(-LN(2)/2)*AB163+(1-EXP(-LN(2)/2))/(LN(2)/2)*V164*Y164*VLOOKUP('Données projet'!$B$9,Paramètres!$A$1:$I$89,3,0)*0.475*44/12</f>
        <v>6.8395962139717037</v>
      </c>
      <c r="AC164" s="22">
        <f t="shared" si="163"/>
        <v>139.1495145358908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3.177547114319168E-13</v>
      </c>
      <c r="AK164" s="13">
        <f t="shared" si="164"/>
        <v>4.1725404435445377E-12</v>
      </c>
      <c r="AL164" s="20">
        <f t="shared" si="165"/>
        <v>7.820597394917325E-12</v>
      </c>
      <c r="AM164" s="59">
        <f t="shared" si="113"/>
        <v>293.33333333334116</v>
      </c>
      <c r="AN164" s="59">
        <f ca="1">AVERAGE(OFFSET($AM$3,0,0,'Données projet'!$E$10+1,1))-AVERAGE(OFFSET($H$3,0,0,'Données projet'!$E$10+1,1))</f>
        <v>287.413090017863</v>
      </c>
      <c r="AO164" s="59">
        <f t="shared" si="144"/>
        <v>258.48456031927117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38.059344807060242</v>
      </c>
      <c r="AV164" s="21">
        <f>EXP(-LN(2)/25)*AV163+(1-EXP(-LN(2)/25))/(LN(2)/25)*Calculateur!AQ164*Calculateur!AS164*VLOOKUP('Données projet'!$B$10,Paramètres!$A$1:$I$89,3,0)*0.475*44/12</f>
        <v>6.1570227934744999</v>
      </c>
      <c r="AW164" s="21">
        <f>EXP(-LN(2)/2)*AW163+(1-EXP(-LN(2)/2))/(LN(2)/2)*AQ164*AT164*VLOOKUP('Données projet'!$B$10,Paramètres!$A$1:$I$89,3,0)*0.475*44/12</f>
        <v>1.5174483754012658E-12</v>
      </c>
      <c r="AX164" s="21">
        <f t="shared" si="166"/>
        <v>44.216367600536259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243.33915530322201</v>
      </c>
      <c r="BJ164" s="59">
        <f t="shared" si="146"/>
        <v>247.73814704672577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10.451636632752328</v>
      </c>
      <c r="BQ164" s="21">
        <f>EXP(-LN(2)/25)*BQ163+(1-EXP(-LN(2)/25))/(LN(2)/25)*Calculateur!BL164*Calculateur!BN164*VLOOKUP('Données projet'!$B$11,Paramètres!$A$1:$I$89,3,0)*0.475*44/12</f>
        <v>5.4322677566105115</v>
      </c>
      <c r="BR164" s="21">
        <f>EXP(-LN(2)/2)*BR163+(1-EXP(-LN(2)/2))/(LN(2)/2)*BL164*BO164*VLOOKUP('Données projet'!$B$11,Paramètres!$A$1:$I$89,3,0)*0.475*44/12</f>
        <v>4.0143767832210711E-11</v>
      </c>
      <c r="BS164" s="22">
        <f t="shared" si="169"/>
        <v>15.883904389402984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5.4001247917767614E-13</v>
      </c>
      <c r="O165" s="13">
        <f>N165*VLOOKUP('Données projet'!$B$9,Paramètres!$A$1:$I$89,3,0)*VLOOKUP('Données projet'!$B$9,Paramètres!$A$1:$I$89,5,0)</f>
        <v>4.8860329115996133E-13</v>
      </c>
      <c r="P165" s="13">
        <f t="shared" si="141"/>
        <v>6.1025862939685007E-12</v>
      </c>
      <c r="Q165" s="20">
        <f t="shared" si="162"/>
        <v>1.1479655194098737E-11</v>
      </c>
      <c r="R165" s="59">
        <f t="shared" si="109"/>
        <v>293.3333333333448</v>
      </c>
      <c r="S165" s="59">
        <f ca="1">AVERAGE(OFFSET($R$3,0,0,'Données projet'!$E$9+1,1))-AVERAGE(OFFSET($H$3,0,0,'Données projet'!$E$9+1,1))</f>
        <v>298.01613436147056</v>
      </c>
      <c r="T165" s="59">
        <f t="shared" si="142"/>
        <v>212.70221374431253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110.19007957523789</v>
      </c>
      <c r="AA165" s="21">
        <f>EXP(-LN(2)/25)*AA164+(1-EXP(-LN(2)/25))/(LN(2)/25)*Calculateur!V165*Calculateur!X165*VLOOKUP('Données projet'!$B$9,Paramètres!$A$1:$I$89,3,0)*0.475*44/12</f>
        <v>19.371259579012424</v>
      </c>
      <c r="AB165" s="21">
        <f>EXP(-LN(2)/2)*AB164+(1-EXP(-LN(2)/2))/(LN(2)/2)*V165*Y165*VLOOKUP('Données projet'!$B$9,Paramètres!$A$1:$I$89,3,0)*0.475*44/12</f>
        <v>4.8363248634772287</v>
      </c>
      <c r="AC165" s="22">
        <f t="shared" si="163"/>
        <v>134.39766401772752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3.177547114319168E-13</v>
      </c>
      <c r="AK165" s="13">
        <f t="shared" si="164"/>
        <v>4.1725404435445377E-12</v>
      </c>
      <c r="AL165" s="20">
        <f t="shared" si="165"/>
        <v>7.820597394917325E-12</v>
      </c>
      <c r="AM165" s="59">
        <f t="shared" si="113"/>
        <v>293.33333333334116</v>
      </c>
      <c r="AN165" s="59">
        <f ca="1">AVERAGE(OFFSET($AM$3,0,0,'Données projet'!$E$10+1,1))-AVERAGE(OFFSET($H$3,0,0,'Données projet'!$E$10+1,1))</f>
        <v>287.413090017863</v>
      </c>
      <c r="AO165" s="59">
        <f t="shared" si="144"/>
        <v>258.48456031927117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37.313024269301941</v>
      </c>
      <c r="AV165" s="21">
        <f>EXP(-LN(2)/25)*AV164+(1-EXP(-LN(2)/25))/(LN(2)/25)*Calculateur!AQ165*Calculateur!AS165*VLOOKUP('Données projet'!$B$10,Paramètres!$A$1:$I$89,3,0)*0.475*44/12</f>
        <v>5.9886586814031828</v>
      </c>
      <c r="AW165" s="21">
        <f>EXP(-LN(2)/2)*AW164+(1-EXP(-LN(2)/2))/(LN(2)/2)*AQ165*AT165*VLOOKUP('Données projet'!$B$10,Paramètres!$A$1:$I$89,3,0)*0.475*44/12</f>
        <v>1.0729980363467449E-12</v>
      </c>
      <c r="AX165" s="21">
        <f t="shared" si="166"/>
        <v>43.301682950706194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243.33915530322201</v>
      </c>
      <c r="BJ165" s="59">
        <f t="shared" si="146"/>
        <v>247.73814704672577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10.246686413252934</v>
      </c>
      <c r="BQ165" s="21">
        <f>EXP(-LN(2)/25)*BQ164+(1-EXP(-LN(2)/25))/(LN(2)/25)*Calculateur!BL165*Calculateur!BN165*VLOOKUP('Données projet'!$B$11,Paramètres!$A$1:$I$89,3,0)*0.475*44/12</f>
        <v>5.2837221091354518</v>
      </c>
      <c r="BR165" s="21">
        <f>EXP(-LN(2)/2)*BR164+(1-EXP(-LN(2)/2))/(LN(2)/2)*BL165*BO165*VLOOKUP('Données projet'!$B$11,Paramètres!$A$1:$I$89,3,0)*0.475*44/12</f>
        <v>2.8385930456534585E-11</v>
      </c>
      <c r="BS165" s="22">
        <f t="shared" si="169"/>
        <v>15.530408522416772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5.4001247917767614E-13</v>
      </c>
      <c r="O166" s="13">
        <f>N166*VLOOKUP('Données projet'!$B$9,Paramètres!$A$1:$I$89,3,0)*VLOOKUP('Données projet'!$B$9,Paramètres!$A$1:$I$89,5,0)</f>
        <v>4.8860329115996133E-13</v>
      </c>
      <c r="P166" s="13">
        <f t="shared" si="141"/>
        <v>6.1025862939685007E-12</v>
      </c>
      <c r="Q166" s="20">
        <f t="shared" si="162"/>
        <v>1.1479655194098737E-11</v>
      </c>
      <c r="R166" s="59">
        <f t="shared" si="109"/>
        <v>293.3333333333448</v>
      </c>
      <c r="S166" s="59">
        <f ca="1">AVERAGE(OFFSET($R$3,0,0,'Données projet'!$E$9+1,1))-AVERAGE(OFFSET($H$3,0,0,'Données projet'!$E$9+1,1))</f>
        <v>298.01613436147056</v>
      </c>
      <c r="T166" s="59">
        <f t="shared" si="142"/>
        <v>212.70221374431253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108.02931932407965</v>
      </c>
      <c r="AA166" s="21">
        <f>EXP(-LN(2)/25)*AA165+(1-EXP(-LN(2)/25))/(LN(2)/25)*Calculateur!V166*Calculateur!X166*VLOOKUP('Données projet'!$B$9,Paramètres!$A$1:$I$89,3,0)*0.475*44/12</f>
        <v>18.84155146713406</v>
      </c>
      <c r="AB166" s="21">
        <f>EXP(-LN(2)/2)*AB165+(1-EXP(-LN(2)/2))/(LN(2)/2)*V166*Y166*VLOOKUP('Données projet'!$B$9,Paramètres!$A$1:$I$89,3,0)*0.475*44/12</f>
        <v>3.4197981069858523</v>
      </c>
      <c r="AC166" s="22">
        <f t="shared" si="163"/>
        <v>130.29066889819958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3.177547114319168E-13</v>
      </c>
      <c r="AK166" s="13">
        <f t="shared" si="164"/>
        <v>4.1725404435445377E-12</v>
      </c>
      <c r="AL166" s="20">
        <f t="shared" si="165"/>
        <v>7.820597394917325E-12</v>
      </c>
      <c r="AM166" s="59">
        <f t="shared" si="113"/>
        <v>293.33333333334116</v>
      </c>
      <c r="AN166" s="59">
        <f ca="1">AVERAGE(OFFSET($AM$3,0,0,'Données projet'!$E$10+1,1))-AVERAGE(OFFSET($H$3,0,0,'Données projet'!$E$10+1,1))</f>
        <v>287.413090017863</v>
      </c>
      <c r="AO166" s="59">
        <f t="shared" si="144"/>
        <v>258.48456031927117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36.581338622078498</v>
      </c>
      <c r="AV166" s="21">
        <f>EXP(-LN(2)/25)*AV165+(1-EXP(-LN(2)/25))/(LN(2)/25)*Calculateur!AQ166*Calculateur!AS166*VLOOKUP('Données projet'!$B$10,Paramètres!$A$1:$I$89,3,0)*0.475*44/12</f>
        <v>5.8248984948303404</v>
      </c>
      <c r="AW166" s="21">
        <f>EXP(-LN(2)/2)*AW165+(1-EXP(-LN(2)/2))/(LN(2)/2)*AQ166*AT166*VLOOKUP('Données projet'!$B$10,Paramètres!$A$1:$I$89,3,0)*0.475*44/12</f>
        <v>7.5872418770063292E-13</v>
      </c>
      <c r="AX166" s="21">
        <f t="shared" si="166"/>
        <v>42.406237116909601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243.33915530322201</v>
      </c>
      <c r="BJ166" s="59">
        <f t="shared" si="146"/>
        <v>247.73814704672577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10.045755142550634</v>
      </c>
      <c r="BQ166" s="21">
        <f>EXP(-LN(2)/25)*BQ165+(1-EXP(-LN(2)/25))/(LN(2)/25)*Calculateur!BL166*Calculateur!BN166*VLOOKUP('Données projet'!$B$11,Paramètres!$A$1:$I$89,3,0)*0.475*44/12</f>
        <v>5.1392384502022734</v>
      </c>
      <c r="BR166" s="21">
        <f>EXP(-LN(2)/2)*BR165+(1-EXP(-LN(2)/2))/(LN(2)/2)*BL166*BO166*VLOOKUP('Données projet'!$B$11,Paramètres!$A$1:$I$89,3,0)*0.475*44/12</f>
        <v>2.0071883916105355E-11</v>
      </c>
      <c r="BS166" s="22">
        <f t="shared" si="169"/>
        <v>15.184993592772978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5.4001247917767614E-13</v>
      </c>
      <c r="O167" s="13">
        <f>N167*VLOOKUP('Données projet'!$B$9,Paramètres!$A$1:$I$89,3,0)*VLOOKUP('Données projet'!$B$9,Paramètres!$A$1:$I$89,5,0)</f>
        <v>4.8860329115996133E-13</v>
      </c>
      <c r="P167" s="13">
        <f t="shared" si="141"/>
        <v>6.1025862939685007E-12</v>
      </c>
      <c r="Q167" s="20">
        <f t="shared" si="162"/>
        <v>1.1479655194098737E-11</v>
      </c>
      <c r="R167" s="59">
        <f t="shared" si="109"/>
        <v>293.3333333333448</v>
      </c>
      <c r="S167" s="59">
        <f ca="1">AVERAGE(OFFSET($R$3,0,0,'Données projet'!$E$9+1,1))-AVERAGE(OFFSET($H$3,0,0,'Données projet'!$E$9+1,1))</f>
        <v>298.01613436147056</v>
      </c>
      <c r="T167" s="59">
        <f t="shared" si="142"/>
        <v>212.70221374431253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105.91093026351301</v>
      </c>
      <c r="AA167" s="21">
        <f>EXP(-LN(2)/25)*AA166+(1-EXP(-LN(2)/25))/(LN(2)/25)*Calculateur!V167*Calculateur!X167*VLOOKUP('Données projet'!$B$9,Paramètres!$A$1:$I$89,3,0)*0.475*44/12</f>
        <v>18.32632825143115</v>
      </c>
      <c r="AB167" s="21">
        <f>EXP(-LN(2)/2)*AB166+(1-EXP(-LN(2)/2))/(LN(2)/2)*V167*Y167*VLOOKUP('Données projet'!$B$9,Paramètres!$A$1:$I$89,3,0)*0.475*44/12</f>
        <v>2.4181624317386148</v>
      </c>
      <c r="AC167" s="22">
        <f t="shared" si="163"/>
        <v>126.65542094668277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3.177547114319168E-13</v>
      </c>
      <c r="AK167" s="13">
        <f t="shared" si="164"/>
        <v>4.1725404435445377E-12</v>
      </c>
      <c r="AL167" s="20">
        <f t="shared" si="165"/>
        <v>7.820597394917325E-12</v>
      </c>
      <c r="AM167" s="59">
        <f t="shared" si="113"/>
        <v>293.33333333334116</v>
      </c>
      <c r="AN167" s="59">
        <f ca="1">AVERAGE(OFFSET($AM$3,0,0,'Données projet'!$E$10+1,1))-AVERAGE(OFFSET($H$3,0,0,'Données projet'!$E$10+1,1))</f>
        <v>287.413090017863</v>
      </c>
      <c r="AO167" s="59">
        <f t="shared" si="144"/>
        <v>258.48456031927117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35.864000884112933</v>
      </c>
      <c r="AV167" s="21">
        <f>EXP(-LN(2)/25)*AV166+(1-EXP(-LN(2)/25))/(LN(2)/25)*Calculateur!AQ167*Calculateur!AS167*VLOOKUP('Données projet'!$B$10,Paramètres!$A$1:$I$89,3,0)*0.475*44/12</f>
        <v>5.6656163391711063</v>
      </c>
      <c r="AW167" s="21">
        <f>EXP(-LN(2)/2)*AW166+(1-EXP(-LN(2)/2))/(LN(2)/2)*AQ167*AT167*VLOOKUP('Données projet'!$B$10,Paramètres!$A$1:$I$89,3,0)*0.475*44/12</f>
        <v>5.3649901817337244E-13</v>
      </c>
      <c r="AX167" s="21">
        <f t="shared" si="166"/>
        <v>41.529617223284582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243.33915530322201</v>
      </c>
      <c r="BJ167" s="59">
        <f t="shared" si="146"/>
        <v>247.73814704672577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9.8487640115108324</v>
      </c>
      <c r="BQ167" s="21">
        <f>EXP(-LN(2)/25)*BQ166+(1-EXP(-LN(2)/25))/(LN(2)/25)*Calculateur!BL167*Calculateur!BN167*VLOOKUP('Données projet'!$B$11,Paramètres!$A$1:$I$89,3,0)*0.475*44/12</f>
        <v>4.9987057045206882</v>
      </c>
      <c r="BR167" s="21">
        <f>EXP(-LN(2)/2)*BR166+(1-EXP(-LN(2)/2))/(LN(2)/2)*BL167*BO167*VLOOKUP('Données projet'!$B$11,Paramètres!$A$1:$I$89,3,0)*0.475*44/12</f>
        <v>1.4192965228267292E-11</v>
      </c>
      <c r="BS167" s="22">
        <f t="shared" si="169"/>
        <v>14.847469716045714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5.4001247917767614E-13</v>
      </c>
      <c r="O168" s="13">
        <f>N168*VLOOKUP('Données projet'!$B$9,Paramètres!$A$1:$I$89,3,0)*VLOOKUP('Données projet'!$B$9,Paramètres!$A$1:$I$89,5,0)</f>
        <v>4.8860329115996133E-13</v>
      </c>
      <c r="P168" s="13">
        <f t="shared" si="141"/>
        <v>6.1025862939685007E-12</v>
      </c>
      <c r="Q168" s="20">
        <f t="shared" si="162"/>
        <v>1.1479655194098737E-11</v>
      </c>
      <c r="R168" s="59">
        <f t="shared" si="109"/>
        <v>293.3333333333448</v>
      </c>
      <c r="S168" s="59">
        <f ca="1">AVERAGE(OFFSET($R$3,0,0,'Données projet'!$E$9+1,1))-AVERAGE(OFFSET($H$3,0,0,'Données projet'!$E$9+1,1))</f>
        <v>298.01613436147056</v>
      </c>
      <c r="T168" s="59">
        <f t="shared" si="142"/>
        <v>212.70221374431253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103.83408152033434</v>
      </c>
      <c r="AA168" s="21">
        <f>EXP(-LN(2)/25)*AA167+(1-EXP(-LN(2)/25))/(LN(2)/25)*Calculateur!V168*Calculateur!X168*VLOOKUP('Données projet'!$B$9,Paramètres!$A$1:$I$89,3,0)*0.475*44/12</f>
        <v>17.825193841656048</v>
      </c>
      <c r="AB168" s="21">
        <f>EXP(-LN(2)/2)*AB167+(1-EXP(-LN(2)/2))/(LN(2)/2)*V168*Y168*VLOOKUP('Données projet'!$B$9,Paramètres!$A$1:$I$89,3,0)*0.475*44/12</f>
        <v>1.7098990534929264</v>
      </c>
      <c r="AC168" s="22">
        <f t="shared" si="163"/>
        <v>123.36917441548331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3.177547114319168E-13</v>
      </c>
      <c r="AK168" s="13">
        <f t="shared" si="164"/>
        <v>4.1725404435445377E-12</v>
      </c>
      <c r="AL168" s="20">
        <f t="shared" si="165"/>
        <v>7.820597394917325E-12</v>
      </c>
      <c r="AM168" s="59">
        <f t="shared" si="113"/>
        <v>293.33333333334116</v>
      </c>
      <c r="AN168" s="59">
        <f ca="1">AVERAGE(OFFSET($AM$3,0,0,'Données projet'!$E$10+1,1))-AVERAGE(OFFSET($H$3,0,0,'Données projet'!$E$10+1,1))</f>
        <v>287.413090017863</v>
      </c>
      <c r="AO168" s="59">
        <f t="shared" si="144"/>
        <v>258.48456031927117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35.160729701656052</v>
      </c>
      <c r="AV168" s="21">
        <f>EXP(-LN(2)/25)*AV167+(1-EXP(-LN(2)/25))/(LN(2)/25)*Calculateur!AQ168*Calculateur!AS168*VLOOKUP('Données projet'!$B$10,Paramètres!$A$1:$I$89,3,0)*0.475*44/12</f>
        <v>5.5106897624346578</v>
      </c>
      <c r="AW168" s="21">
        <f>EXP(-LN(2)/2)*AW167+(1-EXP(-LN(2)/2))/(LN(2)/2)*AQ168*AT168*VLOOKUP('Données projet'!$B$10,Paramètres!$A$1:$I$89,3,0)*0.475*44/12</f>
        <v>3.7936209385031646E-13</v>
      </c>
      <c r="AX168" s="21">
        <f t="shared" si="166"/>
        <v>40.671419464091088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243.33915530322201</v>
      </c>
      <c r="BJ168" s="59">
        <f t="shared" si="146"/>
        <v>247.73814704672577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9.6556357563979951</v>
      </c>
      <c r="BQ168" s="21">
        <f>EXP(-LN(2)/25)*BQ167+(1-EXP(-LN(2)/25))/(LN(2)/25)*Calculateur!BL168*Calculateur!BN168*VLOOKUP('Données projet'!$B$11,Paramètres!$A$1:$I$89,3,0)*0.475*44/12</f>
        <v>4.8620158341600614</v>
      </c>
      <c r="BR168" s="21">
        <f>EXP(-LN(2)/2)*BR167+(1-EXP(-LN(2)/2))/(LN(2)/2)*BL168*BO168*VLOOKUP('Données projet'!$B$11,Paramètres!$A$1:$I$89,3,0)*0.475*44/12</f>
        <v>1.0035941958052678E-11</v>
      </c>
      <c r="BS168" s="22">
        <f t="shared" si="169"/>
        <v>14.517651590568093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5.4001247917767614E-13</v>
      </c>
      <c r="O169" s="13">
        <f>N169*VLOOKUP('Données projet'!$B$9,Paramètres!$A$1:$I$89,3,0)*VLOOKUP('Données projet'!$B$9,Paramètres!$A$1:$I$89,5,0)</f>
        <v>4.8860329115996133E-13</v>
      </c>
      <c r="P169" s="13">
        <f t="shared" si="141"/>
        <v>6.1025862939685007E-12</v>
      </c>
      <c r="Q169" s="20">
        <f t="shared" si="162"/>
        <v>1.1479655194098737E-11</v>
      </c>
      <c r="R169" s="59">
        <f t="shared" si="109"/>
        <v>293.3333333333448</v>
      </c>
      <c r="S169" s="59">
        <f ca="1">AVERAGE(OFFSET($R$3,0,0,'Données projet'!$E$9+1,1))-AVERAGE(OFFSET($H$3,0,0,'Données projet'!$E$9+1,1))</f>
        <v>298.01613436147056</v>
      </c>
      <c r="T169" s="59">
        <f t="shared" si="142"/>
        <v>212.70221374431253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101.79795851425673</v>
      </c>
      <c r="AA169" s="21">
        <f>EXP(-LN(2)/25)*AA168+(1-EXP(-LN(2)/25))/(LN(2)/25)*Calculateur!V169*Calculateur!X169*VLOOKUP('Données projet'!$B$9,Paramètres!$A$1:$I$89,3,0)*0.475*44/12</f>
        <v>17.337762978669758</v>
      </c>
      <c r="AB169" s="21">
        <f>EXP(-LN(2)/2)*AB168+(1-EXP(-LN(2)/2))/(LN(2)/2)*V169*Y169*VLOOKUP('Données projet'!$B$9,Paramètres!$A$1:$I$89,3,0)*0.475*44/12</f>
        <v>1.2090812158693074</v>
      </c>
      <c r="AC169" s="22">
        <f t="shared" si="163"/>
        <v>120.3448027087958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3.177547114319168E-13</v>
      </c>
      <c r="AK169" s="13">
        <f t="shared" si="164"/>
        <v>4.1725404435445377E-12</v>
      </c>
      <c r="AL169" s="20">
        <f t="shared" si="165"/>
        <v>7.820597394917325E-12</v>
      </c>
      <c r="AM169" s="59">
        <f t="shared" si="113"/>
        <v>293.33333333334116</v>
      </c>
      <c r="AN169" s="59">
        <f ca="1">AVERAGE(OFFSET($AM$3,0,0,'Données projet'!$E$10+1,1))-AVERAGE(OFFSET($H$3,0,0,'Données projet'!$E$10+1,1))</f>
        <v>287.413090017863</v>
      </c>
      <c r="AO169" s="59">
        <f t="shared" si="144"/>
        <v>258.48456031927117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34.471249238134085</v>
      </c>
      <c r="AV169" s="21">
        <f>EXP(-LN(2)/25)*AV168+(1-EXP(-LN(2)/25))/(LN(2)/25)*Calculateur!AQ169*Calculateur!AS169*VLOOKUP('Données projet'!$B$10,Paramètres!$A$1:$I$89,3,0)*0.475*44/12</f>
        <v>5.3599996610863023</v>
      </c>
      <c r="AW169" s="21">
        <f>EXP(-LN(2)/2)*AW168+(1-EXP(-LN(2)/2))/(LN(2)/2)*AQ169*AT169*VLOOKUP('Données projet'!$B$10,Paramètres!$A$1:$I$89,3,0)*0.475*44/12</f>
        <v>2.6824950908668622E-13</v>
      </c>
      <c r="AX169" s="21">
        <f t="shared" si="166"/>
        <v>39.831248899220654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243.33915530322201</v>
      </c>
      <c r="BJ169" s="59">
        <f t="shared" si="146"/>
        <v>247.73814704672577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9.4662946285713154</v>
      </c>
      <c r="BQ169" s="21">
        <f>EXP(-LN(2)/25)*BQ168+(1-EXP(-LN(2)/25))/(LN(2)/25)*Calculateur!BL169*Calculateur!BN169*VLOOKUP('Données projet'!$B$11,Paramètres!$A$1:$I$89,3,0)*0.475*44/12</f>
        <v>4.7290637554926542</v>
      </c>
      <c r="BR169" s="21">
        <f>EXP(-LN(2)/2)*BR168+(1-EXP(-LN(2)/2))/(LN(2)/2)*BL169*BO169*VLOOKUP('Données projet'!$B$11,Paramètres!$A$1:$I$89,3,0)*0.475*44/12</f>
        <v>7.0964826141336461E-12</v>
      </c>
      <c r="BS169" s="22">
        <f t="shared" si="169"/>
        <v>14.195358384071065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5.4001247917767614E-13</v>
      </c>
      <c r="O170" s="13">
        <f>N170*VLOOKUP('Données projet'!$B$9,Paramètres!$A$1:$I$89,3,0)*VLOOKUP('Données projet'!$B$9,Paramètres!$A$1:$I$89,5,0)</f>
        <v>4.8860329115996133E-13</v>
      </c>
      <c r="P170" s="13">
        <f t="shared" si="141"/>
        <v>6.1025862939685007E-12</v>
      </c>
      <c r="Q170" s="20">
        <f t="shared" si="162"/>
        <v>1.1479655194098737E-11</v>
      </c>
      <c r="R170" s="59">
        <f t="shared" si="109"/>
        <v>293.3333333333448</v>
      </c>
      <c r="S170" s="59">
        <f ca="1">AVERAGE(OFFSET($R$3,0,0,'Données projet'!$E$9+1,1))-AVERAGE(OFFSET($H$3,0,0,'Données projet'!$E$9+1,1))</f>
        <v>298.01613436147056</v>
      </c>
      <c r="T170" s="59">
        <f t="shared" si="142"/>
        <v>212.70221374431253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99.801762638415909</v>
      </c>
      <c r="AA170" s="21">
        <f>EXP(-LN(2)/25)*AA169+(1-EXP(-LN(2)/25))/(LN(2)/25)*Calculateur!V170*Calculateur!X170*VLOOKUP('Données projet'!$B$9,Paramètres!$A$1:$I$89,3,0)*0.475*44/12</f>
        <v>16.863660938264704</v>
      </c>
      <c r="AB170" s="21">
        <f>EXP(-LN(2)/2)*AB169+(1-EXP(-LN(2)/2))/(LN(2)/2)*V170*Y170*VLOOKUP('Données projet'!$B$9,Paramètres!$A$1:$I$89,3,0)*0.475*44/12</f>
        <v>0.85494952674646318</v>
      </c>
      <c r="AC170" s="22">
        <f t="shared" si="163"/>
        <v>117.52037310342708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3.177547114319168E-13</v>
      </c>
      <c r="AK170" s="13">
        <f t="shared" si="164"/>
        <v>4.1725404435445377E-12</v>
      </c>
      <c r="AL170" s="20">
        <f t="shared" si="165"/>
        <v>7.820597394917325E-12</v>
      </c>
      <c r="AM170" s="59">
        <f t="shared" si="113"/>
        <v>293.33333333334116</v>
      </c>
      <c r="AN170" s="59">
        <f ca="1">AVERAGE(OFFSET($AM$3,0,0,'Données projet'!$E$10+1,1))-AVERAGE(OFFSET($H$3,0,0,'Données projet'!$E$10+1,1))</f>
        <v>287.413090017863</v>
      </c>
      <c r="AO170" s="59">
        <f t="shared" si="144"/>
        <v>258.48456031927117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33.795289065960226</v>
      </c>
      <c r="AV170" s="21">
        <f>EXP(-LN(2)/25)*AV169+(1-EXP(-LN(2)/25))/(LN(2)/25)*Calculateur!AQ170*Calculateur!AS170*VLOOKUP('Données projet'!$B$10,Paramètres!$A$1:$I$89,3,0)*0.475*44/12</f>
        <v>5.2134301884837653</v>
      </c>
      <c r="AW170" s="21">
        <f>EXP(-LN(2)/2)*AW169+(1-EXP(-LN(2)/2))/(LN(2)/2)*AQ170*AT170*VLOOKUP('Données projet'!$B$10,Paramètres!$A$1:$I$89,3,0)*0.475*44/12</f>
        <v>1.8968104692515823E-13</v>
      </c>
      <c r="AX170" s="21">
        <f t="shared" si="166"/>
        <v>39.008719254444181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243.33915530322201</v>
      </c>
      <c r="BJ170" s="59">
        <f t="shared" si="146"/>
        <v>247.73814704672577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9.2806663647746337</v>
      </c>
      <c r="BQ170" s="21">
        <f>EXP(-LN(2)/25)*BQ169+(1-EXP(-LN(2)/25))/(LN(2)/25)*Calculateur!BL170*Calculateur!BN170*VLOOKUP('Données projet'!$B$11,Paramètres!$A$1:$I$89,3,0)*0.475*44/12</f>
        <v>4.599747258408053</v>
      </c>
      <c r="BR170" s="21">
        <f>EXP(-LN(2)/2)*BR169+(1-EXP(-LN(2)/2))/(LN(2)/2)*BL170*BO170*VLOOKUP('Données projet'!$B$11,Paramètres!$A$1:$I$89,3,0)*0.475*44/12</f>
        <v>5.0179709790263388E-12</v>
      </c>
      <c r="BS170" s="22">
        <f t="shared" si="169"/>
        <v>13.880413623187705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5.4001247917767614E-13</v>
      </c>
      <c r="O171" s="13">
        <f>N171*VLOOKUP('Données projet'!$B$9,Paramètres!$A$1:$I$89,3,0)*VLOOKUP('Données projet'!$B$9,Paramètres!$A$1:$I$89,5,0)</f>
        <v>4.8860329115996133E-13</v>
      </c>
      <c r="P171" s="13">
        <f t="shared" si="141"/>
        <v>6.1025862939685007E-12</v>
      </c>
      <c r="Q171" s="20">
        <f t="shared" si="162"/>
        <v>1.1479655194098737E-11</v>
      </c>
      <c r="R171" s="59">
        <f t="shared" si="109"/>
        <v>293.3333333333448</v>
      </c>
      <c r="S171" s="59">
        <f ca="1">AVERAGE(OFFSET($R$3,0,0,'Données projet'!$E$9+1,1))-AVERAGE(OFFSET($H$3,0,0,'Données projet'!$E$9+1,1))</f>
        <v>298.01613436147056</v>
      </c>
      <c r="T171" s="59">
        <f t="shared" si="142"/>
        <v>212.70221374431253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97.844710946141063</v>
      </c>
      <c r="AA171" s="21">
        <f>EXP(-LN(2)/25)*AA170+(1-EXP(-LN(2)/25))/(LN(2)/25)*Calculateur!V171*Calculateur!X171*VLOOKUP('Données projet'!$B$9,Paramètres!$A$1:$I$89,3,0)*0.475*44/12</f>
        <v>16.40252324308647</v>
      </c>
      <c r="AB171" s="21">
        <f>EXP(-LN(2)/2)*AB170+(1-EXP(-LN(2)/2))/(LN(2)/2)*V171*Y171*VLOOKUP('Données projet'!$B$9,Paramètres!$A$1:$I$89,3,0)*0.475*44/12</f>
        <v>0.6045406079346537</v>
      </c>
      <c r="AC171" s="22">
        <f t="shared" si="163"/>
        <v>114.85177479716218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3.177547114319168E-13</v>
      </c>
      <c r="AK171" s="13">
        <f t="shared" si="164"/>
        <v>4.1725404435445377E-12</v>
      </c>
      <c r="AL171" s="20">
        <f t="shared" si="165"/>
        <v>7.820597394917325E-12</v>
      </c>
      <c r="AM171" s="59">
        <f t="shared" si="113"/>
        <v>293.33333333334116</v>
      </c>
      <c r="AN171" s="59">
        <f ca="1">AVERAGE(OFFSET($AM$3,0,0,'Données projet'!$E$10+1,1))-AVERAGE(OFFSET($H$3,0,0,'Données projet'!$E$10+1,1))</f>
        <v>287.413090017863</v>
      </c>
      <c r="AO171" s="59">
        <f t="shared" si="144"/>
        <v>258.48456031927117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33.1325840604677</v>
      </c>
      <c r="AV171" s="21">
        <f>EXP(-LN(2)/25)*AV170+(1-EXP(-LN(2)/25))/(LN(2)/25)*Calculateur!AQ171*Calculateur!AS171*VLOOKUP('Données projet'!$B$10,Paramètres!$A$1:$I$89,3,0)*0.475*44/12</f>
        <v>5.0708686658172981</v>
      </c>
      <c r="AW171" s="21">
        <f>EXP(-LN(2)/2)*AW170+(1-EXP(-LN(2)/2))/(LN(2)/2)*AQ171*AT171*VLOOKUP('Données projet'!$B$10,Paramètres!$A$1:$I$89,3,0)*0.475*44/12</f>
        <v>1.3412475454334311E-13</v>
      </c>
      <c r="AX171" s="21">
        <f t="shared" si="166"/>
        <v>38.203452726285136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243.33915530322201</v>
      </c>
      <c r="BJ171" s="59">
        <f t="shared" si="146"/>
        <v>247.73814704672577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9.0986781580089424</v>
      </c>
      <c r="BQ171" s="21">
        <f>EXP(-LN(2)/25)*BQ170+(1-EXP(-LN(2)/25))/(LN(2)/25)*Calculateur!BL171*Calculateur!BN171*VLOOKUP('Données projet'!$B$11,Paramètres!$A$1:$I$89,3,0)*0.475*44/12</f>
        <v>4.4739669277366891</v>
      </c>
      <c r="BR171" s="21">
        <f>EXP(-LN(2)/2)*BR170+(1-EXP(-LN(2)/2))/(LN(2)/2)*BL171*BO171*VLOOKUP('Données projet'!$B$11,Paramètres!$A$1:$I$89,3,0)*0.475*44/12</f>
        <v>3.5482413070668231E-12</v>
      </c>
      <c r="BS171" s="22">
        <f t="shared" si="169"/>
        <v>13.572645085749178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5.4001247917767614E-13</v>
      </c>
      <c r="O172" s="13">
        <f>N172*VLOOKUP('Données projet'!$B$9,Paramètres!$A$1:$I$89,3,0)*VLOOKUP('Données projet'!$B$9,Paramètres!$A$1:$I$89,5,0)</f>
        <v>4.8860329115996133E-13</v>
      </c>
      <c r="P172" s="13">
        <f t="shared" si="141"/>
        <v>6.1025862939685007E-12</v>
      </c>
      <c r="Q172" s="20">
        <f t="shared" si="162"/>
        <v>1.1479655194098737E-11</v>
      </c>
      <c r="R172" s="59">
        <f t="shared" si="109"/>
        <v>293.3333333333448</v>
      </c>
      <c r="S172" s="59">
        <f ca="1">AVERAGE(OFFSET($R$3,0,0,'Données projet'!$E$9+1,1))-AVERAGE(OFFSET($H$3,0,0,'Données projet'!$E$9+1,1))</f>
        <v>298.01613436147056</v>
      </c>
      <c r="T172" s="59">
        <f t="shared" si="142"/>
        <v>212.70221374431253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95.926035843868064</v>
      </c>
      <c r="AA172" s="21">
        <f>EXP(-LN(2)/25)*AA171+(1-EXP(-LN(2)/25))/(LN(2)/25)*Calculateur!V172*Calculateur!X172*VLOOKUP('Données projet'!$B$9,Paramètres!$A$1:$I$89,3,0)*0.475*44/12</f>
        <v>15.953995382433062</v>
      </c>
      <c r="AB172" s="21">
        <f>EXP(-LN(2)/2)*AB171+(1-EXP(-LN(2)/2))/(LN(2)/2)*V172*Y172*VLOOKUP('Données projet'!$B$9,Paramètres!$A$1:$I$89,3,0)*0.475*44/12</f>
        <v>0.42747476337323159</v>
      </c>
      <c r="AC172" s="22">
        <f t="shared" si="163"/>
        <v>112.30750598967435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3.177547114319168E-13</v>
      </c>
      <c r="AK172" s="13">
        <f t="shared" si="164"/>
        <v>4.1725404435445377E-12</v>
      </c>
      <c r="AL172" s="20">
        <f t="shared" si="165"/>
        <v>7.820597394917325E-12</v>
      </c>
      <c r="AM172" s="59">
        <f t="shared" si="113"/>
        <v>293.33333333334116</v>
      </c>
      <c r="AN172" s="59">
        <f ca="1">AVERAGE(OFFSET($AM$3,0,0,'Données projet'!$E$10+1,1))-AVERAGE(OFFSET($H$3,0,0,'Données projet'!$E$10+1,1))</f>
        <v>287.413090017863</v>
      </c>
      <c r="AO172" s="59">
        <f t="shared" si="144"/>
        <v>258.48456031927117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32.482874295922741</v>
      </c>
      <c r="AV172" s="21">
        <f>EXP(-LN(2)/25)*AV171+(1-EXP(-LN(2)/25))/(LN(2)/25)*Calculateur!AQ172*Calculateur!AS172*VLOOKUP('Données projet'!$B$10,Paramètres!$A$1:$I$89,3,0)*0.475*44/12</f>
        <v>4.9322054954851309</v>
      </c>
      <c r="AW172" s="21">
        <f>EXP(-LN(2)/2)*AW171+(1-EXP(-LN(2)/2))/(LN(2)/2)*AQ172*AT172*VLOOKUP('Données projet'!$B$10,Paramètres!$A$1:$I$89,3,0)*0.475*44/12</f>
        <v>9.4840523462579115E-14</v>
      </c>
      <c r="AX172" s="21">
        <f t="shared" si="166"/>
        <v>37.415079791407962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243.33915530322201</v>
      </c>
      <c r="BJ172" s="59">
        <f t="shared" si="146"/>
        <v>247.73814704672577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8.9202586289760806</v>
      </c>
      <c r="BQ172" s="21">
        <f>EXP(-LN(2)/25)*BQ171+(1-EXP(-LN(2)/25))/(LN(2)/25)*Calculateur!BL172*Calculateur!BN172*VLOOKUP('Données projet'!$B$11,Paramètres!$A$1:$I$89,3,0)*0.475*44/12</f>
        <v>4.3516260668220337</v>
      </c>
      <c r="BR172" s="21">
        <f>EXP(-LN(2)/2)*BR171+(1-EXP(-LN(2)/2))/(LN(2)/2)*BL172*BO172*VLOOKUP('Données projet'!$B$11,Paramètres!$A$1:$I$89,3,0)*0.475*44/12</f>
        <v>2.5089854895131694E-12</v>
      </c>
      <c r="BS172" s="22">
        <f t="shared" si="169"/>
        <v>13.271884695800622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5.4001247917767614E-13</v>
      </c>
      <c r="O173" s="13">
        <f>N173*VLOOKUP('Données projet'!$B$9,Paramètres!$A$1:$I$89,3,0)*VLOOKUP('Données projet'!$B$9,Paramètres!$A$1:$I$89,5,0)</f>
        <v>4.8860329115996133E-13</v>
      </c>
      <c r="P173" s="13">
        <f t="shared" si="141"/>
        <v>6.1025862939685007E-12</v>
      </c>
      <c r="Q173" s="20">
        <f t="shared" si="162"/>
        <v>1.1479655194098737E-11</v>
      </c>
      <c r="R173" s="59">
        <f t="shared" si="109"/>
        <v>293.3333333333448</v>
      </c>
      <c r="S173" s="59">
        <f ca="1">AVERAGE(OFFSET($R$3,0,0,'Données projet'!$E$9+1,1))-AVERAGE(OFFSET($H$3,0,0,'Données projet'!$E$9+1,1))</f>
        <v>298.01613436147056</v>
      </c>
      <c r="T173" s="59">
        <f t="shared" si="142"/>
        <v>212.70221374431253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94.04498479007438</v>
      </c>
      <c r="AA173" s="21">
        <f>EXP(-LN(2)/25)*AA172+(1-EXP(-LN(2)/25))/(LN(2)/25)*Calculateur!V173*Calculateur!X173*VLOOKUP('Données projet'!$B$9,Paramètres!$A$1:$I$89,3,0)*0.475*44/12</f>
        <v>15.517732539716276</v>
      </c>
      <c r="AB173" s="21">
        <f>EXP(-LN(2)/2)*AB172+(1-EXP(-LN(2)/2))/(LN(2)/2)*V173*Y173*VLOOKUP('Données projet'!$B$9,Paramètres!$A$1:$I$89,3,0)*0.475*44/12</f>
        <v>0.30227030396732685</v>
      </c>
      <c r="AC173" s="22">
        <f t="shared" si="163"/>
        <v>109.86498763375799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3.177547114319168E-13</v>
      </c>
      <c r="AK173" s="13">
        <f t="shared" si="164"/>
        <v>4.1725404435445377E-12</v>
      </c>
      <c r="AL173" s="20">
        <f t="shared" si="165"/>
        <v>7.820597394917325E-12</v>
      </c>
      <c r="AM173" s="59">
        <f t="shared" si="113"/>
        <v>293.33333333334116</v>
      </c>
      <c r="AN173" s="59">
        <f ca="1">AVERAGE(OFFSET($AM$3,0,0,'Données projet'!$E$10+1,1))-AVERAGE(OFFSET($H$3,0,0,'Données projet'!$E$10+1,1))</f>
        <v>287.413090017863</v>
      </c>
      <c r="AO173" s="59">
        <f t="shared" si="144"/>
        <v>258.48456031927117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31.845904943576684</v>
      </c>
      <c r="AV173" s="21">
        <f>EXP(-LN(2)/25)*AV172+(1-EXP(-LN(2)/25))/(LN(2)/25)*Calculateur!AQ173*Calculateur!AS173*VLOOKUP('Données projet'!$B$10,Paramètres!$A$1:$I$89,3,0)*0.475*44/12</f>
        <v>4.797334076837676</v>
      </c>
      <c r="AW173" s="21">
        <f>EXP(-LN(2)/2)*AW172+(1-EXP(-LN(2)/2))/(LN(2)/2)*AQ173*AT173*VLOOKUP('Données projet'!$B$10,Paramètres!$A$1:$I$89,3,0)*0.475*44/12</f>
        <v>6.7062377271671555E-14</v>
      </c>
      <c r="AX173" s="21">
        <f t="shared" si="166"/>
        <v>36.643239020414427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243.33915530322201</v>
      </c>
      <c r="BJ173" s="59">
        <f t="shared" si="146"/>
        <v>247.73814704672577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8.745337798082387</v>
      </c>
      <c r="BQ173" s="21">
        <f>EXP(-LN(2)/25)*BQ172+(1-EXP(-LN(2)/25))/(LN(2)/25)*Calculateur!BL173*Calculateur!BN173*VLOOKUP('Données projet'!$B$11,Paramètres!$A$1:$I$89,3,0)*0.475*44/12</f>
        <v>4.2326306231827164</v>
      </c>
      <c r="BR173" s="21">
        <f>EXP(-LN(2)/2)*BR172+(1-EXP(-LN(2)/2))/(LN(2)/2)*BL173*BO173*VLOOKUP('Données projet'!$B$11,Paramètres!$A$1:$I$89,3,0)*0.475*44/12</f>
        <v>1.7741206535334115E-12</v>
      </c>
      <c r="BS173" s="22">
        <f t="shared" si="169"/>
        <v>12.977968421266878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5.4001247917767614E-13</v>
      </c>
      <c r="O174" s="13">
        <f>N174*VLOOKUP('Données projet'!$B$9,Paramètres!$A$1:$I$89,3,0)*VLOOKUP('Données projet'!$B$9,Paramètres!$A$1:$I$89,5,0)</f>
        <v>4.8860329115996133E-13</v>
      </c>
      <c r="P174" s="13">
        <f t="shared" si="141"/>
        <v>6.1025862939685007E-12</v>
      </c>
      <c r="Q174" s="20">
        <f t="shared" si="162"/>
        <v>1.1479655194098737E-11</v>
      </c>
      <c r="R174" s="59">
        <f t="shared" si="109"/>
        <v>293.3333333333448</v>
      </c>
      <c r="S174" s="59">
        <f ca="1">AVERAGE(OFFSET($R$3,0,0,'Données projet'!$E$9+1,1))-AVERAGE(OFFSET($H$3,0,0,'Données projet'!$E$9+1,1))</f>
        <v>298.01613436147056</v>
      </c>
      <c r="T174" s="59">
        <f t="shared" si="142"/>
        <v>212.70221374431253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92.200820000117744</v>
      </c>
      <c r="AA174" s="21">
        <f>EXP(-LN(2)/25)*AA173+(1-EXP(-LN(2)/25))/(LN(2)/25)*Calculateur!V174*Calculateur!X174*VLOOKUP('Données projet'!$B$9,Paramètres!$A$1:$I$89,3,0)*0.475*44/12</f>
        <v>15.093399327375646</v>
      </c>
      <c r="AB174" s="21">
        <f>EXP(-LN(2)/2)*AB173+(1-EXP(-LN(2)/2))/(LN(2)/2)*V174*Y174*VLOOKUP('Données projet'!$B$9,Paramètres!$A$1:$I$89,3,0)*0.475*44/12</f>
        <v>0.2137373816866158</v>
      </c>
      <c r="AC174" s="22">
        <f t="shared" si="163"/>
        <v>107.50795670918001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3.177547114319168E-13</v>
      </c>
      <c r="AK174" s="13">
        <f t="shared" si="164"/>
        <v>4.1725404435445377E-12</v>
      </c>
      <c r="AL174" s="20">
        <f t="shared" si="165"/>
        <v>7.820597394917325E-12</v>
      </c>
      <c r="AM174" s="59">
        <f t="shared" si="113"/>
        <v>293.33333333334116</v>
      </c>
      <c r="AN174" s="59">
        <f ca="1">AVERAGE(OFFSET($AM$3,0,0,'Données projet'!$E$10+1,1))-AVERAGE(OFFSET($H$3,0,0,'Données projet'!$E$10+1,1))</f>
        <v>287.413090017863</v>
      </c>
      <c r="AO174" s="59">
        <f t="shared" si="144"/>
        <v>258.48456031927117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31.221426171717191</v>
      </c>
      <c r="AV174" s="21">
        <f>EXP(-LN(2)/25)*AV173+(1-EXP(-LN(2)/25))/(LN(2)/25)*Calculateur!AQ174*Calculateur!AS174*VLOOKUP('Données projet'!$B$10,Paramètres!$A$1:$I$89,3,0)*0.475*44/12</f>
        <v>4.666150724225715</v>
      </c>
      <c r="AW174" s="21">
        <f>EXP(-LN(2)/2)*AW173+(1-EXP(-LN(2)/2))/(LN(2)/2)*AQ174*AT174*VLOOKUP('Données projet'!$B$10,Paramètres!$A$1:$I$89,3,0)*0.475*44/12</f>
        <v>4.7420261731289557E-14</v>
      </c>
      <c r="AX174" s="21">
        <f t="shared" si="166"/>
        <v>35.887576895942956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243.33915530322201</v>
      </c>
      <c r="BJ174" s="59">
        <f t="shared" si="146"/>
        <v>247.73814704672577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8.5738470579913475</v>
      </c>
      <c r="BQ174" s="21">
        <f>EXP(-LN(2)/25)*BQ173+(1-EXP(-LN(2)/25))/(LN(2)/25)*Calculateur!BL174*Calculateur!BN174*VLOOKUP('Données projet'!$B$11,Paramètres!$A$1:$I$89,3,0)*0.475*44/12</f>
        <v>4.1168891162074148</v>
      </c>
      <c r="BR174" s="21">
        <f>EXP(-LN(2)/2)*BR173+(1-EXP(-LN(2)/2))/(LN(2)/2)*BL174*BO174*VLOOKUP('Données projet'!$B$11,Paramètres!$A$1:$I$89,3,0)*0.475*44/12</f>
        <v>1.2544927447565847E-12</v>
      </c>
      <c r="BS174" s="22">
        <f t="shared" si="169"/>
        <v>12.690736174200016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5.4001247917767614E-13</v>
      </c>
      <c r="O175" s="13">
        <f>N175*VLOOKUP('Données projet'!$B$9,Paramètres!$A$1:$I$89,3,0)*VLOOKUP('Données projet'!$B$9,Paramètres!$A$1:$I$89,5,0)</f>
        <v>4.8860329115996133E-13</v>
      </c>
      <c r="P175" s="13">
        <f t="shared" si="141"/>
        <v>6.1025862939685007E-12</v>
      </c>
      <c r="Q175" s="20">
        <f t="shared" si="162"/>
        <v>1.1479655194098737E-11</v>
      </c>
      <c r="R175" s="59">
        <f t="shared" si="109"/>
        <v>293.3333333333448</v>
      </c>
      <c r="S175" s="59">
        <f ca="1">AVERAGE(OFFSET($R$3,0,0,'Données projet'!$E$9+1,1))-AVERAGE(OFFSET($H$3,0,0,'Données projet'!$E$9+1,1))</f>
        <v>298.01613436147056</v>
      </c>
      <c r="T175" s="59">
        <f t="shared" si="142"/>
        <v>212.70221374431253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90.392818156862702</v>
      </c>
      <c r="AA175" s="21">
        <f>EXP(-LN(2)/25)*AA174+(1-EXP(-LN(2)/25))/(LN(2)/25)*Calculateur!V175*Calculateur!X175*VLOOKUP('Données projet'!$B$9,Paramètres!$A$1:$I$89,3,0)*0.475*44/12</f>
        <v>14.680669529041186</v>
      </c>
      <c r="AB175" s="21">
        <f>EXP(-LN(2)/2)*AB174+(1-EXP(-LN(2)/2))/(LN(2)/2)*V175*Y175*VLOOKUP('Données projet'!$B$9,Paramètres!$A$1:$I$89,3,0)*0.475*44/12</f>
        <v>0.15113515198366342</v>
      </c>
      <c r="AC175" s="22">
        <f t="shared" si="163"/>
        <v>105.22462283788755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3.177547114319168E-13</v>
      </c>
      <c r="AK175" s="13">
        <f t="shared" si="164"/>
        <v>4.1725404435445377E-12</v>
      </c>
      <c r="AL175" s="20">
        <f t="shared" si="165"/>
        <v>7.820597394917325E-12</v>
      </c>
      <c r="AM175" s="59">
        <f t="shared" si="113"/>
        <v>293.33333333334116</v>
      </c>
      <c r="AN175" s="59">
        <f ca="1">AVERAGE(OFFSET($AM$3,0,0,'Données projet'!$E$10+1,1))-AVERAGE(OFFSET($H$3,0,0,'Données projet'!$E$10+1,1))</f>
        <v>287.413090017863</v>
      </c>
      <c r="AO175" s="59">
        <f t="shared" si="144"/>
        <v>258.48456031927117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30.609193047679423</v>
      </c>
      <c r="AV175" s="21">
        <f>EXP(-LN(2)/25)*AV174+(1-EXP(-LN(2)/25))/(LN(2)/25)*Calculateur!AQ175*Calculateur!AS175*VLOOKUP('Données projet'!$B$10,Paramètres!$A$1:$I$89,3,0)*0.475*44/12</f>
        <v>4.5385545872895605</v>
      </c>
      <c r="AW175" s="21">
        <f>EXP(-LN(2)/2)*AW174+(1-EXP(-LN(2)/2))/(LN(2)/2)*AQ175*AT175*VLOOKUP('Données projet'!$B$10,Paramètres!$A$1:$I$89,3,0)*0.475*44/12</f>
        <v>3.3531188635835778E-14</v>
      </c>
      <c r="AX175" s="21">
        <f t="shared" si="166"/>
        <v>35.147747634969015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243.33915530322201</v>
      </c>
      <c r="BJ175" s="59">
        <f t="shared" si="146"/>
        <v>247.73814704672577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8.4057191467144694</v>
      </c>
      <c r="BQ175" s="21">
        <f>EXP(-LN(2)/25)*BQ174+(1-EXP(-LN(2)/25))/(LN(2)/25)*Calculateur!BL175*Calculateur!BN175*VLOOKUP('Données projet'!$B$11,Paramètres!$A$1:$I$89,3,0)*0.475*44/12</f>
        <v>4.0043125668269335</v>
      </c>
      <c r="BR175" s="21">
        <f>EXP(-LN(2)/2)*BR174+(1-EXP(-LN(2)/2))/(LN(2)/2)*BL175*BO175*VLOOKUP('Données projet'!$B$11,Paramètres!$A$1:$I$89,3,0)*0.475*44/12</f>
        <v>8.8706032676670577E-13</v>
      </c>
      <c r="BS175" s="22">
        <f t="shared" si="169"/>
        <v>12.41003171354229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5.4001247917767614E-13</v>
      </c>
      <c r="O176" s="13">
        <f>N176*VLOOKUP('Données projet'!$B$9,Paramètres!$A$1:$I$89,3,0)*VLOOKUP('Données projet'!$B$9,Paramètres!$A$1:$I$89,5,0)</f>
        <v>4.8860329115996133E-13</v>
      </c>
      <c r="P176" s="13">
        <f t="shared" si="141"/>
        <v>6.1025862939685007E-12</v>
      </c>
      <c r="Q176" s="20">
        <f t="shared" si="162"/>
        <v>1.1479655194098737E-11</v>
      </c>
      <c r="R176" s="59">
        <f t="shared" si="109"/>
        <v>293.3333333333448</v>
      </c>
      <c r="S176" s="59">
        <f ca="1">AVERAGE(OFFSET($R$3,0,0,'Données projet'!$E$9+1,1))-AVERAGE(OFFSET($H$3,0,0,'Données projet'!$E$9+1,1))</f>
        <v>298.01613436147056</v>
      </c>
      <c r="T176" s="59">
        <f t="shared" si="142"/>
        <v>212.70221374431253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88.620270126981652</v>
      </c>
      <c r="AA176" s="21">
        <f>EXP(-LN(2)/25)*AA175+(1-EXP(-LN(2)/25))/(LN(2)/25)*Calculateur!V176*Calculateur!X176*VLOOKUP('Données projet'!$B$9,Paramètres!$A$1:$I$89,3,0)*0.475*44/12</f>
        <v>14.279225848746698</v>
      </c>
      <c r="AB176" s="21">
        <f>EXP(-LN(2)/2)*AB175+(1-EXP(-LN(2)/2))/(LN(2)/2)*V176*Y176*VLOOKUP('Données projet'!$B$9,Paramètres!$A$1:$I$89,3,0)*0.475*44/12</f>
        <v>0.1068686908433079</v>
      </c>
      <c r="AC176" s="22">
        <f t="shared" si="163"/>
        <v>103.00636466657166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3.177547114319168E-13</v>
      </c>
      <c r="AK176" s="13">
        <f t="shared" si="164"/>
        <v>4.1725404435445377E-12</v>
      </c>
      <c r="AL176" s="20">
        <f t="shared" si="165"/>
        <v>7.820597394917325E-12</v>
      </c>
      <c r="AM176" s="59">
        <f t="shared" si="113"/>
        <v>293.33333333334116</v>
      </c>
      <c r="AN176" s="59">
        <f ca="1">AVERAGE(OFFSET($AM$3,0,0,'Données projet'!$E$10+1,1))-AVERAGE(OFFSET($H$3,0,0,'Données projet'!$E$10+1,1))</f>
        <v>287.413090017863</v>
      </c>
      <c r="AO176" s="59">
        <f t="shared" si="144"/>
        <v>258.48456031927117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30.008965441778702</v>
      </c>
      <c r="AV176" s="21">
        <f>EXP(-LN(2)/25)*AV175+(1-EXP(-LN(2)/25))/(LN(2)/25)*Calculateur!AQ176*Calculateur!AS176*VLOOKUP('Données projet'!$B$10,Paramètres!$A$1:$I$89,3,0)*0.475*44/12</f>
        <v>4.4144475734279149</v>
      </c>
      <c r="AW176" s="21">
        <f>EXP(-LN(2)/2)*AW175+(1-EXP(-LN(2)/2))/(LN(2)/2)*AQ176*AT176*VLOOKUP('Données projet'!$B$10,Paramètres!$A$1:$I$89,3,0)*0.475*44/12</f>
        <v>2.3710130865644779E-14</v>
      </c>
      <c r="AX176" s="21">
        <f t="shared" si="166"/>
        <v>34.423413015206641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243.33915530322201</v>
      </c>
      <c r="BJ176" s="59">
        <f t="shared" si="146"/>
        <v>247.73814704672577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8.2408881212298315</v>
      </c>
      <c r="BQ176" s="21">
        <f>EXP(-LN(2)/25)*BQ175+(1-EXP(-LN(2)/25))/(LN(2)/25)*Calculateur!BL176*Calculateur!BN176*VLOOKUP('Données projet'!$B$11,Paramètres!$A$1:$I$89,3,0)*0.475*44/12</f>
        <v>3.8948144291094051</v>
      </c>
      <c r="BR176" s="21">
        <f>EXP(-LN(2)/2)*BR175+(1-EXP(-LN(2)/2))/(LN(2)/2)*BL176*BO176*VLOOKUP('Données projet'!$B$11,Paramètres!$A$1:$I$89,3,0)*0.475*44/12</f>
        <v>6.2724637237829235E-13</v>
      </c>
      <c r="BS176" s="22">
        <f t="shared" si="169"/>
        <v>12.135702550339863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5.4001247917767614E-13</v>
      </c>
      <c r="O177" s="13">
        <f>N177*VLOOKUP('Données projet'!$B$9,Paramètres!$A$1:$I$89,3,0)*VLOOKUP('Données projet'!$B$9,Paramètres!$A$1:$I$89,5,0)</f>
        <v>4.8860329115996133E-13</v>
      </c>
      <c r="P177" s="13">
        <f t="shared" si="141"/>
        <v>6.1025862939685007E-12</v>
      </c>
      <c r="Q177" s="20">
        <f t="shared" si="162"/>
        <v>1.1479655194098737E-11</v>
      </c>
      <c r="R177" s="59">
        <f t="shared" si="109"/>
        <v>293.3333333333448</v>
      </c>
      <c r="S177" s="59">
        <f ca="1">AVERAGE(OFFSET($R$3,0,0,'Données projet'!$E$9+1,1))-AVERAGE(OFFSET($H$3,0,0,'Données projet'!$E$9+1,1))</f>
        <v>298.01613436147056</v>
      </c>
      <c r="T177" s="59">
        <f t="shared" si="142"/>
        <v>212.70221374431253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86.882480682819022</v>
      </c>
      <c r="AA177" s="21">
        <f>EXP(-LN(2)/25)*AA176+(1-EXP(-LN(2)/25))/(LN(2)/25)*Calculateur!V177*Calculateur!X177*VLOOKUP('Données projet'!$B$9,Paramètres!$A$1:$I$89,3,0)*0.475*44/12</f>
        <v>13.888759667000867</v>
      </c>
      <c r="AB177" s="21">
        <f>EXP(-LN(2)/2)*AB176+(1-EXP(-LN(2)/2))/(LN(2)/2)*V177*Y177*VLOOKUP('Données projet'!$B$9,Paramètres!$A$1:$I$89,3,0)*0.475*44/12</f>
        <v>7.5567575991831712E-2</v>
      </c>
      <c r="AC177" s="22">
        <f t="shared" si="163"/>
        <v>100.84680792581172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3.177547114319168E-13</v>
      </c>
      <c r="AK177" s="13">
        <f t="shared" si="164"/>
        <v>4.1725404435445377E-12</v>
      </c>
      <c r="AL177" s="20">
        <f t="shared" si="165"/>
        <v>7.820597394917325E-12</v>
      </c>
      <c r="AM177" s="59">
        <f t="shared" si="113"/>
        <v>293.33333333334116</v>
      </c>
      <c r="AN177" s="59">
        <f ca="1">AVERAGE(OFFSET($AM$3,0,0,'Données projet'!$E$10+1,1))-AVERAGE(OFFSET($H$3,0,0,'Données projet'!$E$10+1,1))</f>
        <v>287.413090017863</v>
      </c>
      <c r="AO177" s="59">
        <f t="shared" si="144"/>
        <v>258.48456031927117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29.420507933127006</v>
      </c>
      <c r="AV177" s="21">
        <f>EXP(-LN(2)/25)*AV176+(1-EXP(-LN(2)/25))/(LN(2)/25)*Calculateur!AQ177*Calculateur!AS177*VLOOKUP('Données projet'!$B$10,Paramètres!$A$1:$I$89,3,0)*0.475*44/12</f>
        <v>4.2937342723868204</v>
      </c>
      <c r="AW177" s="21">
        <f>EXP(-LN(2)/2)*AW176+(1-EXP(-LN(2)/2))/(LN(2)/2)*AQ177*AT177*VLOOKUP('Données projet'!$B$10,Paramètres!$A$1:$I$89,3,0)*0.475*44/12</f>
        <v>1.6765594317917889E-14</v>
      </c>
      <c r="AX177" s="21">
        <f t="shared" si="166"/>
        <v>33.714242205513841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243.33915530322201</v>
      </c>
      <c r="BJ177" s="59">
        <f t="shared" si="146"/>
        <v>247.73814704672577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8.0792893316179484</v>
      </c>
      <c r="BQ177" s="21">
        <f>EXP(-LN(2)/25)*BQ176+(1-EXP(-LN(2)/25))/(LN(2)/25)*Calculateur!BL177*Calculateur!BN177*VLOOKUP('Données projet'!$B$11,Paramètres!$A$1:$I$89,3,0)*0.475*44/12</f>
        <v>3.7883105237260195</v>
      </c>
      <c r="BR177" s="21">
        <f>EXP(-LN(2)/2)*BR176+(1-EXP(-LN(2)/2))/(LN(2)/2)*BL177*BO177*VLOOKUP('Données projet'!$B$11,Paramètres!$A$1:$I$89,3,0)*0.475*44/12</f>
        <v>4.4353016338335288E-13</v>
      </c>
      <c r="BS177" s="22">
        <f t="shared" si="169"/>
        <v>11.867599855344412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5.4001247917767614E-13</v>
      </c>
      <c r="O178" s="13">
        <f>N178*VLOOKUP('Données projet'!$B$9,Paramètres!$A$1:$I$89,3,0)*VLOOKUP('Données projet'!$B$9,Paramètres!$A$1:$I$89,5,0)</f>
        <v>4.8860329115996133E-13</v>
      </c>
      <c r="P178" s="13">
        <f t="shared" si="141"/>
        <v>6.1025862939685007E-12</v>
      </c>
      <c r="Q178" s="20">
        <f t="shared" si="162"/>
        <v>1.1479655194098737E-11</v>
      </c>
      <c r="R178" s="59">
        <f t="shared" si="109"/>
        <v>293.3333333333448</v>
      </c>
      <c r="S178" s="59">
        <f ca="1">AVERAGE(OFFSET($R$3,0,0,'Données projet'!$E$9+1,1))-AVERAGE(OFFSET($H$3,0,0,'Données projet'!$E$9+1,1))</f>
        <v>298.01613436147056</v>
      </c>
      <c r="T178" s="59">
        <f t="shared" si="142"/>
        <v>212.70221374431253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85.178768229709519</v>
      </c>
      <c r="AA178" s="21">
        <f>EXP(-LN(2)/25)*AA177+(1-EXP(-LN(2)/25))/(LN(2)/25)*Calculateur!V178*Calculateur!X178*VLOOKUP('Données projet'!$B$9,Paramètres!$A$1:$I$89,3,0)*0.475*44/12</f>
        <v>13.508970803528602</v>
      </c>
      <c r="AB178" s="21">
        <f>EXP(-LN(2)/2)*AB177+(1-EXP(-LN(2)/2))/(LN(2)/2)*V178*Y178*VLOOKUP('Données projet'!$B$9,Paramètres!$A$1:$I$89,3,0)*0.475*44/12</f>
        <v>5.3434345421653949E-2</v>
      </c>
      <c r="AC178" s="22">
        <f t="shared" si="163"/>
        <v>98.741173378659767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3.177547114319168E-13</v>
      </c>
      <c r="AK178" s="13">
        <f t="shared" si="164"/>
        <v>4.1725404435445377E-12</v>
      </c>
      <c r="AL178" s="20">
        <f t="shared" si="165"/>
        <v>7.820597394917325E-12</v>
      </c>
      <c r="AM178" s="59">
        <f t="shared" si="113"/>
        <v>293.33333333334116</v>
      </c>
      <c r="AN178" s="59">
        <f ca="1">AVERAGE(OFFSET($AM$3,0,0,'Données projet'!$E$10+1,1))-AVERAGE(OFFSET($H$3,0,0,'Données projet'!$E$10+1,1))</f>
        <v>287.413090017863</v>
      </c>
      <c r="AO178" s="59">
        <f t="shared" si="144"/>
        <v>258.48456031927117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28.843589717296329</v>
      </c>
      <c r="AV178" s="21">
        <f>EXP(-LN(2)/25)*AV177+(1-EXP(-LN(2)/25))/(LN(2)/25)*Calculateur!AQ178*Calculateur!AS178*VLOOKUP('Données projet'!$B$10,Paramètres!$A$1:$I$89,3,0)*0.475*44/12</f>
        <v>4.1763218829107309</v>
      </c>
      <c r="AW178" s="21">
        <f>EXP(-LN(2)/2)*AW177+(1-EXP(-LN(2)/2))/(LN(2)/2)*AQ178*AT178*VLOOKUP('Données projet'!$B$10,Paramètres!$A$1:$I$89,3,0)*0.475*44/12</f>
        <v>1.1855065432822389E-14</v>
      </c>
      <c r="AX178" s="21">
        <f t="shared" si="166"/>
        <v>33.019911600207074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243.33915530322201</v>
      </c>
      <c r="BJ178" s="59">
        <f t="shared" si="146"/>
        <v>247.73814704672577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7.9208593957048246</v>
      </c>
      <c r="BQ178" s="21">
        <f>EXP(-LN(2)/25)*BQ177+(1-EXP(-LN(2)/25))/(LN(2)/25)*Calculateur!BL178*Calculateur!BN178*VLOOKUP('Données projet'!$B$11,Paramètres!$A$1:$I$89,3,0)*0.475*44/12</f>
        <v>3.6847189732361394</v>
      </c>
      <c r="BR178" s="21">
        <f>EXP(-LN(2)/2)*BR177+(1-EXP(-LN(2)/2))/(LN(2)/2)*BL178*BO178*VLOOKUP('Données projet'!$B$11,Paramètres!$A$1:$I$89,3,0)*0.475*44/12</f>
        <v>3.1362318618914618E-13</v>
      </c>
      <c r="BS178" s="22">
        <f t="shared" si="169"/>
        <v>11.605578368941279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5.4001247917767614E-13</v>
      </c>
      <c r="O179" s="13">
        <f>N179*VLOOKUP('Données projet'!$B$9,Paramètres!$A$1:$I$89,3,0)*VLOOKUP('Données projet'!$B$9,Paramètres!$A$1:$I$89,5,0)</f>
        <v>4.8860329115996133E-13</v>
      </c>
      <c r="P179" s="13">
        <f t="shared" si="141"/>
        <v>6.1025862939685007E-12</v>
      </c>
      <c r="Q179" s="20">
        <f t="shared" si="162"/>
        <v>1.1479655194098737E-11</v>
      </c>
      <c r="R179" s="59">
        <f t="shared" si="109"/>
        <v>293.3333333333448</v>
      </c>
      <c r="S179" s="59">
        <f ca="1">AVERAGE(OFFSET($R$3,0,0,'Données projet'!$E$9+1,1))-AVERAGE(OFFSET($H$3,0,0,'Données projet'!$E$9+1,1))</f>
        <v>298.01613436147056</v>
      </c>
      <c r="T179" s="59">
        <f t="shared" si="142"/>
        <v>212.70221374431253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83.508464538643508</v>
      </c>
      <c r="AA179" s="21">
        <f>EXP(-LN(2)/25)*AA178+(1-EXP(-LN(2)/25))/(LN(2)/25)*Calculateur!V179*Calculateur!X179*VLOOKUP('Données projet'!$B$9,Paramètres!$A$1:$I$89,3,0)*0.475*44/12</f>
        <v>13.139567286500213</v>
      </c>
      <c r="AB179" s="21">
        <f>EXP(-LN(2)/2)*AB178+(1-EXP(-LN(2)/2))/(LN(2)/2)*V179*Y179*VLOOKUP('Données projet'!$B$9,Paramètres!$A$1:$I$89,3,0)*0.475*44/12</f>
        <v>3.7783787995915856E-2</v>
      </c>
      <c r="AC179" s="22">
        <f t="shared" si="163"/>
        <v>96.685815613139638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3.177547114319168E-13</v>
      </c>
      <c r="AK179" s="13">
        <f t="shared" si="164"/>
        <v>4.1725404435445377E-12</v>
      </c>
      <c r="AL179" s="20">
        <f t="shared" si="165"/>
        <v>7.820597394917325E-12</v>
      </c>
      <c r="AM179" s="59">
        <f t="shared" si="113"/>
        <v>293.33333333334116</v>
      </c>
      <c r="AN179" s="59">
        <f ca="1">AVERAGE(OFFSET($AM$3,0,0,'Données projet'!$E$10+1,1))-AVERAGE(OFFSET($H$3,0,0,'Données projet'!$E$10+1,1))</f>
        <v>287.413090017863</v>
      </c>
      <c r="AO179" s="59">
        <f t="shared" si="144"/>
        <v>258.48456031927117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28.277984515792724</v>
      </c>
      <c r="AV179" s="21">
        <f>EXP(-LN(2)/25)*AV178+(1-EXP(-LN(2)/25))/(LN(2)/25)*Calculateur!AQ179*Calculateur!AS179*VLOOKUP('Données projet'!$B$10,Paramètres!$A$1:$I$89,3,0)*0.475*44/12</f>
        <v>4.0621201413993147</v>
      </c>
      <c r="AW179" s="21">
        <f>EXP(-LN(2)/2)*AW178+(1-EXP(-LN(2)/2))/(LN(2)/2)*AQ179*AT179*VLOOKUP('Données projet'!$B$10,Paramètres!$A$1:$I$89,3,0)*0.475*44/12</f>
        <v>8.3827971589589444E-15</v>
      </c>
      <c r="AX179" s="21">
        <f t="shared" si="166"/>
        <v>32.340104657192043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243.33915530322201</v>
      </c>
      <c r="BJ179" s="59">
        <f t="shared" si="146"/>
        <v>247.73814704672577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7.7655361742022384</v>
      </c>
      <c r="BQ179" s="21">
        <f>EXP(-LN(2)/25)*BQ178+(1-EXP(-LN(2)/25))/(LN(2)/25)*Calculateur!BL179*Calculateur!BN179*VLOOKUP('Données projet'!$B$11,Paramètres!$A$1:$I$89,3,0)*0.475*44/12</f>
        <v>3.5839601391420479</v>
      </c>
      <c r="BR179" s="21">
        <f>EXP(-LN(2)/2)*BR178+(1-EXP(-LN(2)/2))/(LN(2)/2)*BL179*BO179*VLOOKUP('Données projet'!$B$11,Paramètres!$A$1:$I$89,3,0)*0.475*44/12</f>
        <v>2.2176508169167644E-13</v>
      </c>
      <c r="BS179" s="22">
        <f t="shared" si="169"/>
        <v>11.349496313344508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5.4001247917767614E-13</v>
      </c>
      <c r="O180" s="13">
        <f>N180*VLOOKUP('Données projet'!$B$9,Paramètres!$A$1:$I$89,3,0)*VLOOKUP('Données projet'!$B$9,Paramètres!$A$1:$I$89,5,0)</f>
        <v>4.8860329115996133E-13</v>
      </c>
      <c r="P180" s="13">
        <f t="shared" si="141"/>
        <v>6.1025862939685007E-12</v>
      </c>
      <c r="Q180" s="20">
        <f t="shared" si="162"/>
        <v>1.1479655194098737E-11</v>
      </c>
      <c r="R180" s="59">
        <f t="shared" si="109"/>
        <v>293.3333333333448</v>
      </c>
      <c r="S180" s="59">
        <f ca="1">AVERAGE(OFFSET($R$3,0,0,'Données projet'!$E$9+1,1))-AVERAGE(OFFSET($H$3,0,0,'Données projet'!$E$9+1,1))</f>
        <v>298.01613436147056</v>
      </c>
      <c r="T180" s="59">
        <f t="shared" si="142"/>
        <v>212.70221374431253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81.870914484174648</v>
      </c>
      <c r="AA180" s="21">
        <f>EXP(-LN(2)/25)*AA179+(1-EXP(-LN(2)/25))/(LN(2)/25)*Calculateur!V180*Calculateur!X180*VLOOKUP('Données projet'!$B$9,Paramètres!$A$1:$I$89,3,0)*0.475*44/12</f>
        <v>12.780265128071052</v>
      </c>
      <c r="AB180" s="21">
        <f>EXP(-LN(2)/2)*AB179+(1-EXP(-LN(2)/2))/(LN(2)/2)*V180*Y180*VLOOKUP('Données projet'!$B$9,Paramètres!$A$1:$I$89,3,0)*0.475*44/12</f>
        <v>2.6717172710826975E-2</v>
      </c>
      <c r="AC180" s="22">
        <f t="shared" si="163"/>
        <v>94.67789678495653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3.177547114319168E-13</v>
      </c>
      <c r="AK180" s="13">
        <f t="shared" si="164"/>
        <v>4.1725404435445377E-12</v>
      </c>
      <c r="AL180" s="20">
        <f t="shared" si="165"/>
        <v>7.820597394917325E-12</v>
      </c>
      <c r="AM180" s="59">
        <f t="shared" si="113"/>
        <v>293.33333333334116</v>
      </c>
      <c r="AN180" s="59">
        <f ca="1">AVERAGE(OFFSET($AM$3,0,0,'Données projet'!$E$10+1,1))-AVERAGE(OFFSET($H$3,0,0,'Données projet'!$E$10+1,1))</f>
        <v>287.413090017863</v>
      </c>
      <c r="AO180" s="59">
        <f t="shared" si="144"/>
        <v>258.48456031927117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27.723470487305498</v>
      </c>
      <c r="AV180" s="21">
        <f>EXP(-LN(2)/25)*AV179+(1-EXP(-LN(2)/25))/(LN(2)/25)*Calculateur!AQ180*Calculateur!AS180*VLOOKUP('Données projet'!$B$10,Paramètres!$A$1:$I$89,3,0)*0.475*44/12</f>
        <v>3.9510412525151364</v>
      </c>
      <c r="AW180" s="21">
        <f>EXP(-LN(2)/2)*AW179+(1-EXP(-LN(2)/2))/(LN(2)/2)*AQ180*AT180*VLOOKUP('Données projet'!$B$10,Paramètres!$A$1:$I$89,3,0)*0.475*44/12</f>
        <v>5.9275327164111947E-15</v>
      </c>
      <c r="AX180" s="21">
        <f t="shared" si="166"/>
        <v>31.674511739820641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243.33915530322201</v>
      </c>
      <c r="BJ180" s="59">
        <f t="shared" si="146"/>
        <v>247.73814704672577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7.6132587463355073</v>
      </c>
      <c r="BQ180" s="21">
        <f>EXP(-LN(2)/25)*BQ179+(1-EXP(-LN(2)/25))/(LN(2)/25)*Calculateur!BL180*Calculateur!BN180*VLOOKUP('Données projet'!$B$11,Paramètres!$A$1:$I$89,3,0)*0.475*44/12</f>
        <v>3.4859565606649361</v>
      </c>
      <c r="BR180" s="21">
        <f>EXP(-LN(2)/2)*BR179+(1-EXP(-LN(2)/2))/(LN(2)/2)*BL180*BO180*VLOOKUP('Données projet'!$B$11,Paramètres!$A$1:$I$89,3,0)*0.475*44/12</f>
        <v>1.5681159309457309E-13</v>
      </c>
      <c r="BS180" s="22">
        <f t="shared" si="169"/>
        <v>11.0992153070006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5.4001247917767614E-13</v>
      </c>
      <c r="O181" s="13">
        <f>N181*VLOOKUP('Données projet'!$B$9,Paramètres!$A$1:$I$89,3,0)*VLOOKUP('Données projet'!$B$9,Paramètres!$A$1:$I$89,5,0)</f>
        <v>4.8860329115996133E-13</v>
      </c>
      <c r="P181" s="13">
        <f t="shared" si="141"/>
        <v>6.1025862939685007E-12</v>
      </c>
      <c r="Q181" s="20">
        <f t="shared" si="162"/>
        <v>1.1479655194098737E-11</v>
      </c>
      <c r="R181" s="59">
        <f t="shared" si="109"/>
        <v>293.3333333333448</v>
      </c>
      <c r="S181" s="59">
        <f ca="1">AVERAGE(OFFSET($R$3,0,0,'Données projet'!$E$9+1,1))-AVERAGE(OFFSET($H$3,0,0,'Données projet'!$E$9+1,1))</f>
        <v>298.01613436147056</v>
      </c>
      <c r="T181" s="59">
        <f t="shared" si="142"/>
        <v>212.70221374431253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80.265475787467011</v>
      </c>
      <c r="AA181" s="21">
        <f>EXP(-LN(2)/25)*AA180+(1-EXP(-LN(2)/25))/(LN(2)/25)*Calculateur!V181*Calculateur!X181*VLOOKUP('Données projet'!$B$9,Paramètres!$A$1:$I$89,3,0)*0.475*44/12</f>
        <v>12.430788106059016</v>
      </c>
      <c r="AB181" s="21">
        <f>EXP(-LN(2)/2)*AB180+(1-EXP(-LN(2)/2))/(LN(2)/2)*V181*Y181*VLOOKUP('Données projet'!$B$9,Paramètres!$A$1:$I$89,3,0)*0.475*44/12</f>
        <v>1.8891893997957928E-2</v>
      </c>
      <c r="AC181" s="22">
        <f t="shared" si="163"/>
        <v>92.715155787523983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3.177547114319168E-13</v>
      </c>
      <c r="AK181" s="13">
        <f t="shared" si="164"/>
        <v>4.1725404435445377E-12</v>
      </c>
      <c r="AL181" s="20">
        <f t="shared" si="165"/>
        <v>7.820597394917325E-12</v>
      </c>
      <c r="AM181" s="59">
        <f t="shared" si="113"/>
        <v>293.33333333334116</v>
      </c>
      <c r="AN181" s="59">
        <f ca="1">AVERAGE(OFFSET($AM$3,0,0,'Données projet'!$E$10+1,1))-AVERAGE(OFFSET($H$3,0,0,'Données projet'!$E$10+1,1))</f>
        <v>287.413090017863</v>
      </c>
      <c r="AO181" s="59">
        <f t="shared" si="144"/>
        <v>258.48456031927117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27.179830140696744</v>
      </c>
      <c r="AV181" s="21">
        <f>EXP(-LN(2)/25)*AV180+(1-EXP(-LN(2)/25))/(LN(2)/25)*Calculateur!AQ181*Calculateur!AS181*VLOOKUP('Données projet'!$B$10,Paramètres!$A$1:$I$89,3,0)*0.475*44/12</f>
        <v>3.8429998216888808</v>
      </c>
      <c r="AW181" s="21">
        <f>EXP(-LN(2)/2)*AW180+(1-EXP(-LN(2)/2))/(LN(2)/2)*AQ181*AT181*VLOOKUP('Données projet'!$B$10,Paramètres!$A$1:$I$89,3,0)*0.475*44/12</f>
        <v>4.1913985794794722E-15</v>
      </c>
      <c r="AX181" s="21">
        <f t="shared" si="166"/>
        <v>31.022829962385629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243.33915530322201</v>
      </c>
      <c r="BJ181" s="59">
        <f t="shared" si="146"/>
        <v>247.73814704672577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7.4639673859491831</v>
      </c>
      <c r="BQ181" s="21">
        <f>EXP(-LN(2)/25)*BQ180+(1-EXP(-LN(2)/25))/(LN(2)/25)*Calculateur!BL181*Calculateur!BN181*VLOOKUP('Données projet'!$B$11,Paramètres!$A$1:$I$89,3,0)*0.475*44/12</f>
        <v>3.3906328951950653</v>
      </c>
      <c r="BR181" s="21">
        <f>EXP(-LN(2)/2)*BR180+(1-EXP(-LN(2)/2))/(LN(2)/2)*BL181*BO181*VLOOKUP('Données projet'!$B$11,Paramètres!$A$1:$I$89,3,0)*0.475*44/12</f>
        <v>1.1088254084583822E-13</v>
      </c>
      <c r="BS181" s="22">
        <f t="shared" si="169"/>
        <v>10.854600281144359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5.4001247917767614E-13</v>
      </c>
      <c r="O182" s="13">
        <f>N182*VLOOKUP('Données projet'!$B$9,Paramètres!$A$1:$I$89,3,0)*VLOOKUP('Données projet'!$B$9,Paramètres!$A$1:$I$89,5,0)</f>
        <v>4.8860329115996133E-13</v>
      </c>
      <c r="P182" s="13">
        <f t="shared" si="141"/>
        <v>6.1025862939685007E-12</v>
      </c>
      <c r="Q182" s="20">
        <f t="shared" si="162"/>
        <v>1.1479655194098737E-11</v>
      </c>
      <c r="R182" s="59">
        <f t="shared" si="109"/>
        <v>293.3333333333448</v>
      </c>
      <c r="S182" s="59">
        <f ca="1">AVERAGE(OFFSET($R$3,0,0,'Données projet'!$E$9+1,1))-AVERAGE(OFFSET($H$3,0,0,'Données projet'!$E$9+1,1))</f>
        <v>298.01613436147056</v>
      </c>
      <c r="T182" s="59">
        <f t="shared" si="142"/>
        <v>212.70221374431253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78.691518764380902</v>
      </c>
      <c r="AA182" s="21">
        <f>EXP(-LN(2)/25)*AA181+(1-EXP(-LN(2)/25))/(LN(2)/25)*Calculateur!V182*Calculateur!X182*VLOOKUP('Données projet'!$B$9,Paramètres!$A$1:$I$89,3,0)*0.475*44/12</f>
        <v>12.090867551592096</v>
      </c>
      <c r="AB182" s="21">
        <f>EXP(-LN(2)/2)*AB181+(1-EXP(-LN(2)/2))/(LN(2)/2)*V182*Y182*VLOOKUP('Données projet'!$B$9,Paramètres!$A$1:$I$89,3,0)*0.475*44/12</f>
        <v>1.3358586355413487E-2</v>
      </c>
      <c r="AC182" s="22">
        <f t="shared" si="163"/>
        <v>90.795744902328408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3.177547114319168E-13</v>
      </c>
      <c r="AK182" s="13">
        <f t="shared" si="164"/>
        <v>4.1725404435445377E-12</v>
      </c>
      <c r="AL182" s="20">
        <f t="shared" si="165"/>
        <v>7.820597394917325E-12</v>
      </c>
      <c r="AM182" s="59">
        <f t="shared" si="113"/>
        <v>293.33333333334116</v>
      </c>
      <c r="AN182" s="59">
        <f ca="1">AVERAGE(OFFSET($AM$3,0,0,'Données projet'!$E$10+1,1))-AVERAGE(OFFSET($H$3,0,0,'Données projet'!$E$10+1,1))</f>
        <v>287.413090017863</v>
      </c>
      <c r="AO182" s="59">
        <f t="shared" si="144"/>
        <v>258.48456031927117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26.64685024969712</v>
      </c>
      <c r="AV182" s="21">
        <f>EXP(-LN(2)/25)*AV181+(1-EXP(-LN(2)/25))/(LN(2)/25)*Calculateur!AQ182*Calculateur!AS182*VLOOKUP('Données projet'!$B$10,Paramètres!$A$1:$I$89,3,0)*0.475*44/12</f>
        <v>3.7379127894702209</v>
      </c>
      <c r="AW182" s="21">
        <f>EXP(-LN(2)/2)*AW181+(1-EXP(-LN(2)/2))/(LN(2)/2)*AQ182*AT182*VLOOKUP('Données projet'!$B$10,Paramètres!$A$1:$I$89,3,0)*0.475*44/12</f>
        <v>2.9637663582055973E-15</v>
      </c>
      <c r="AX182" s="21">
        <f t="shared" si="166"/>
        <v>30.384763039167346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243.33915530322201</v>
      </c>
      <c r="BJ182" s="59">
        <f t="shared" si="146"/>
        <v>247.73814704672577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7.317603538081296</v>
      </c>
      <c r="BQ182" s="21">
        <f>EXP(-LN(2)/25)*BQ181+(1-EXP(-LN(2)/25))/(LN(2)/25)*Calculateur!BL182*Calculateur!BN182*VLOOKUP('Données projet'!$B$11,Paramètres!$A$1:$I$89,3,0)*0.475*44/12</f>
        <v>3.2979158603703218</v>
      </c>
      <c r="BR182" s="21">
        <f>EXP(-LN(2)/2)*BR181+(1-EXP(-LN(2)/2))/(LN(2)/2)*BL182*BO182*VLOOKUP('Données projet'!$B$11,Paramètres!$A$1:$I$89,3,0)*0.475*44/12</f>
        <v>7.8405796547286544E-14</v>
      </c>
      <c r="BS182" s="22">
        <f t="shared" si="169"/>
        <v>10.615519398451696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5.4001247917767614E-13</v>
      </c>
      <c r="O183" s="13">
        <f>N183*VLOOKUP('Données projet'!$B$9,Paramètres!$A$1:$I$89,3,0)*VLOOKUP('Données projet'!$B$9,Paramètres!$A$1:$I$89,5,0)</f>
        <v>4.8860329115996133E-13</v>
      </c>
      <c r="P183" s="13">
        <f t="shared" si="141"/>
        <v>6.1025862939685007E-12</v>
      </c>
      <c r="Q183" s="20">
        <f t="shared" si="162"/>
        <v>1.1479655194098737E-11</v>
      </c>
      <c r="R183" s="59">
        <f t="shared" si="109"/>
        <v>293.3333333333448</v>
      </c>
      <c r="S183" s="59">
        <f ca="1">AVERAGE(OFFSET($R$3,0,0,'Données projet'!$E$9+1,1))-AVERAGE(OFFSET($H$3,0,0,'Données projet'!$E$9+1,1))</f>
        <v>298.01613436147056</v>
      </c>
      <c r="T183" s="59">
        <f t="shared" si="142"/>
        <v>212.70221374431253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77.148426078498517</v>
      </c>
      <c r="AA183" s="21">
        <f>EXP(-LN(2)/25)*AA182+(1-EXP(-LN(2)/25))/(LN(2)/25)*Calculateur!V183*Calculateur!X183*VLOOKUP('Données projet'!$B$9,Paramètres!$A$1:$I$89,3,0)*0.475*44/12</f>
        <v>11.760242142562719</v>
      </c>
      <c r="AB183" s="21">
        <f>EXP(-LN(2)/2)*AB182+(1-EXP(-LN(2)/2))/(LN(2)/2)*V183*Y183*VLOOKUP('Données projet'!$B$9,Paramètres!$A$1:$I$89,3,0)*0.475*44/12</f>
        <v>9.445946998978964E-3</v>
      </c>
      <c r="AC183" s="22">
        <f t="shared" si="163"/>
        <v>88.918114168060214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3.177547114319168E-13</v>
      </c>
      <c r="AK183" s="13">
        <f t="shared" si="164"/>
        <v>4.1725404435445377E-12</v>
      </c>
      <c r="AL183" s="20">
        <f t="shared" si="165"/>
        <v>7.820597394917325E-12</v>
      </c>
      <c r="AM183" s="59">
        <f t="shared" si="113"/>
        <v>293.33333333334116</v>
      </c>
      <c r="AN183" s="59">
        <f ca="1">AVERAGE(OFFSET($AM$3,0,0,'Données projet'!$E$10+1,1))-AVERAGE(OFFSET($H$3,0,0,'Données projet'!$E$10+1,1))</f>
        <v>287.413090017863</v>
      </c>
      <c r="AO183" s="59">
        <f t="shared" si="144"/>
        <v>258.48456031927117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26.124321769274363</v>
      </c>
      <c r="AV183" s="21">
        <f>EXP(-LN(2)/25)*AV182+(1-EXP(-LN(2)/25))/(LN(2)/25)*Calculateur!AQ183*Calculateur!AS183*VLOOKUP('Données projet'!$B$10,Paramètres!$A$1:$I$89,3,0)*0.475*44/12</f>
        <v>3.6356993676738671</v>
      </c>
      <c r="AW183" s="21">
        <f>EXP(-LN(2)/2)*AW182+(1-EXP(-LN(2)/2))/(LN(2)/2)*AQ183*AT183*VLOOKUP('Données projet'!$B$10,Paramètres!$A$1:$I$89,3,0)*0.475*44/12</f>
        <v>2.0956992897397361E-15</v>
      </c>
      <c r="AX183" s="21">
        <f t="shared" si="166"/>
        <v>29.760021136948236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243.33915530322201</v>
      </c>
      <c r="BJ183" s="59">
        <f t="shared" si="146"/>
        <v>247.73814704672577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7.1741097959969657</v>
      </c>
      <c r="BQ183" s="21">
        <f>EXP(-LN(2)/25)*BQ182+(1-EXP(-LN(2)/25))/(LN(2)/25)*Calculateur!BL183*Calculateur!BN183*VLOOKUP('Données projet'!$B$11,Paramètres!$A$1:$I$89,3,0)*0.475*44/12</f>
        <v>3.2077341777386379</v>
      </c>
      <c r="BR183" s="21">
        <f>EXP(-LN(2)/2)*BR182+(1-EXP(-LN(2)/2))/(LN(2)/2)*BL183*BO183*VLOOKUP('Données projet'!$B$11,Paramètres!$A$1:$I$89,3,0)*0.475*44/12</f>
        <v>5.544127042291911E-14</v>
      </c>
      <c r="BS183" s="22">
        <f t="shared" si="169"/>
        <v>10.381843973735659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5.4001247917767614E-13</v>
      </c>
      <c r="O184" s="13">
        <f>N184*VLOOKUP('Données projet'!$B$9,Paramètres!$A$1:$I$89,3,0)*VLOOKUP('Données projet'!$B$9,Paramètres!$A$1:$I$89,5,0)</f>
        <v>4.8860329115996133E-13</v>
      </c>
      <c r="P184" s="13">
        <f t="shared" si="141"/>
        <v>6.1025862939685007E-12</v>
      </c>
      <c r="Q184" s="20">
        <f t="shared" si="162"/>
        <v>1.1479655194098737E-11</v>
      </c>
      <c r="R184" s="59">
        <f t="shared" si="109"/>
        <v>293.3333333333448</v>
      </c>
      <c r="S184" s="59">
        <f ca="1">AVERAGE(OFFSET($R$3,0,0,'Données projet'!$E$9+1,1))-AVERAGE(OFFSET($H$3,0,0,'Données projet'!$E$9+1,1))</f>
        <v>298.01613436147056</v>
      </c>
      <c r="T184" s="59">
        <f t="shared" si="142"/>
        <v>212.70221374431253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75.635592498992679</v>
      </c>
      <c r="AA184" s="21">
        <f>EXP(-LN(2)/25)*AA183+(1-EXP(-LN(2)/25))/(LN(2)/25)*Calculateur!V184*Calculateur!X184*VLOOKUP('Données projet'!$B$9,Paramètres!$A$1:$I$89,3,0)*0.475*44/12</f>
        <v>11.438657702730085</v>
      </c>
      <c r="AB184" s="21">
        <f>EXP(-LN(2)/2)*AB183+(1-EXP(-LN(2)/2))/(LN(2)/2)*V184*Y184*VLOOKUP('Données projet'!$B$9,Paramètres!$A$1:$I$89,3,0)*0.475*44/12</f>
        <v>6.6792931777067436E-3</v>
      </c>
      <c r="AC184" s="22">
        <f t="shared" si="163"/>
        <v>87.080929494900474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3.177547114319168E-13</v>
      </c>
      <c r="AK184" s="13">
        <f t="shared" si="164"/>
        <v>4.1725404435445377E-12</v>
      </c>
      <c r="AL184" s="20">
        <f t="shared" si="165"/>
        <v>7.820597394917325E-12</v>
      </c>
      <c r="AM184" s="59">
        <f t="shared" si="113"/>
        <v>293.33333333334116</v>
      </c>
      <c r="AN184" s="59">
        <f ca="1">AVERAGE(OFFSET($AM$3,0,0,'Données projet'!$E$10+1,1))-AVERAGE(OFFSET($H$3,0,0,'Données projet'!$E$10+1,1))</f>
        <v>287.413090017863</v>
      </c>
      <c r="AO184" s="59">
        <f t="shared" si="144"/>
        <v>258.48456031927117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25.612039753641795</v>
      </c>
      <c r="AV184" s="21">
        <f>EXP(-LN(2)/25)*AV183+(1-EXP(-LN(2)/25))/(LN(2)/25)*Calculateur!AQ184*Calculateur!AS184*VLOOKUP('Données projet'!$B$10,Paramètres!$A$1:$I$89,3,0)*0.475*44/12</f>
        <v>3.536280977271705</v>
      </c>
      <c r="AW184" s="21">
        <f>EXP(-LN(2)/2)*AW183+(1-EXP(-LN(2)/2))/(LN(2)/2)*AQ184*AT184*VLOOKUP('Données projet'!$B$10,Paramètres!$A$1:$I$89,3,0)*0.475*44/12</f>
        <v>1.4818831791027987E-15</v>
      </c>
      <c r="AX184" s="21">
        <f t="shared" si="166"/>
        <v>29.1483207309135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243.33915530322201</v>
      </c>
      <c r="BJ184" s="59">
        <f t="shared" si="146"/>
        <v>247.73814704672577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7.0334298786723686</v>
      </c>
      <c r="BQ184" s="21">
        <f>EXP(-LN(2)/25)*BQ183+(1-EXP(-LN(2)/25))/(LN(2)/25)*Calculateur!BL184*Calculateur!BN184*VLOOKUP('Données projet'!$B$11,Paramètres!$A$1:$I$89,3,0)*0.475*44/12</f>
        <v>3.1200185179609656</v>
      </c>
      <c r="BR184" s="21">
        <f>EXP(-LN(2)/2)*BR183+(1-EXP(-LN(2)/2))/(LN(2)/2)*BL184*BO184*VLOOKUP('Données projet'!$B$11,Paramètres!$A$1:$I$89,3,0)*0.475*44/12</f>
        <v>3.9202898273643272E-14</v>
      </c>
      <c r="BS184" s="22">
        <f t="shared" si="169"/>
        <v>10.153448396633372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5.4001247917767614E-13</v>
      </c>
      <c r="O185" s="13">
        <f>N185*VLOOKUP('Données projet'!$B$9,Paramètres!$A$1:$I$89,3,0)*VLOOKUP('Données projet'!$B$9,Paramètres!$A$1:$I$89,5,0)</f>
        <v>4.8860329115996133E-13</v>
      </c>
      <c r="P185" s="13">
        <f t="shared" si="141"/>
        <v>6.1025862939685007E-12</v>
      </c>
      <c r="Q185" s="20">
        <f t="shared" si="162"/>
        <v>1.1479655194098737E-11</v>
      </c>
      <c r="R185" s="59">
        <f t="shared" si="109"/>
        <v>293.3333333333448</v>
      </c>
      <c r="S185" s="59">
        <f ca="1">AVERAGE(OFFSET($R$3,0,0,'Données projet'!$E$9+1,1))-AVERAGE(OFFSET($H$3,0,0,'Données projet'!$E$9+1,1))</f>
        <v>298.01613436147056</v>
      </c>
      <c r="T185" s="59">
        <f t="shared" si="142"/>
        <v>212.70221374431253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74.152424663243593</v>
      </c>
      <c r="AA185" s="21">
        <f>EXP(-LN(2)/25)*AA184+(1-EXP(-LN(2)/25))/(LN(2)/25)*Calculateur!V185*Calculateur!X185*VLOOKUP('Données projet'!$B$9,Paramètres!$A$1:$I$89,3,0)*0.475*44/12</f>
        <v>11.125867006316065</v>
      </c>
      <c r="AB185" s="21">
        <f>EXP(-LN(2)/2)*AB184+(1-EXP(-LN(2)/2))/(LN(2)/2)*V185*Y185*VLOOKUP('Données projet'!$B$9,Paramètres!$A$1:$I$89,3,0)*0.475*44/12</f>
        <v>4.722973499489482E-3</v>
      </c>
      <c r="AC185" s="22">
        <f t="shared" si="163"/>
        <v>85.283014643059147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3.177547114319168E-13</v>
      </c>
      <c r="AK185" s="13">
        <f t="shared" si="164"/>
        <v>4.1725404435445377E-12</v>
      </c>
      <c r="AL185" s="20">
        <f t="shared" si="165"/>
        <v>7.820597394917325E-12</v>
      </c>
      <c r="AM185" s="59">
        <f t="shared" si="113"/>
        <v>293.33333333334116</v>
      </c>
      <c r="AN185" s="59">
        <f ca="1">AVERAGE(OFFSET($AM$3,0,0,'Données projet'!$E$10+1,1))-AVERAGE(OFFSET($H$3,0,0,'Données projet'!$E$10+1,1))</f>
        <v>287.413090017863</v>
      </c>
      <c r="AO185" s="59">
        <f t="shared" si="144"/>
        <v>258.48456031927117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25.109803275874604</v>
      </c>
      <c r="AV185" s="21">
        <f>EXP(-LN(2)/25)*AV184+(1-EXP(-LN(2)/25))/(LN(2)/25)*Calculateur!AQ185*Calculateur!AS185*VLOOKUP('Données projet'!$B$10,Paramètres!$A$1:$I$89,3,0)*0.475*44/12</f>
        <v>3.4395811879832761</v>
      </c>
      <c r="AW185" s="21">
        <f>EXP(-LN(2)/2)*AW184+(1-EXP(-LN(2)/2))/(LN(2)/2)*AQ185*AT185*VLOOKUP('Données projet'!$B$10,Paramètres!$A$1:$I$89,3,0)*0.475*44/12</f>
        <v>1.047849644869868E-15</v>
      </c>
      <c r="AX185" s="21">
        <f t="shared" si="166"/>
        <v>28.54938446385788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243.33915530322201</v>
      </c>
      <c r="BJ185" s="59">
        <f t="shared" si="146"/>
        <v>247.73814704672577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6.8955086087202302</v>
      </c>
      <c r="BQ185" s="21">
        <f>EXP(-LN(2)/25)*BQ184+(1-EXP(-LN(2)/25))/(LN(2)/25)*Calculateur!BL185*Calculateur!BN185*VLOOKUP('Données projet'!$B$11,Paramètres!$A$1:$I$89,3,0)*0.475*44/12</f>
        <v>3.0347014475126799</v>
      </c>
      <c r="BR185" s="21">
        <f>EXP(-LN(2)/2)*BR184+(1-EXP(-LN(2)/2))/(LN(2)/2)*BL185*BO185*VLOOKUP('Données projet'!$B$11,Paramètres!$A$1:$I$89,3,0)*0.475*44/12</f>
        <v>2.7720635211459555E-14</v>
      </c>
      <c r="BS185" s="22">
        <f t="shared" si="169"/>
        <v>9.930210056232939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5.4001247917767614E-13</v>
      </c>
      <c r="O186" s="13">
        <f>N186*VLOOKUP('Données projet'!$B$9,Paramètres!$A$1:$I$89,3,0)*VLOOKUP('Données projet'!$B$9,Paramètres!$A$1:$I$89,5,0)</f>
        <v>4.8860329115996133E-13</v>
      </c>
      <c r="P186" s="13">
        <f t="shared" si="141"/>
        <v>6.1025862939685007E-12</v>
      </c>
      <c r="Q186" s="20">
        <f t="shared" si="162"/>
        <v>1.1479655194098737E-11</v>
      </c>
      <c r="R186" s="59">
        <f t="shared" si="109"/>
        <v>293.3333333333448</v>
      </c>
      <c r="S186" s="59">
        <f ca="1">AVERAGE(OFFSET($R$3,0,0,'Données projet'!$E$9+1,1))-AVERAGE(OFFSET($H$3,0,0,'Données projet'!$E$9+1,1))</f>
        <v>298.01613436147056</v>
      </c>
      <c r="T186" s="59">
        <f t="shared" si="142"/>
        <v>212.70221374431253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72.69834084411049</v>
      </c>
      <c r="AA186" s="21">
        <f>EXP(-LN(2)/25)*AA185+(1-EXP(-LN(2)/25))/(LN(2)/25)*Calculateur!V186*Calculateur!X186*VLOOKUP('Données projet'!$B$9,Paramètres!$A$1:$I$89,3,0)*0.475*44/12</f>
        <v>10.821629587944436</v>
      </c>
      <c r="AB186" s="21">
        <f>EXP(-LN(2)/2)*AB185+(1-EXP(-LN(2)/2))/(LN(2)/2)*V186*Y186*VLOOKUP('Données projet'!$B$9,Paramètres!$A$1:$I$89,3,0)*0.475*44/12</f>
        <v>3.3396465888533718E-3</v>
      </c>
      <c r="AC186" s="22">
        <f t="shared" si="163"/>
        <v>83.523310078643775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3.177547114319168E-13</v>
      </c>
      <c r="AK186" s="13">
        <f t="shared" si="164"/>
        <v>4.1725404435445377E-12</v>
      </c>
      <c r="AL186" s="20">
        <f t="shared" si="165"/>
        <v>7.820597394917325E-12</v>
      </c>
      <c r="AM186" s="59">
        <f t="shared" si="113"/>
        <v>293.33333333334116</v>
      </c>
      <c r="AN186" s="59">
        <f ca="1">AVERAGE(OFFSET($AM$3,0,0,'Données projet'!$E$10+1,1))-AVERAGE(OFFSET($H$3,0,0,'Données projet'!$E$10+1,1))</f>
        <v>287.413090017863</v>
      </c>
      <c r="AO186" s="59">
        <f t="shared" si="144"/>
        <v>258.48456031927117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24.617415349102426</v>
      </c>
      <c r="AV186" s="21">
        <f>EXP(-LN(2)/25)*AV185+(1-EXP(-LN(2)/25))/(LN(2)/25)*Calculateur!AQ186*Calculateur!AS186*VLOOKUP('Données projet'!$B$10,Paramètres!$A$1:$I$89,3,0)*0.475*44/12</f>
        <v>3.3455256595181599</v>
      </c>
      <c r="AW186" s="21">
        <f>EXP(-LN(2)/2)*AW185+(1-EXP(-LN(2)/2))/(LN(2)/2)*AQ186*AT186*VLOOKUP('Données projet'!$B$10,Paramètres!$A$1:$I$89,3,0)*0.475*44/12</f>
        <v>7.4094158955139933E-16</v>
      </c>
      <c r="AX186" s="21">
        <f t="shared" si="166"/>
        <v>27.962941008620586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243.33915530322201</v>
      </c>
      <c r="BJ186" s="59">
        <f t="shared" si="146"/>
        <v>247.73814704672577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6.760291890748185</v>
      </c>
      <c r="BQ186" s="21">
        <f>EXP(-LN(2)/25)*BQ185+(1-EXP(-LN(2)/25))/(LN(2)/25)*Calculateur!BL186*Calculateur!BN186*VLOOKUP('Données projet'!$B$11,Paramètres!$A$1:$I$89,3,0)*0.475*44/12</f>
        <v>2.9517173768424323</v>
      </c>
      <c r="BR186" s="21">
        <f>EXP(-LN(2)/2)*BR185+(1-EXP(-LN(2)/2))/(LN(2)/2)*BL186*BO186*VLOOKUP('Données projet'!$B$11,Paramètres!$A$1:$I$89,3,0)*0.475*44/12</f>
        <v>1.9601449136821636E-14</v>
      </c>
      <c r="BS186" s="22">
        <f t="shared" si="169"/>
        <v>9.712009267590636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5.4001247917767614E-13</v>
      </c>
      <c r="O187" s="13">
        <f>N187*VLOOKUP('Données projet'!$B$9,Paramètres!$A$1:$I$89,3,0)*VLOOKUP('Données projet'!$B$9,Paramètres!$A$1:$I$89,5,0)</f>
        <v>4.8860329115996133E-13</v>
      </c>
      <c r="P187" s="13">
        <f t="shared" si="141"/>
        <v>6.1025862939685007E-12</v>
      </c>
      <c r="Q187" s="20">
        <f t="shared" si="162"/>
        <v>1.1479655194098737E-11</v>
      </c>
      <c r="R187" s="59">
        <f t="shared" si="109"/>
        <v>293.3333333333448</v>
      </c>
      <c r="S187" s="59">
        <f ca="1">AVERAGE(OFFSET($R$3,0,0,'Données projet'!$E$9+1,1))-AVERAGE(OFFSET($H$3,0,0,'Données projet'!$E$9+1,1))</f>
        <v>298.01613436147056</v>
      </c>
      <c r="T187" s="59">
        <f t="shared" si="142"/>
        <v>212.70221374431253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71.272770721767031</v>
      </c>
      <c r="AA187" s="21">
        <f>EXP(-LN(2)/25)*AA186+(1-EXP(-LN(2)/25))/(LN(2)/25)*Calculateur!V187*Calculateur!X187*VLOOKUP('Données projet'!$B$9,Paramètres!$A$1:$I$89,3,0)*0.475*44/12</f>
        <v>10.525711557777328</v>
      </c>
      <c r="AB187" s="21">
        <f>EXP(-LN(2)/2)*AB186+(1-EXP(-LN(2)/2))/(LN(2)/2)*V187*Y187*VLOOKUP('Données projet'!$B$9,Paramètres!$A$1:$I$89,3,0)*0.475*44/12</f>
        <v>2.361486749744741E-3</v>
      </c>
      <c r="AC187" s="22">
        <f t="shared" si="163"/>
        <v>81.800843766294108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3.177547114319168E-13</v>
      </c>
      <c r="AK187" s="13">
        <f t="shared" si="164"/>
        <v>4.1725404435445377E-12</v>
      </c>
      <c r="AL187" s="20">
        <f t="shared" si="165"/>
        <v>7.820597394917325E-12</v>
      </c>
      <c r="AM187" s="59">
        <f t="shared" si="113"/>
        <v>293.33333333334116</v>
      </c>
      <c r="AN187" s="59">
        <f ca="1">AVERAGE(OFFSET($AM$3,0,0,'Données projet'!$E$10+1,1))-AVERAGE(OFFSET($H$3,0,0,'Données projet'!$E$10+1,1))</f>
        <v>287.413090017863</v>
      </c>
      <c r="AO187" s="59">
        <f t="shared" si="144"/>
        <v>258.48456031927117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24.13468284924727</v>
      </c>
      <c r="AV187" s="21">
        <f>EXP(-LN(2)/25)*AV186+(1-EXP(-LN(2)/25))/(LN(2)/25)*Calculateur!AQ187*Calculateur!AS187*VLOOKUP('Données projet'!$B$10,Paramètres!$A$1:$I$89,3,0)*0.475*44/12</f>
        <v>3.2540420844250879</v>
      </c>
      <c r="AW187" s="21">
        <f>EXP(-LN(2)/2)*AW186+(1-EXP(-LN(2)/2))/(LN(2)/2)*AQ187*AT187*VLOOKUP('Données projet'!$B$10,Paramètres!$A$1:$I$89,3,0)*0.475*44/12</f>
        <v>5.2392482243493402E-16</v>
      </c>
      <c r="AX187" s="21">
        <f t="shared" si="166"/>
        <v>27.388724933672357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243.33915530322201</v>
      </c>
      <c r="BJ187" s="59">
        <f t="shared" si="146"/>
        <v>247.73814704672577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6.6277266901415173</v>
      </c>
      <c r="BQ187" s="21">
        <f>EXP(-LN(2)/25)*BQ186+(1-EXP(-LN(2)/25))/(LN(2)/25)*Calculateur!BL187*Calculateur!BN187*VLOOKUP('Données projet'!$B$11,Paramètres!$A$1:$I$89,3,0)*0.475*44/12</f>
        <v>2.8710025099486054</v>
      </c>
      <c r="BR187" s="21">
        <f>EXP(-LN(2)/2)*BR186+(1-EXP(-LN(2)/2))/(LN(2)/2)*BL187*BO187*VLOOKUP('Données projet'!$B$11,Paramètres!$A$1:$I$89,3,0)*0.475*44/12</f>
        <v>1.3860317605729778E-14</v>
      </c>
      <c r="BS187" s="22">
        <f t="shared" si="169"/>
        <v>9.4987292000901373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5.4001247917767614E-13</v>
      </c>
      <c r="O188" s="13">
        <f>N188*VLOOKUP('Données projet'!$B$9,Paramètres!$A$1:$I$89,3,0)*VLOOKUP('Données projet'!$B$9,Paramètres!$A$1:$I$89,5,0)</f>
        <v>4.8860329115996133E-13</v>
      </c>
      <c r="P188" s="13">
        <f t="shared" si="141"/>
        <v>6.1025862939685007E-12</v>
      </c>
      <c r="Q188" s="20">
        <f t="shared" si="162"/>
        <v>1.1479655194098737E-11</v>
      </c>
      <c r="R188" s="59">
        <f t="shared" si="109"/>
        <v>293.3333333333448</v>
      </c>
      <c r="S188" s="59">
        <f ca="1">AVERAGE(OFFSET($R$3,0,0,'Données projet'!$E$9+1,1))-AVERAGE(OFFSET($H$3,0,0,'Données projet'!$E$9+1,1))</f>
        <v>298.01613436147056</v>
      </c>
      <c r="T188" s="59">
        <f t="shared" si="142"/>
        <v>212.70221374431253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69.875155160010806</v>
      </c>
      <c r="AA188" s="21">
        <f>EXP(-LN(2)/25)*AA187+(1-EXP(-LN(2)/25))/(LN(2)/25)*Calculateur!V188*Calculateur!X188*VLOOKUP('Données projet'!$B$9,Paramètres!$A$1:$I$89,3,0)*0.475*44/12</f>
        <v>10.237885421706792</v>
      </c>
      <c r="AB188" s="21">
        <f>EXP(-LN(2)/2)*AB187+(1-EXP(-LN(2)/2))/(LN(2)/2)*V188*Y188*VLOOKUP('Données projet'!$B$9,Paramètres!$A$1:$I$89,3,0)*0.475*44/12</f>
        <v>1.6698232944266859E-3</v>
      </c>
      <c r="AC188" s="22">
        <f t="shared" si="163"/>
        <v>80.114710405012019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3.177547114319168E-13</v>
      </c>
      <c r="AK188" s="13">
        <f t="shared" si="164"/>
        <v>4.1725404435445377E-12</v>
      </c>
      <c r="AL188" s="20">
        <f t="shared" si="165"/>
        <v>7.820597394917325E-12</v>
      </c>
      <c r="AM188" s="59">
        <f t="shared" si="113"/>
        <v>293.33333333334116</v>
      </c>
      <c r="AN188" s="59">
        <f ca="1">AVERAGE(OFFSET($AM$3,0,0,'Données projet'!$E$10+1,1))-AVERAGE(OFFSET($H$3,0,0,'Données projet'!$E$10+1,1))</f>
        <v>287.413090017863</v>
      </c>
      <c r="AO188" s="59">
        <f t="shared" si="144"/>
        <v>258.48456031927117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23.661416439276518</v>
      </c>
      <c r="AV188" s="21">
        <f>EXP(-LN(2)/25)*AV187+(1-EXP(-LN(2)/25))/(LN(2)/25)*Calculateur!AQ188*Calculateur!AS188*VLOOKUP('Données projet'!$B$10,Paramètres!$A$1:$I$89,3,0)*0.475*44/12</f>
        <v>3.1650601325038479</v>
      </c>
      <c r="AW188" s="21">
        <f>EXP(-LN(2)/2)*AW187+(1-EXP(-LN(2)/2))/(LN(2)/2)*AQ188*AT188*VLOOKUP('Données projet'!$B$10,Paramètres!$A$1:$I$89,3,0)*0.475*44/12</f>
        <v>3.7047079477569967E-16</v>
      </c>
      <c r="AX188" s="21">
        <f t="shared" si="166"/>
        <v>26.826476571780365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243.33915530322201</v>
      </c>
      <c r="BJ188" s="59">
        <f t="shared" si="146"/>
        <v>247.73814704672577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6.4977610122619582</v>
      </c>
      <c r="BQ188" s="21">
        <f>EXP(-LN(2)/25)*BQ187+(1-EXP(-LN(2)/25))/(LN(2)/25)*Calculateur!BL188*Calculateur!BN188*VLOOKUP('Données projet'!$B$11,Paramètres!$A$1:$I$89,3,0)*0.475*44/12</f>
        <v>2.7924947953346004</v>
      </c>
      <c r="BR188" s="21">
        <f>EXP(-LN(2)/2)*BR187+(1-EXP(-LN(2)/2))/(LN(2)/2)*BL188*BO188*VLOOKUP('Données projet'!$B$11,Paramètres!$A$1:$I$89,3,0)*0.475*44/12</f>
        <v>9.800724568410818E-15</v>
      </c>
      <c r="BS188" s="22">
        <f t="shared" si="169"/>
        <v>9.2902558075965693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5.4001247917767614E-13</v>
      </c>
      <c r="O189" s="13">
        <f>N189*VLOOKUP('Données projet'!$B$9,Paramètres!$A$1:$I$89,3,0)*VLOOKUP('Données projet'!$B$9,Paramètres!$A$1:$I$89,5,0)</f>
        <v>4.8860329115996133E-13</v>
      </c>
      <c r="P189" s="13">
        <f t="shared" si="141"/>
        <v>6.1025862939685007E-12</v>
      </c>
      <c r="Q189" s="20">
        <f t="shared" si="162"/>
        <v>1.1479655194098737E-11</v>
      </c>
      <c r="R189" s="59">
        <f t="shared" si="109"/>
        <v>293.3333333333448</v>
      </c>
      <c r="S189" s="59">
        <f ca="1">AVERAGE(OFFSET($R$3,0,0,'Données projet'!$E$9+1,1))-AVERAGE(OFFSET($H$3,0,0,'Données projet'!$E$9+1,1))</f>
        <v>298.01613436147056</v>
      </c>
      <c r="T189" s="59">
        <f t="shared" si="142"/>
        <v>212.70221374431253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68.504945986959299</v>
      </c>
      <c r="AA189" s="21">
        <f>EXP(-LN(2)/25)*AA188+(1-EXP(-LN(2)/25))/(LN(2)/25)*Calculateur!V189*Calculateur!X189*VLOOKUP('Données projet'!$B$9,Paramètres!$A$1:$I$89,3,0)*0.475*44/12</f>
        <v>9.9579299064632245</v>
      </c>
      <c r="AB189" s="21">
        <f>EXP(-LN(2)/2)*AB188+(1-EXP(-LN(2)/2))/(LN(2)/2)*V189*Y189*VLOOKUP('Données projet'!$B$9,Paramètres!$A$1:$I$89,3,0)*0.475*44/12</f>
        <v>1.1807433748723705E-3</v>
      </c>
      <c r="AC189" s="22">
        <f t="shared" si="163"/>
        <v>78.464056636797395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3.177547114319168E-13</v>
      </c>
      <c r="AK189" s="13">
        <f t="shared" si="164"/>
        <v>4.1725404435445377E-12</v>
      </c>
      <c r="AL189" s="20">
        <f t="shared" si="165"/>
        <v>7.820597394917325E-12</v>
      </c>
      <c r="AM189" s="59">
        <f t="shared" si="113"/>
        <v>293.33333333334116</v>
      </c>
      <c r="AN189" s="59">
        <f ca="1">AVERAGE(OFFSET($AM$3,0,0,'Données projet'!$E$10+1,1))-AVERAGE(OFFSET($H$3,0,0,'Données projet'!$E$10+1,1))</f>
        <v>287.413090017863</v>
      </c>
      <c r="AO189" s="59">
        <f t="shared" si="144"/>
        <v>258.48456031927117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23.197430494941287</v>
      </c>
      <c r="AV189" s="21">
        <f>EXP(-LN(2)/25)*AV188+(1-EXP(-LN(2)/25))/(LN(2)/25)*Calculateur!AQ189*Calculateur!AS189*VLOOKUP('Données projet'!$B$10,Paramètres!$A$1:$I$89,3,0)*0.475*44/12</f>
        <v>3.0785113967372517</v>
      </c>
      <c r="AW189" s="21">
        <f>EXP(-LN(2)/2)*AW188+(1-EXP(-LN(2)/2))/(LN(2)/2)*AQ189*AT189*VLOOKUP('Données projet'!$B$10,Paramètres!$A$1:$I$89,3,0)*0.475*44/12</f>
        <v>2.6196241121746701E-16</v>
      </c>
      <c r="AX189" s="21">
        <f t="shared" si="166"/>
        <v>26.275941891678539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243.33915530322201</v>
      </c>
      <c r="BJ189" s="59">
        <f t="shared" si="146"/>
        <v>247.73814704672577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6.3703438820543807</v>
      </c>
      <c r="BQ189" s="21">
        <f>EXP(-LN(2)/25)*BQ188+(1-EXP(-LN(2)/25))/(LN(2)/25)*Calculateur!BL189*Calculateur!BN189*VLOOKUP('Données projet'!$B$11,Paramètres!$A$1:$I$89,3,0)*0.475*44/12</f>
        <v>2.7161338783052567</v>
      </c>
      <c r="BR189" s="21">
        <f>EXP(-LN(2)/2)*BR188+(1-EXP(-LN(2)/2))/(LN(2)/2)*BL189*BO189*VLOOKUP('Données projet'!$B$11,Paramètres!$A$1:$I$89,3,0)*0.475*44/12</f>
        <v>6.9301588028648888E-15</v>
      </c>
      <c r="BS189" s="22">
        <f t="shared" si="169"/>
        <v>9.0864777603596441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5.4001247917767614E-13</v>
      </c>
      <c r="O190" s="13">
        <f>N190*VLOOKUP('Données projet'!$B$9,Paramètres!$A$1:$I$89,3,0)*VLOOKUP('Données projet'!$B$9,Paramètres!$A$1:$I$89,5,0)</f>
        <v>4.8860329115996133E-13</v>
      </c>
      <c r="P190" s="13">
        <f t="shared" si="141"/>
        <v>6.1025862939685007E-12</v>
      </c>
      <c r="Q190" s="20">
        <f t="shared" si="162"/>
        <v>1.1479655194098737E-11</v>
      </c>
      <c r="R190" s="59">
        <f t="shared" si="109"/>
        <v>293.3333333333448</v>
      </c>
      <c r="S190" s="59">
        <f ca="1">AVERAGE(OFFSET($R$3,0,0,'Données projet'!$E$9+1,1))-AVERAGE(OFFSET($H$3,0,0,'Données projet'!$E$9+1,1))</f>
        <v>298.01613436147056</v>
      </c>
      <c r="T190" s="59">
        <f t="shared" si="142"/>
        <v>212.70221374431253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67.161605780046258</v>
      </c>
      <c r="AA190" s="21">
        <f>EXP(-LN(2)/25)*AA189+(1-EXP(-LN(2)/25))/(LN(2)/25)*Calculateur!V190*Calculateur!X190*VLOOKUP('Données projet'!$B$9,Paramètres!$A$1:$I$89,3,0)*0.475*44/12</f>
        <v>9.6856297895062138</v>
      </c>
      <c r="AB190" s="21">
        <f>EXP(-LN(2)/2)*AB189+(1-EXP(-LN(2)/2))/(LN(2)/2)*V190*Y190*VLOOKUP('Données projet'!$B$9,Paramètres!$A$1:$I$89,3,0)*0.475*44/12</f>
        <v>8.3491164721334295E-4</v>
      </c>
      <c r="AC190" s="22">
        <f t="shared" si="163"/>
        <v>76.848070481199684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3.177547114319168E-13</v>
      </c>
      <c r="AK190" s="13">
        <f t="shared" si="164"/>
        <v>4.1725404435445377E-12</v>
      </c>
      <c r="AL190" s="20">
        <f t="shared" si="165"/>
        <v>7.820597394917325E-12</v>
      </c>
      <c r="AM190" s="59">
        <f t="shared" si="113"/>
        <v>293.33333333334116</v>
      </c>
      <c r="AN190" s="59">
        <f ca="1">AVERAGE(OFFSET($AM$3,0,0,'Données projet'!$E$10+1,1))-AVERAGE(OFFSET($H$3,0,0,'Données projet'!$E$10+1,1))</f>
        <v>287.413090017863</v>
      </c>
      <c r="AO190" s="59">
        <f t="shared" si="144"/>
        <v>258.48456031927117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22.742543031970989</v>
      </c>
      <c r="AV190" s="21">
        <f>EXP(-LN(2)/25)*AV189+(1-EXP(-LN(2)/25))/(LN(2)/25)*Calculateur!AQ190*Calculateur!AS190*VLOOKUP('Données projet'!$B$10,Paramètres!$A$1:$I$89,3,0)*0.475*44/12</f>
        <v>2.9943293407015932</v>
      </c>
      <c r="AW190" s="21">
        <f>EXP(-LN(2)/2)*AW189+(1-EXP(-LN(2)/2))/(LN(2)/2)*AQ190*AT190*VLOOKUP('Données projet'!$B$10,Paramètres!$A$1:$I$89,3,0)*0.475*44/12</f>
        <v>1.8523539738784983E-16</v>
      </c>
      <c r="AX190" s="21">
        <f t="shared" si="166"/>
        <v>25.736872372672583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243.33915530322201</v>
      </c>
      <c r="BJ190" s="59">
        <f t="shared" si="146"/>
        <v>247.73814704672577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6.2454253240533983</v>
      </c>
      <c r="BQ190" s="21">
        <f>EXP(-LN(2)/25)*BQ189+(1-EXP(-LN(2)/25))/(LN(2)/25)*Calculateur!BL190*Calculateur!BN190*VLOOKUP('Données projet'!$B$11,Paramètres!$A$1:$I$89,3,0)*0.475*44/12</f>
        <v>2.6418610545677264</v>
      </c>
      <c r="BR190" s="21">
        <f>EXP(-LN(2)/2)*BR189+(1-EXP(-LN(2)/2))/(LN(2)/2)*BL190*BO190*VLOOKUP('Données projet'!$B$11,Paramètres!$A$1:$I$89,3,0)*0.475*44/12</f>
        <v>4.900362284205409E-15</v>
      </c>
      <c r="BS190" s="22">
        <f t="shared" si="169"/>
        <v>8.8872863786211305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5.4001247917767614E-13</v>
      </c>
      <c r="O191" s="13">
        <f>N191*VLOOKUP('Données projet'!$B$9,Paramètres!$A$1:$I$89,3,0)*VLOOKUP('Données projet'!$B$9,Paramètres!$A$1:$I$89,5,0)</f>
        <v>4.8860329115996133E-13</v>
      </c>
      <c r="P191" s="13">
        <f t="shared" si="141"/>
        <v>6.1025862939685007E-12</v>
      </c>
      <c r="Q191" s="20">
        <f t="shared" si="162"/>
        <v>1.1479655194098737E-11</v>
      </c>
      <c r="R191" s="59">
        <f t="shared" si="109"/>
        <v>293.3333333333448</v>
      </c>
      <c r="S191" s="59">
        <f ca="1">AVERAGE(OFFSET($R$3,0,0,'Données projet'!$E$9+1,1))-AVERAGE(OFFSET($H$3,0,0,'Données projet'!$E$9+1,1))</f>
        <v>298.01613436147056</v>
      </c>
      <c r="T191" s="59">
        <f t="shared" si="142"/>
        <v>212.70221374431253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65.844607655234171</v>
      </c>
      <c r="AA191" s="21">
        <f>EXP(-LN(2)/25)*AA190+(1-EXP(-LN(2)/25))/(LN(2)/25)*Calculateur!V191*Calculateur!X191*VLOOKUP('Données projet'!$B$9,Paramètres!$A$1:$I$89,3,0)*0.475*44/12</f>
        <v>9.4207757335670319</v>
      </c>
      <c r="AB191" s="21">
        <f>EXP(-LN(2)/2)*AB190+(1-EXP(-LN(2)/2))/(LN(2)/2)*V191*Y191*VLOOKUP('Données projet'!$B$9,Paramètres!$A$1:$I$89,3,0)*0.475*44/12</f>
        <v>5.9037168743618525E-4</v>
      </c>
      <c r="AC191" s="22">
        <f t="shared" si="163"/>
        <v>75.265973760488635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3.177547114319168E-13</v>
      </c>
      <c r="AK191" s="13">
        <f t="shared" si="164"/>
        <v>4.1725404435445377E-12</v>
      </c>
      <c r="AL191" s="20">
        <f t="shared" si="165"/>
        <v>7.820597394917325E-12</v>
      </c>
      <c r="AM191" s="59">
        <f t="shared" si="113"/>
        <v>293.33333333334116</v>
      </c>
      <c r="AN191" s="59">
        <f ca="1">AVERAGE(OFFSET($AM$3,0,0,'Données projet'!$E$10+1,1))-AVERAGE(OFFSET($H$3,0,0,'Données projet'!$E$10+1,1))</f>
        <v>287.413090017863</v>
      </c>
      <c r="AO191" s="59">
        <f t="shared" si="144"/>
        <v>258.48456031927117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22.296575634695582</v>
      </c>
      <c r="AV191" s="21">
        <f>EXP(-LN(2)/25)*AV190+(1-EXP(-LN(2)/25))/(LN(2)/25)*Calculateur!AQ191*Calculateur!AS191*VLOOKUP('Données projet'!$B$10,Paramètres!$A$1:$I$89,3,0)*0.475*44/12</f>
        <v>2.9124492474151715</v>
      </c>
      <c r="AW191" s="21">
        <f>EXP(-LN(2)/2)*AW190+(1-EXP(-LN(2)/2))/(LN(2)/2)*AQ191*AT191*VLOOKUP('Données projet'!$B$10,Paramètres!$A$1:$I$89,3,0)*0.475*44/12</f>
        <v>1.3098120560873351E-16</v>
      </c>
      <c r="AX191" s="21">
        <f t="shared" si="166"/>
        <v>25.209024882110754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243.33915530322201</v>
      </c>
      <c r="BJ191" s="59">
        <f t="shared" si="146"/>
        <v>247.73814704672577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6.1229563427820182</v>
      </c>
      <c r="BQ191" s="21">
        <f>EXP(-LN(2)/25)*BQ190+(1-EXP(-LN(2)/25))/(LN(2)/25)*Calculateur!BL191*Calculateur!BN191*VLOOKUP('Données projet'!$B$11,Paramètres!$A$1:$I$89,3,0)*0.475*44/12</f>
        <v>2.5696192251011372</v>
      </c>
      <c r="BR191" s="21">
        <f>EXP(-LN(2)/2)*BR190+(1-EXP(-LN(2)/2))/(LN(2)/2)*BL191*BO191*VLOOKUP('Données projet'!$B$11,Paramètres!$A$1:$I$89,3,0)*0.475*44/12</f>
        <v>3.4650794014324444E-15</v>
      </c>
      <c r="BS191" s="22">
        <f t="shared" si="169"/>
        <v>8.6925755678831589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5.4001247917767614E-13</v>
      </c>
      <c r="O192" s="13">
        <f>N192*VLOOKUP('Données projet'!$B$9,Paramètres!$A$1:$I$89,3,0)*VLOOKUP('Données projet'!$B$9,Paramètres!$A$1:$I$89,5,0)</f>
        <v>4.8860329115996133E-13</v>
      </c>
      <c r="P192" s="13">
        <f t="shared" si="141"/>
        <v>6.1025862939685007E-12</v>
      </c>
      <c r="Q192" s="20">
        <f t="shared" si="162"/>
        <v>1.1479655194098737E-11</v>
      </c>
      <c r="R192" s="59">
        <f t="shared" si="109"/>
        <v>293.3333333333448</v>
      </c>
      <c r="S192" s="59">
        <f ca="1">AVERAGE(OFFSET($R$3,0,0,'Données projet'!$E$9+1,1))-AVERAGE(OFFSET($H$3,0,0,'Données projet'!$E$9+1,1))</f>
        <v>298.01613436147056</v>
      </c>
      <c r="T192" s="59">
        <f t="shared" si="142"/>
        <v>212.70221374431253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64.553435060360101</v>
      </c>
      <c r="AA192" s="21">
        <f>EXP(-LN(2)/25)*AA191+(1-EXP(-LN(2)/25))/(LN(2)/25)*Calculateur!V192*Calculateur!X192*VLOOKUP('Données projet'!$B$9,Paramètres!$A$1:$I$89,3,0)*0.475*44/12</f>
        <v>9.1631641257155767</v>
      </c>
      <c r="AB192" s="21">
        <f>EXP(-LN(2)/2)*AB191+(1-EXP(-LN(2)/2))/(LN(2)/2)*V192*Y192*VLOOKUP('Données projet'!$B$9,Paramètres!$A$1:$I$89,3,0)*0.475*44/12</f>
        <v>4.1745582360667148E-4</v>
      </c>
      <c r="AC192" s="22">
        <f t="shared" si="163"/>
        <v>73.717016641899292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3.177547114319168E-13</v>
      </c>
      <c r="AK192" s="13">
        <f t="shared" si="164"/>
        <v>4.1725404435445377E-12</v>
      </c>
      <c r="AL192" s="20">
        <f t="shared" si="165"/>
        <v>7.820597394917325E-12</v>
      </c>
      <c r="AM192" s="59">
        <f t="shared" si="113"/>
        <v>293.33333333334116</v>
      </c>
      <c r="AN192" s="59">
        <f ca="1">AVERAGE(OFFSET($AM$3,0,0,'Données projet'!$E$10+1,1))-AVERAGE(OFFSET($H$3,0,0,'Données projet'!$E$10+1,1))</f>
        <v>287.413090017863</v>
      </c>
      <c r="AO192" s="59">
        <f t="shared" si="144"/>
        <v>258.48456031927117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21.859353386067493</v>
      </c>
      <c r="AV192" s="21">
        <f>EXP(-LN(2)/25)*AV191+(1-EXP(-LN(2)/25))/(LN(2)/25)*Calculateur!AQ192*Calculateur!AS192*VLOOKUP('Données projet'!$B$10,Paramètres!$A$1:$I$89,3,0)*0.475*44/12</f>
        <v>2.832808169585554</v>
      </c>
      <c r="AW192" s="21">
        <f>EXP(-LN(2)/2)*AW191+(1-EXP(-LN(2)/2))/(LN(2)/2)*AQ192*AT192*VLOOKUP('Données projet'!$B$10,Paramètres!$A$1:$I$89,3,0)*0.475*44/12</f>
        <v>9.2617698693924917E-17</v>
      </c>
      <c r="AX192" s="21">
        <f t="shared" si="166"/>
        <v>24.692161555653048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243.33915530322201</v>
      </c>
      <c r="BJ192" s="59">
        <f t="shared" si="146"/>
        <v>247.73814704672577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6.0028889035346671</v>
      </c>
      <c r="BQ192" s="21">
        <f>EXP(-LN(2)/25)*BQ191+(1-EXP(-LN(2)/25))/(LN(2)/25)*Calculateur!BL192*Calculateur!BN192*VLOOKUP('Données projet'!$B$11,Paramètres!$A$1:$I$89,3,0)*0.475*44/12</f>
        <v>2.4993528522603445</v>
      </c>
      <c r="BR192" s="21">
        <f>EXP(-LN(2)/2)*BR191+(1-EXP(-LN(2)/2))/(LN(2)/2)*BL192*BO192*VLOOKUP('Données projet'!$B$11,Paramètres!$A$1:$I$89,3,0)*0.475*44/12</f>
        <v>2.4501811421027045E-15</v>
      </c>
      <c r="BS192" s="22">
        <f t="shared" si="169"/>
        <v>8.5022417557950138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5.4001247917767614E-13</v>
      </c>
      <c r="O193" s="13">
        <f>N193*VLOOKUP('Données projet'!$B$9,Paramètres!$A$1:$I$89,3,0)*VLOOKUP('Données projet'!$B$9,Paramètres!$A$1:$I$89,5,0)</f>
        <v>4.8860329115996133E-13</v>
      </c>
      <c r="P193" s="13">
        <f t="shared" si="141"/>
        <v>6.1025862939685007E-12</v>
      </c>
      <c r="Q193" s="20">
        <f t="shared" si="162"/>
        <v>1.1479655194098737E-11</v>
      </c>
      <c r="R193" s="59">
        <f t="shared" si="109"/>
        <v>293.3333333333448</v>
      </c>
      <c r="S193" s="59">
        <f ca="1">AVERAGE(OFFSET($R$3,0,0,'Données projet'!$E$9+1,1))-AVERAGE(OFFSET($H$3,0,0,'Données projet'!$E$9+1,1))</f>
        <v>298.01613436147056</v>
      </c>
      <c r="T193" s="59">
        <f t="shared" si="142"/>
        <v>212.70221374431253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63.287581572533995</v>
      </c>
      <c r="AA193" s="21">
        <f>EXP(-LN(2)/25)*AA192+(1-EXP(-LN(2)/25))/(LN(2)/25)*Calculateur!V193*Calculateur!X193*VLOOKUP('Données projet'!$B$9,Paramètres!$A$1:$I$89,3,0)*0.475*44/12</f>
        <v>8.912596920828026</v>
      </c>
      <c r="AB193" s="21">
        <f>EXP(-LN(2)/2)*AB192+(1-EXP(-LN(2)/2))/(LN(2)/2)*V193*Y193*VLOOKUP('Données projet'!$B$9,Paramètres!$A$1:$I$89,3,0)*0.475*44/12</f>
        <v>2.9518584371809262E-4</v>
      </c>
      <c r="AC193" s="22">
        <f t="shared" si="163"/>
        <v>72.200473679205729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3.177547114319168E-13</v>
      </c>
      <c r="AK193" s="13">
        <f t="shared" si="164"/>
        <v>4.1725404435445377E-12</v>
      </c>
      <c r="AL193" s="20">
        <f t="shared" si="165"/>
        <v>7.820597394917325E-12</v>
      </c>
      <c r="AM193" s="59">
        <f t="shared" si="113"/>
        <v>293.33333333334116</v>
      </c>
      <c r="AN193" s="59">
        <f ca="1">AVERAGE(OFFSET($AM$3,0,0,'Données projet'!$E$10+1,1))-AVERAGE(OFFSET($H$3,0,0,'Données projet'!$E$10+1,1))</f>
        <v>287.413090017863</v>
      </c>
      <c r="AO193" s="59">
        <f t="shared" si="144"/>
        <v>258.48456031927117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21.430704799055761</v>
      </c>
      <c r="AV193" s="21">
        <f>EXP(-LN(2)/25)*AV192+(1-EXP(-LN(2)/25))/(LN(2)/25)*Calculateur!AQ193*Calculateur!AS193*VLOOKUP('Données projet'!$B$10,Paramètres!$A$1:$I$89,3,0)*0.475*44/12</f>
        <v>2.7553448812173298</v>
      </c>
      <c r="AW193" s="21">
        <f>EXP(-LN(2)/2)*AW192+(1-EXP(-LN(2)/2))/(LN(2)/2)*AQ193*AT193*VLOOKUP('Données projet'!$B$10,Paramètres!$A$1:$I$89,3,0)*0.475*44/12</f>
        <v>6.5490602804366753E-17</v>
      </c>
      <c r="AX193" s="21">
        <f t="shared" si="166"/>
        <v>24.18604968027309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243.33915530322201</v>
      </c>
      <c r="BJ193" s="59">
        <f t="shared" si="146"/>
        <v>247.73814704672577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5.8851759135370498</v>
      </c>
      <c r="BQ193" s="21">
        <f>EXP(-LN(2)/25)*BQ192+(1-EXP(-LN(2)/25))/(LN(2)/25)*Calculateur!BL193*Calculateur!BN193*VLOOKUP('Données projet'!$B$11,Paramètres!$A$1:$I$89,3,0)*0.475*44/12</f>
        <v>2.4310079170800312</v>
      </c>
      <c r="BR193" s="21">
        <f>EXP(-LN(2)/2)*BR192+(1-EXP(-LN(2)/2))/(LN(2)/2)*BL193*BO193*VLOOKUP('Données projet'!$B$11,Paramètres!$A$1:$I$89,3,0)*0.475*44/12</f>
        <v>1.7325397007162222E-15</v>
      </c>
      <c r="BS193" s="22">
        <f t="shared" si="169"/>
        <v>8.3161838306170832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5.4001247917767614E-13</v>
      </c>
      <c r="O194" s="13">
        <f>N194*VLOOKUP('Données projet'!$B$9,Paramètres!$A$1:$I$89,3,0)*VLOOKUP('Données projet'!$B$9,Paramètres!$A$1:$I$89,5,0)</f>
        <v>4.8860329115996133E-13</v>
      </c>
      <c r="P194" s="13">
        <f t="shared" si="141"/>
        <v>6.1025862939685007E-12</v>
      </c>
      <c r="Q194" s="20">
        <f t="shared" si="162"/>
        <v>1.1479655194098737E-11</v>
      </c>
      <c r="R194" s="59">
        <f t="shared" si="109"/>
        <v>293.3333333333448</v>
      </c>
      <c r="S194" s="59">
        <f ca="1">AVERAGE(OFFSET($R$3,0,0,'Données projet'!$E$9+1,1))-AVERAGE(OFFSET($H$3,0,0,'Données projet'!$E$9+1,1))</f>
        <v>298.01613436147056</v>
      </c>
      <c r="T194" s="59">
        <f t="shared" si="142"/>
        <v>212.70221374431253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62.046550699509773</v>
      </c>
      <c r="AA194" s="21">
        <f>EXP(-LN(2)/25)*AA193+(1-EXP(-LN(2)/25))/(LN(2)/25)*Calculateur!V194*Calculateur!X194*VLOOKUP('Données projet'!$B$9,Paramètres!$A$1:$I$89,3,0)*0.475*44/12</f>
        <v>8.6688814893348809</v>
      </c>
      <c r="AB194" s="21">
        <f>EXP(-LN(2)/2)*AB193+(1-EXP(-LN(2)/2))/(LN(2)/2)*V194*Y194*VLOOKUP('Données projet'!$B$9,Paramètres!$A$1:$I$89,3,0)*0.475*44/12</f>
        <v>2.0872791180333574E-4</v>
      </c>
      <c r="AC194" s="22">
        <f t="shared" si="163"/>
        <v>70.715640916756456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3.177547114319168E-13</v>
      </c>
      <c r="AK194" s="13">
        <f t="shared" si="164"/>
        <v>4.1725404435445377E-12</v>
      </c>
      <c r="AL194" s="20">
        <f t="shared" si="165"/>
        <v>7.820597394917325E-12</v>
      </c>
      <c r="AM194" s="59">
        <f t="shared" si="113"/>
        <v>293.33333333334116</v>
      </c>
      <c r="AN194" s="59">
        <f ca="1">AVERAGE(OFFSET($AM$3,0,0,'Données projet'!$E$10+1,1))-AVERAGE(OFFSET($H$3,0,0,'Données projet'!$E$10+1,1))</f>
        <v>287.413090017863</v>
      </c>
      <c r="AO194" s="59">
        <f t="shared" si="144"/>
        <v>258.48456031927117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21.010461749385506</v>
      </c>
      <c r="AV194" s="21">
        <f>EXP(-LN(2)/25)*AV193+(1-EXP(-LN(2)/25))/(LN(2)/25)*Calculateur!AQ194*Calculateur!AS194*VLOOKUP('Données projet'!$B$10,Paramètres!$A$1:$I$89,3,0)*0.475*44/12</f>
        <v>2.6799998305431521</v>
      </c>
      <c r="AW194" s="21">
        <f>EXP(-LN(2)/2)*AW193+(1-EXP(-LN(2)/2))/(LN(2)/2)*AQ194*AT194*VLOOKUP('Données projet'!$B$10,Paramètres!$A$1:$I$89,3,0)*0.475*44/12</f>
        <v>4.6308849346962458E-17</v>
      </c>
      <c r="AX194" s="21">
        <f t="shared" si="166"/>
        <v>23.690461579928659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243.33915530322201</v>
      </c>
      <c r="BJ194" s="59">
        <f t="shared" si="146"/>
        <v>247.73814704672577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5.769771203475452</v>
      </c>
      <c r="BQ194" s="21">
        <f>EXP(-LN(2)/25)*BQ193+(1-EXP(-LN(2)/25))/(LN(2)/25)*Calculateur!BL194*Calculateur!BN194*VLOOKUP('Données projet'!$B$11,Paramètres!$A$1:$I$89,3,0)*0.475*44/12</f>
        <v>2.3645318777463276</v>
      </c>
      <c r="BR194" s="21">
        <f>EXP(-LN(2)/2)*BR193+(1-EXP(-LN(2)/2))/(LN(2)/2)*BL194*BO194*VLOOKUP('Données projet'!$B$11,Paramètres!$A$1:$I$89,3,0)*0.475*44/12</f>
        <v>1.2250905710513523E-15</v>
      </c>
      <c r="BS194" s="22">
        <f t="shared" si="169"/>
        <v>8.1343030812217823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5.4001247917767614E-13</v>
      </c>
      <c r="O195" s="13">
        <f>N195*VLOOKUP('Données projet'!$B$9,Paramètres!$A$1:$I$89,3,0)*VLOOKUP('Données projet'!$B$9,Paramètres!$A$1:$I$89,5,0)</f>
        <v>4.8860329115996133E-13</v>
      </c>
      <c r="P195" s="13">
        <f t="shared" si="141"/>
        <v>6.1025862939685007E-12</v>
      </c>
      <c r="Q195" s="20">
        <f t="shared" si="162"/>
        <v>1.1479655194098737E-11</v>
      </c>
      <c r="R195" s="59">
        <f t="shared" ref="R195:R203" si="191">Q195+(I195+J195)*44/12</f>
        <v>293.3333333333448</v>
      </c>
      <c r="S195" s="59">
        <f ca="1">AVERAGE(OFFSET($R$3,0,0,'Données projet'!$E$9+1,1))-AVERAGE(OFFSET($H$3,0,0,'Données projet'!$E$9+1,1))</f>
        <v>298.01613436147056</v>
      </c>
      <c r="T195" s="59">
        <f t="shared" si="142"/>
        <v>212.70221374431253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60.829855684951461</v>
      </c>
      <c r="AA195" s="21">
        <f>EXP(-LN(2)/25)*AA194+(1-EXP(-LN(2)/25))/(LN(2)/25)*Calculateur!V195*Calculateur!X195*VLOOKUP('Données projet'!$B$9,Paramètres!$A$1:$I$89,3,0)*0.475*44/12</f>
        <v>8.431830469132354</v>
      </c>
      <c r="AB195" s="21">
        <f>EXP(-LN(2)/2)*AB194+(1-EXP(-LN(2)/2))/(LN(2)/2)*V195*Y195*VLOOKUP('Données projet'!$B$9,Paramètres!$A$1:$I$89,3,0)*0.475*44/12</f>
        <v>1.4759292185904631E-4</v>
      </c>
      <c r="AC195" s="22">
        <f t="shared" si="163"/>
        <v>69.261833747005682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3.177547114319168E-13</v>
      </c>
      <c r="AK195" s="13">
        <f t="shared" si="164"/>
        <v>4.1725404435445377E-12</v>
      </c>
      <c r="AL195" s="20">
        <f t="shared" si="165"/>
        <v>7.820597394917325E-12</v>
      </c>
      <c r="AM195" s="59">
        <f t="shared" si="113"/>
        <v>293.33333333334116</v>
      </c>
      <c r="AN195" s="59">
        <f ca="1">AVERAGE(OFFSET($AM$3,0,0,'Données projet'!$E$10+1,1))-AVERAGE(OFFSET($H$3,0,0,'Données projet'!$E$10+1,1))</f>
        <v>287.413090017863</v>
      </c>
      <c r="AO195" s="59">
        <f t="shared" si="144"/>
        <v>258.48456031927117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20.598459409596337</v>
      </c>
      <c r="AV195" s="21">
        <f>EXP(-LN(2)/25)*AV194+(1-EXP(-LN(2)/25))/(LN(2)/25)*Calculateur!AQ195*Calculateur!AS195*VLOOKUP('Données projet'!$B$10,Paramètres!$A$1:$I$89,3,0)*0.475*44/12</f>
        <v>2.6067150942418835</v>
      </c>
      <c r="AW195" s="21">
        <f>EXP(-LN(2)/2)*AW194+(1-EXP(-LN(2)/2))/(LN(2)/2)*AQ195*AT195*VLOOKUP('Données projet'!$B$10,Paramètres!$A$1:$I$89,3,0)*0.475*44/12</f>
        <v>3.2745301402183376E-17</v>
      </c>
      <c r="AX195" s="21">
        <f t="shared" si="166"/>
        <v>23.205174503838222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243.33915530322201</v>
      </c>
      <c r="BJ195" s="59">
        <f t="shared" si="146"/>
        <v>247.73814704672577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5.6566295093882388</v>
      </c>
      <c r="BQ195" s="21">
        <f>EXP(-LN(2)/25)*BQ194+(1-EXP(-LN(2)/25))/(LN(2)/25)*Calculateur!BL195*Calculateur!BN195*VLOOKUP('Données projet'!$B$11,Paramètres!$A$1:$I$89,3,0)*0.475*44/12</f>
        <v>2.2998736292040269</v>
      </c>
      <c r="BR195" s="21">
        <f>EXP(-LN(2)/2)*BR194+(1-EXP(-LN(2)/2))/(LN(2)/2)*BL195*BO195*VLOOKUP('Données projet'!$B$11,Paramètres!$A$1:$I$89,3,0)*0.475*44/12</f>
        <v>8.662698503581111E-16</v>
      </c>
      <c r="BS195" s="22">
        <f t="shared" si="169"/>
        <v>7.9565031385922671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5.4001247917767614E-13</v>
      </c>
      <c r="O196" s="13">
        <f>N196*VLOOKUP('Données projet'!$B$9,Paramètres!$A$1:$I$89,3,0)*VLOOKUP('Données projet'!$B$9,Paramètres!$A$1:$I$89,5,0)</f>
        <v>4.8860329115996133E-13</v>
      </c>
      <c r="P196" s="13">
        <f t="shared" si="141"/>
        <v>6.1025862939685007E-12</v>
      </c>
      <c r="Q196" s="20">
        <f t="shared" si="162"/>
        <v>1.1479655194098737E-11</v>
      </c>
      <c r="R196" s="59">
        <f t="shared" si="191"/>
        <v>293.3333333333448</v>
      </c>
      <c r="S196" s="59">
        <f ca="1">AVERAGE(OFFSET($R$3,0,0,'Données projet'!$E$9+1,1))-AVERAGE(OFFSET($H$3,0,0,'Données projet'!$E$9+1,1))</f>
        <v>298.01613436147056</v>
      </c>
      <c r="T196" s="59">
        <f t="shared" si="142"/>
        <v>212.70221374431253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59.637019317517961</v>
      </c>
      <c r="AA196" s="21">
        <f>EXP(-LN(2)/25)*AA195+(1-EXP(-LN(2)/25))/(LN(2)/25)*Calculateur!V196*Calculateur!X196*VLOOKUP('Données projet'!$B$9,Paramètres!$A$1:$I$89,3,0)*0.475*44/12</f>
        <v>8.201261621543237</v>
      </c>
      <c r="AB196" s="21">
        <f>EXP(-LN(2)/2)*AB195+(1-EXP(-LN(2)/2))/(LN(2)/2)*V196*Y196*VLOOKUP('Données projet'!$B$9,Paramètres!$A$1:$I$89,3,0)*0.475*44/12</f>
        <v>1.0436395590166787E-4</v>
      </c>
      <c r="AC196" s="22">
        <f t="shared" si="163"/>
        <v>67.838385303017091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3.177547114319168E-13</v>
      </c>
      <c r="AK196" s="13">
        <f t="shared" si="164"/>
        <v>4.1725404435445377E-12</v>
      </c>
      <c r="AL196" s="20">
        <f t="shared" si="165"/>
        <v>7.820597394917325E-12</v>
      </c>
      <c r="AM196" s="59">
        <f t="shared" ref="AM196:AM203" si="193">AL196+(AD196+AE196)*44/12</f>
        <v>293.33333333334116</v>
      </c>
      <c r="AN196" s="59">
        <f ca="1">AVERAGE(OFFSET($AM$3,0,0,'Données projet'!$E$10+1,1))-AVERAGE(OFFSET($H$3,0,0,'Données projet'!$E$10+1,1))</f>
        <v>287.413090017863</v>
      </c>
      <c r="AO196" s="59">
        <f t="shared" si="144"/>
        <v>258.48456031927117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20.194536184393819</v>
      </c>
      <c r="AV196" s="21">
        <f>EXP(-LN(2)/25)*AV195+(1-EXP(-LN(2)/25))/(LN(2)/25)*Calculateur!AQ196*Calculateur!AS196*VLOOKUP('Données projet'!$B$10,Paramètres!$A$1:$I$89,3,0)*0.475*44/12</f>
        <v>2.5354343329086499</v>
      </c>
      <c r="AW196" s="21">
        <f>EXP(-LN(2)/2)*AW195+(1-EXP(-LN(2)/2))/(LN(2)/2)*AQ196*AT196*VLOOKUP('Données projet'!$B$10,Paramètres!$A$1:$I$89,3,0)*0.475*44/12</f>
        <v>2.3154424673481229E-17</v>
      </c>
      <c r="AX196" s="21">
        <f t="shared" si="166"/>
        <v>22.729970517302469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243.33915530322201</v>
      </c>
      <c r="BJ196" s="59">
        <f t="shared" si="146"/>
        <v>247.73814704672577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5.5457064549124571</v>
      </c>
      <c r="BQ196" s="21">
        <f>EXP(-LN(2)/25)*BQ195+(1-EXP(-LN(2)/25))/(LN(2)/25)*Calculateur!BL196*Calculateur!BN196*VLOOKUP('Données projet'!$B$11,Paramètres!$A$1:$I$89,3,0)*0.475*44/12</f>
        <v>2.236983463868345</v>
      </c>
      <c r="BR196" s="21">
        <f>EXP(-LN(2)/2)*BR195+(1-EXP(-LN(2)/2))/(LN(2)/2)*BL196*BO196*VLOOKUP('Données projet'!$B$11,Paramètres!$A$1:$I$89,3,0)*0.475*44/12</f>
        <v>6.1254528552567613E-16</v>
      </c>
      <c r="BS196" s="22">
        <f t="shared" si="169"/>
        <v>7.782689918780803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5.4001247917767614E-13</v>
      </c>
      <c r="O197" s="13">
        <f>N197*VLOOKUP('Données projet'!$B$9,Paramètres!$A$1:$I$89,3,0)*VLOOKUP('Données projet'!$B$9,Paramètres!$A$1:$I$89,5,0)</f>
        <v>4.8860329115996133E-13</v>
      </c>
      <c r="P197" s="13">
        <f t="shared" ref="P197:P203" si="203">EXP(-1.0587+0.8836*LN(O197)+0.284)</f>
        <v>6.1025862939685007E-12</v>
      </c>
      <c r="Q197" s="20">
        <f t="shared" si="162"/>
        <v>1.1479655194098737E-11</v>
      </c>
      <c r="R197" s="59">
        <f t="shared" si="191"/>
        <v>293.3333333333448</v>
      </c>
      <c r="S197" s="59">
        <f ca="1">AVERAGE(OFFSET($R$3,0,0,'Données projet'!$E$9+1,1))-AVERAGE(OFFSET($H$3,0,0,'Données projet'!$E$9+1,1))</f>
        <v>298.01613436147056</v>
      </c>
      <c r="T197" s="59">
        <f t="shared" ref="T197:T203" si="204">$T$3</f>
        <v>212.70221374431253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58.467573743691489</v>
      </c>
      <c r="AA197" s="21">
        <f>EXP(-LN(2)/25)*AA196+(1-EXP(-LN(2)/25))/(LN(2)/25)*Calculateur!V197*Calculateur!X197*VLOOKUP('Données projet'!$B$9,Paramètres!$A$1:$I$89,3,0)*0.475*44/12</f>
        <v>7.9769976912165328</v>
      </c>
      <c r="AB197" s="21">
        <f>EXP(-LN(2)/2)*AB196+(1-EXP(-LN(2)/2))/(LN(2)/2)*V197*Y197*VLOOKUP('Données projet'!$B$9,Paramètres!$A$1:$I$89,3,0)*0.475*44/12</f>
        <v>7.3796460929523156E-5</v>
      </c>
      <c r="AC197" s="22">
        <f t="shared" si="163"/>
        <v>66.444645231368952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3.177547114319168E-13</v>
      </c>
      <c r="AK197" s="13">
        <f t="shared" si="164"/>
        <v>4.1725404435445377E-12</v>
      </c>
      <c r="AL197" s="20">
        <f t="shared" si="165"/>
        <v>7.820597394917325E-12</v>
      </c>
      <c r="AM197" s="59">
        <f t="shared" si="193"/>
        <v>293.33333333334116</v>
      </c>
      <c r="AN197" s="59">
        <f ca="1">AVERAGE(OFFSET($AM$3,0,0,'Données projet'!$E$10+1,1))-AVERAGE(OFFSET($H$3,0,0,'Données projet'!$E$10+1,1))</f>
        <v>287.413090017863</v>
      </c>
      <c r="AO197" s="59">
        <f t="shared" ref="AO197:AO203" si="205">$AO$3</f>
        <v>258.48456031927117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19.79853364726868</v>
      </c>
      <c r="AV197" s="21">
        <f>EXP(-LN(2)/25)*AV196+(1-EXP(-LN(2)/25))/(LN(2)/25)*Calculateur!AQ197*Calculateur!AS197*VLOOKUP('Données projet'!$B$10,Paramètres!$A$1:$I$89,3,0)*0.475*44/12</f>
        <v>2.4661027477425663</v>
      </c>
      <c r="AW197" s="21">
        <f>EXP(-LN(2)/2)*AW196+(1-EXP(-LN(2)/2))/(LN(2)/2)*AQ197*AT197*VLOOKUP('Données projet'!$B$10,Paramètres!$A$1:$I$89,3,0)*0.475*44/12</f>
        <v>1.6372650701091688E-17</v>
      </c>
      <c r="AX197" s="21">
        <f t="shared" si="166"/>
        <v>22.264636395011248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243.33915530322201</v>
      </c>
      <c r="BJ197" s="59">
        <f t="shared" ref="BJ197:BJ203" si="206">$BJ$3</f>
        <v>247.73814704672577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5.4369585338785624</v>
      </c>
      <c r="BQ197" s="21">
        <f>EXP(-LN(2)/25)*BQ196+(1-EXP(-LN(2)/25))/(LN(2)/25)*Calculateur!BL197*Calculateur!BN197*VLOOKUP('Données projet'!$B$11,Paramètres!$A$1:$I$89,3,0)*0.475*44/12</f>
        <v>2.1758130334110173</v>
      </c>
      <c r="BR197" s="21">
        <f>EXP(-LN(2)/2)*BR196+(1-EXP(-LN(2)/2))/(LN(2)/2)*BL197*BO197*VLOOKUP('Données projet'!$B$11,Paramètres!$A$1:$I$89,3,0)*0.475*44/12</f>
        <v>4.3313492517905555E-16</v>
      </c>
      <c r="BS197" s="22">
        <f t="shared" si="169"/>
        <v>7.6127715672895793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5.4001247917767614E-13</v>
      </c>
      <c r="O198" s="13">
        <f>N198*VLOOKUP('Données projet'!$B$9,Paramètres!$A$1:$I$89,3,0)*VLOOKUP('Données projet'!$B$9,Paramètres!$A$1:$I$89,5,0)</f>
        <v>4.8860329115996133E-13</v>
      </c>
      <c r="P198" s="13">
        <f t="shared" si="203"/>
        <v>6.1025862939685007E-12</v>
      </c>
      <c r="Q198" s="20">
        <f t="shared" si="162"/>
        <v>1.1479655194098737E-11</v>
      </c>
      <c r="R198" s="59">
        <f t="shared" si="191"/>
        <v>293.3333333333448</v>
      </c>
      <c r="S198" s="59">
        <f ca="1">AVERAGE(OFFSET($R$3,0,0,'Données projet'!$E$9+1,1))-AVERAGE(OFFSET($H$3,0,0,'Données projet'!$E$9+1,1))</f>
        <v>298.01613436147056</v>
      </c>
      <c r="T198" s="59">
        <f t="shared" si="204"/>
        <v>212.70221374431253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57.321060284276385</v>
      </c>
      <c r="AA198" s="21">
        <f>EXP(-LN(2)/25)*AA197+(1-EXP(-LN(2)/25))/(LN(2)/25)*Calculateur!V198*Calculateur!X198*VLOOKUP('Données projet'!$B$9,Paramètres!$A$1:$I$89,3,0)*0.475*44/12</f>
        <v>7.7588662698581397</v>
      </c>
      <c r="AB198" s="21">
        <f>EXP(-LN(2)/2)*AB197+(1-EXP(-LN(2)/2))/(LN(2)/2)*V198*Y198*VLOOKUP('Données projet'!$B$9,Paramètres!$A$1:$I$89,3,0)*0.475*44/12</f>
        <v>5.2181977950833935E-5</v>
      </c>
      <c r="AC198" s="22">
        <f t="shared" si="163"/>
        <v>65.07997873611248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3.177547114319168E-13</v>
      </c>
      <c r="AK198" s="13">
        <f t="shared" si="164"/>
        <v>4.1725404435445377E-12</v>
      </c>
      <c r="AL198" s="20">
        <f t="shared" si="165"/>
        <v>7.820597394917325E-12</v>
      </c>
      <c r="AM198" s="59">
        <f t="shared" si="193"/>
        <v>293.33333333334116</v>
      </c>
      <c r="AN198" s="59">
        <f ca="1">AVERAGE(OFFSET($AM$3,0,0,'Données projet'!$E$10+1,1))-AVERAGE(OFFSET($H$3,0,0,'Données projet'!$E$10+1,1))</f>
        <v>287.413090017863</v>
      </c>
      <c r="AO198" s="59">
        <f t="shared" si="205"/>
        <v>258.48456031927117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19.41029647835887</v>
      </c>
      <c r="AV198" s="21">
        <f>EXP(-LN(2)/25)*AV197+(1-EXP(-LN(2)/25))/(LN(2)/25)*Calculateur!AQ198*Calculateur!AS198*VLOOKUP('Données projet'!$B$10,Paramètres!$A$1:$I$89,3,0)*0.475*44/12</f>
        <v>2.3986670384188389</v>
      </c>
      <c r="AW198" s="21">
        <f>EXP(-LN(2)/2)*AW197+(1-EXP(-LN(2)/2))/(LN(2)/2)*AQ198*AT198*VLOOKUP('Données projet'!$B$10,Paramètres!$A$1:$I$89,3,0)*0.475*44/12</f>
        <v>1.1577212336740615E-17</v>
      </c>
      <c r="AX198" s="21">
        <f t="shared" si="166"/>
        <v>21.808963516777709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243.33915530322201</v>
      </c>
      <c r="BJ198" s="59">
        <f t="shared" si="206"/>
        <v>247.73814704672577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5.3303430932464604</v>
      </c>
      <c r="BQ198" s="21">
        <f>EXP(-LN(2)/25)*BQ197+(1-EXP(-LN(2)/25))/(LN(2)/25)*Calculateur!BL198*Calculateur!BN198*VLOOKUP('Données projet'!$B$11,Paramètres!$A$1:$I$89,3,0)*0.475*44/12</f>
        <v>2.1163153115913587</v>
      </c>
      <c r="BR198" s="21">
        <f>EXP(-LN(2)/2)*BR197+(1-EXP(-LN(2)/2))/(LN(2)/2)*BL198*BO198*VLOOKUP('Données projet'!$B$11,Paramètres!$A$1:$I$89,3,0)*0.475*44/12</f>
        <v>3.0627264276283806E-16</v>
      </c>
      <c r="BS198" s="22">
        <f t="shared" si="169"/>
        <v>7.4466584048378195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5.4001247917767614E-13</v>
      </c>
      <c r="O199" s="13">
        <f>N199*VLOOKUP('Données projet'!$B$9,Paramètres!$A$1:$I$89,3,0)*VLOOKUP('Données projet'!$B$9,Paramètres!$A$1:$I$89,5,0)</f>
        <v>4.8860329115996133E-13</v>
      </c>
      <c r="P199" s="13">
        <f t="shared" si="203"/>
        <v>6.1025862939685007E-12</v>
      </c>
      <c r="Q199" s="20">
        <f t="shared" si="162"/>
        <v>1.1479655194098737E-11</v>
      </c>
      <c r="R199" s="59">
        <f t="shared" si="191"/>
        <v>293.3333333333448</v>
      </c>
      <c r="S199" s="59">
        <f ca="1">AVERAGE(OFFSET($R$3,0,0,'Données projet'!$E$9+1,1))-AVERAGE(OFFSET($H$3,0,0,'Données projet'!$E$9+1,1))</f>
        <v>298.01613436147056</v>
      </c>
      <c r="T199" s="59">
        <f t="shared" si="204"/>
        <v>212.70221374431253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56.19702925449625</v>
      </c>
      <c r="AA199" s="21">
        <f>EXP(-LN(2)/25)*AA198+(1-EXP(-LN(2)/25))/(LN(2)/25)*Calculateur!V199*Calculateur!X199*VLOOKUP('Données projet'!$B$9,Paramètres!$A$1:$I$89,3,0)*0.475*44/12</f>
        <v>7.546699663687825</v>
      </c>
      <c r="AB199" s="21">
        <f>EXP(-LN(2)/2)*AB198+(1-EXP(-LN(2)/2))/(LN(2)/2)*V199*Y199*VLOOKUP('Données projet'!$B$9,Paramètres!$A$1:$I$89,3,0)*0.475*44/12</f>
        <v>3.6898230464761578E-5</v>
      </c>
      <c r="AC199" s="22">
        <f t="shared" si="163"/>
        <v>63.743765816414538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3.177547114319168E-13</v>
      </c>
      <c r="AK199" s="13">
        <f t="shared" si="164"/>
        <v>4.1725404435445377E-12</v>
      </c>
      <c r="AL199" s="20">
        <f t="shared" si="165"/>
        <v>7.820597394917325E-12</v>
      </c>
      <c r="AM199" s="59">
        <f t="shared" si="193"/>
        <v>293.33333333334116</v>
      </c>
      <c r="AN199" s="59">
        <f ca="1">AVERAGE(OFFSET($AM$3,0,0,'Données projet'!$E$10+1,1))-AVERAGE(OFFSET($H$3,0,0,'Données projet'!$E$10+1,1))</f>
        <v>287.413090017863</v>
      </c>
      <c r="AO199" s="59">
        <f t="shared" si="205"/>
        <v>258.48456031927117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19.029672403530089</v>
      </c>
      <c r="AV199" s="21">
        <f>EXP(-LN(2)/25)*AV198+(1-EXP(-LN(2)/25))/(LN(2)/25)*Calculateur!AQ199*Calculateur!AS199*VLOOKUP('Données projet'!$B$10,Paramètres!$A$1:$I$89,3,0)*0.475*44/12</f>
        <v>2.3330753621128584</v>
      </c>
      <c r="AW199" s="21">
        <f>EXP(-LN(2)/2)*AW198+(1-EXP(-LN(2)/2))/(LN(2)/2)*AQ199*AT199*VLOOKUP('Données projet'!$B$10,Paramètres!$A$1:$I$89,3,0)*0.475*44/12</f>
        <v>8.1863253505458441E-18</v>
      </c>
      <c r="AX199" s="21">
        <f t="shared" si="166"/>
        <v>21.362747765642947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243.33915530322201</v>
      </c>
      <c r="BJ199" s="59">
        <f t="shared" si="206"/>
        <v>247.73814704672577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5.2258183163761558</v>
      </c>
      <c r="BQ199" s="21">
        <f>EXP(-LN(2)/25)*BQ198+(1-EXP(-LN(2)/25))/(LN(2)/25)*Calculateur!BL199*Calculateur!BN199*VLOOKUP('Données projet'!$B$11,Paramètres!$A$1:$I$89,3,0)*0.475*44/12</f>
        <v>2.0584445581037074</v>
      </c>
      <c r="BR199" s="21">
        <f>EXP(-LN(2)/2)*BR198+(1-EXP(-LN(2)/2))/(LN(2)/2)*BL199*BO199*VLOOKUP('Données projet'!$B$11,Paramètres!$A$1:$I$89,3,0)*0.475*44/12</f>
        <v>2.1656746258952777E-16</v>
      </c>
      <c r="BS199" s="22">
        <f t="shared" si="169"/>
        <v>7.2842628744798628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5.4001247917767614E-13</v>
      </c>
      <c r="O200" s="13">
        <f>N200*VLOOKUP('Données projet'!$B$9,Paramètres!$A$1:$I$89,3,0)*VLOOKUP('Données projet'!$B$9,Paramètres!$A$1:$I$89,5,0)</f>
        <v>4.8860329115996133E-13</v>
      </c>
      <c r="P200" s="13">
        <f t="shared" si="203"/>
        <v>6.1025862939685007E-12</v>
      </c>
      <c r="Q200" s="20">
        <f t="shared" si="162"/>
        <v>1.1479655194098737E-11</v>
      </c>
      <c r="R200" s="59">
        <f t="shared" si="191"/>
        <v>293.3333333333448</v>
      </c>
      <c r="S200" s="59">
        <f ca="1">AVERAGE(OFFSET($R$3,0,0,'Données projet'!$E$9+1,1))-AVERAGE(OFFSET($H$3,0,0,'Données projet'!$E$9+1,1))</f>
        <v>298.01613436147056</v>
      </c>
      <c r="T200" s="59">
        <f t="shared" si="204"/>
        <v>212.70221374431253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55.095039787618873</v>
      </c>
      <c r="AA200" s="21">
        <f>EXP(-LN(2)/25)*AA199+(1-EXP(-LN(2)/25))/(LN(2)/25)*Calculateur!V200*Calculateur!X200*VLOOKUP('Données projet'!$B$9,Paramètres!$A$1:$I$89,3,0)*0.475*44/12</f>
        <v>7.3403347645205939</v>
      </c>
      <c r="AB200" s="21">
        <f>EXP(-LN(2)/2)*AB199+(1-EXP(-LN(2)/2))/(LN(2)/2)*V200*Y200*VLOOKUP('Données projet'!$B$9,Paramètres!$A$1:$I$89,3,0)*0.475*44/12</f>
        <v>2.6090988975416967E-5</v>
      </c>
      <c r="AC200" s="22">
        <f t="shared" si="163"/>
        <v>62.435400643128439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3.177547114319168E-13</v>
      </c>
      <c r="AK200" s="13">
        <f t="shared" si="164"/>
        <v>4.1725404435445377E-12</v>
      </c>
      <c r="AL200" s="20">
        <f t="shared" si="165"/>
        <v>7.820597394917325E-12</v>
      </c>
      <c r="AM200" s="59">
        <f t="shared" si="193"/>
        <v>293.33333333334116</v>
      </c>
      <c r="AN200" s="59">
        <f ca="1">AVERAGE(OFFSET($AM$3,0,0,'Données projet'!$E$10+1,1))-AVERAGE(OFFSET($H$3,0,0,'Données projet'!$E$10+1,1))</f>
        <v>287.413090017863</v>
      </c>
      <c r="AO200" s="59">
        <f t="shared" si="205"/>
        <v>258.48456031927117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18.656512134650939</v>
      </c>
      <c r="AV200" s="21">
        <f>EXP(-LN(2)/25)*AV199+(1-EXP(-LN(2)/25))/(LN(2)/25)*Calculateur!AQ200*Calculateur!AS200*VLOOKUP('Données projet'!$B$10,Paramètres!$A$1:$I$89,3,0)*0.475*44/12</f>
        <v>2.2692772936447811</v>
      </c>
      <c r="AW200" s="21">
        <f>EXP(-LN(2)/2)*AW199+(1-EXP(-LN(2)/2))/(LN(2)/2)*AQ200*AT200*VLOOKUP('Données projet'!$B$10,Paramètres!$A$1:$I$89,3,0)*0.475*44/12</f>
        <v>5.7886061683703073E-18</v>
      </c>
      <c r="AX200" s="21">
        <f t="shared" si="166"/>
        <v>20.925789428295719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243.33915530322201</v>
      </c>
      <c r="BJ200" s="59">
        <f t="shared" si="206"/>
        <v>247.73814704672577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5.1233432066264593</v>
      </c>
      <c r="BQ200" s="21">
        <f>EXP(-LN(2)/25)*BQ199+(1-EXP(-LN(2)/25))/(LN(2)/25)*Calculateur!BL200*Calculateur!BN200*VLOOKUP('Données projet'!$B$11,Paramètres!$A$1:$I$89,3,0)*0.475*44/12</f>
        <v>2.0021562834134667</v>
      </c>
      <c r="BR200" s="21">
        <f>EXP(-LN(2)/2)*BR199+(1-EXP(-LN(2)/2))/(LN(2)/2)*BL200*BO200*VLOOKUP('Données projet'!$B$11,Paramètres!$A$1:$I$89,3,0)*0.475*44/12</f>
        <v>1.5313632138141903E-16</v>
      </c>
      <c r="BS200" s="22">
        <f t="shared" si="169"/>
        <v>7.1254994900399264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5.4001247917767614E-13</v>
      </c>
      <c r="O201" s="13">
        <f>N201*VLOOKUP('Données projet'!$B$9,Paramètres!$A$1:$I$89,3,0)*VLOOKUP('Données projet'!$B$9,Paramètres!$A$1:$I$89,5,0)</f>
        <v>4.8860329115996133E-13</v>
      </c>
      <c r="P201" s="13">
        <f t="shared" si="203"/>
        <v>6.1025862939685007E-12</v>
      </c>
      <c r="Q201" s="20">
        <f t="shared" si="162"/>
        <v>1.1479655194098737E-11</v>
      </c>
      <c r="R201" s="59">
        <f t="shared" si="191"/>
        <v>293.3333333333448</v>
      </c>
      <c r="S201" s="59">
        <f ca="1">AVERAGE(OFFSET($R$3,0,0,'Données projet'!$E$9+1,1))-AVERAGE(OFFSET($H$3,0,0,'Données projet'!$E$9+1,1))</f>
        <v>298.01613436147056</v>
      </c>
      <c r="T201" s="59">
        <f t="shared" si="204"/>
        <v>212.70221374431253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54.014659662039755</v>
      </c>
      <c r="AA201" s="21">
        <f>EXP(-LN(2)/25)*AA200+(1-EXP(-LN(2)/25))/(LN(2)/25)*Calculateur!V201*Calculateur!X201*VLOOKUP('Données projet'!$B$9,Paramètres!$A$1:$I$89,3,0)*0.475*44/12</f>
        <v>7.1396129243733499</v>
      </c>
      <c r="AB201" s="21">
        <f>EXP(-LN(2)/2)*AB200+(1-EXP(-LN(2)/2))/(LN(2)/2)*V201*Y201*VLOOKUP('Données projet'!$B$9,Paramètres!$A$1:$I$89,3,0)*0.475*44/12</f>
        <v>1.8449115232380789E-5</v>
      </c>
      <c r="AC201" s="22">
        <f t="shared" si="163"/>
        <v>61.154291035528338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3.177547114319168E-13</v>
      </c>
      <c r="AK201" s="13">
        <f t="shared" si="164"/>
        <v>4.1725404435445377E-12</v>
      </c>
      <c r="AL201" s="20">
        <f t="shared" si="165"/>
        <v>7.820597394917325E-12</v>
      </c>
      <c r="AM201" s="59">
        <f t="shared" si="193"/>
        <v>293.33333333334116</v>
      </c>
      <c r="AN201" s="59">
        <f ca="1">AVERAGE(OFFSET($AM$3,0,0,'Données projet'!$E$10+1,1))-AVERAGE(OFFSET($H$3,0,0,'Données projet'!$E$10+1,1))</f>
        <v>287.413090017863</v>
      </c>
      <c r="AO201" s="59">
        <f t="shared" si="205"/>
        <v>258.48456031927117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18.290669311039217</v>
      </c>
      <c r="AV201" s="21">
        <f>EXP(-LN(2)/25)*AV200+(1-EXP(-LN(2)/25))/(LN(2)/25)*Calculateur!AQ201*Calculateur!AS201*VLOOKUP('Données projet'!$B$10,Paramètres!$A$1:$I$89,3,0)*0.475*44/12</f>
        <v>2.2072237867139584</v>
      </c>
      <c r="AW201" s="21">
        <f>EXP(-LN(2)/2)*AW200+(1-EXP(-LN(2)/2))/(LN(2)/2)*AQ201*AT201*VLOOKUP('Données projet'!$B$10,Paramètres!$A$1:$I$89,3,0)*0.475*44/12</f>
        <v>4.0931626752729221E-18</v>
      </c>
      <c r="AX201" s="21">
        <f t="shared" si="166"/>
        <v>20.497893097753174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243.33915530322201</v>
      </c>
      <c r="BJ201" s="59">
        <f t="shared" si="206"/>
        <v>247.73814704672577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5.0228775712753091</v>
      </c>
      <c r="BQ201" s="21">
        <f>EXP(-LN(2)/25)*BQ200+(1-EXP(-LN(2)/25))/(LN(2)/25)*Calculateur!BL201*Calculateur!BN201*VLOOKUP('Données projet'!$B$11,Paramètres!$A$1:$I$89,3,0)*0.475*44/12</f>
        <v>1.9474072145547026</v>
      </c>
      <c r="BR201" s="21">
        <f>EXP(-LN(2)/2)*BR200+(1-EXP(-LN(2)/2))/(LN(2)/2)*BL201*BO201*VLOOKUP('Données projet'!$B$11,Paramètres!$A$1:$I$89,3,0)*0.475*44/12</f>
        <v>1.0828373129476389E-16</v>
      </c>
      <c r="BS201" s="22">
        <f t="shared" si="169"/>
        <v>6.9702847858300121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5.4001247917767614E-13</v>
      </c>
      <c r="O202" s="13">
        <f>N202*VLOOKUP('Données projet'!$B$9,Paramètres!$A$1:$I$89,3,0)*VLOOKUP('Données projet'!$B$9,Paramètres!$A$1:$I$89,5,0)</f>
        <v>4.8860329115996133E-13</v>
      </c>
      <c r="P202" s="13">
        <f t="shared" si="203"/>
        <v>6.1025862939685007E-12</v>
      </c>
      <c r="Q202" s="20">
        <f t="shared" si="162"/>
        <v>1.1479655194098737E-11</v>
      </c>
      <c r="R202" s="59">
        <f t="shared" si="191"/>
        <v>293.3333333333448</v>
      </c>
      <c r="S202" s="59">
        <f ca="1">AVERAGE(OFFSET($R$3,0,0,'Données projet'!$E$9+1,1))-AVERAGE(OFFSET($H$3,0,0,'Données projet'!$E$9+1,1))</f>
        <v>298.01613436147056</v>
      </c>
      <c r="T202" s="59">
        <f t="shared" si="204"/>
        <v>212.70221374431253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52.955465131756434</v>
      </c>
      <c r="AA202" s="21">
        <f>EXP(-LN(2)/25)*AA201+(1-EXP(-LN(2)/25))/(LN(2)/25)*Calculateur!V202*Calculateur!X202*VLOOKUP('Données projet'!$B$9,Paramètres!$A$1:$I$89,3,0)*0.475*44/12</f>
        <v>6.9443798335004345</v>
      </c>
      <c r="AB202" s="21">
        <f>EXP(-LN(2)/2)*AB201+(1-EXP(-LN(2)/2))/(LN(2)/2)*V202*Y202*VLOOKUP('Données projet'!$B$9,Paramètres!$A$1:$I$89,3,0)*0.475*44/12</f>
        <v>1.3045494487708484E-5</v>
      </c>
      <c r="AC202" s="22">
        <f t="shared" si="163"/>
        <v>59.899858010751359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3.177547114319168E-13</v>
      </c>
      <c r="AK202" s="13">
        <f t="shared" si="164"/>
        <v>4.1725404435445377E-12</v>
      </c>
      <c r="AL202" s="20">
        <f t="shared" si="165"/>
        <v>7.820597394917325E-12</v>
      </c>
      <c r="AM202" s="59">
        <f t="shared" si="193"/>
        <v>293.33333333334116</v>
      </c>
      <c r="AN202" s="59">
        <f ca="1">AVERAGE(OFFSET($AM$3,0,0,'Données projet'!$E$10+1,1))-AVERAGE(OFFSET($H$3,0,0,'Données projet'!$E$10+1,1))</f>
        <v>287.413090017863</v>
      </c>
      <c r="AO202" s="59">
        <f t="shared" si="205"/>
        <v>258.48456031927117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17.932000442056435</v>
      </c>
      <c r="AV202" s="21">
        <f>EXP(-LN(2)/25)*AV201+(1-EXP(-LN(2)/25))/(LN(2)/25)*Calculateur!AQ202*Calculateur!AS202*VLOOKUP('Données projet'!$B$10,Paramètres!$A$1:$I$89,3,0)*0.475*44/12</f>
        <v>2.1468671361934111</v>
      </c>
      <c r="AW202" s="21">
        <f>EXP(-LN(2)/2)*AW201+(1-EXP(-LN(2)/2))/(LN(2)/2)*AQ202*AT202*VLOOKUP('Données projet'!$B$10,Paramètres!$A$1:$I$89,3,0)*0.475*44/12</f>
        <v>2.8943030841851536E-18</v>
      </c>
      <c r="AX202" s="21">
        <f t="shared" si="166"/>
        <v>20.078867578249845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243.33915530322201</v>
      </c>
      <c r="BJ202" s="59">
        <f t="shared" si="206"/>
        <v>247.73814704672577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4.9243820057554082</v>
      </c>
      <c r="BQ202" s="21">
        <f>EXP(-LN(2)/25)*BQ201+(1-EXP(-LN(2)/25))/(LN(2)/25)*Calculateur!BL202*Calculateur!BN202*VLOOKUP('Données projet'!$B$11,Paramètres!$A$1:$I$89,3,0)*0.475*44/12</f>
        <v>1.8941552618630098</v>
      </c>
      <c r="BR202" s="21">
        <f>EXP(-LN(2)/2)*BR201+(1-EXP(-LN(2)/2))/(LN(2)/2)*BL202*BO202*VLOOKUP('Données projet'!$B$11,Paramètres!$A$1:$I$89,3,0)*0.475*44/12</f>
        <v>7.6568160690709516E-17</v>
      </c>
      <c r="BS202" s="22">
        <f t="shared" si="169"/>
        <v>6.8185372676184182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5.4001247917767614E-13</v>
      </c>
      <c r="O203" s="13">
        <f>N203*VLOOKUP('Données projet'!$B$9,Paramètres!$A$1:$I$89,3,0)*VLOOKUP('Données projet'!$B$9,Paramètres!$A$1:$I$89,5,0)</f>
        <v>4.8860329115996133E-13</v>
      </c>
      <c r="P203" s="13">
        <f t="shared" si="203"/>
        <v>6.1025862939685007E-12</v>
      </c>
      <c r="Q203" s="20">
        <f t="shared" si="162"/>
        <v>1.1479655194098737E-11</v>
      </c>
      <c r="R203" s="59">
        <f t="shared" si="191"/>
        <v>293.3333333333448</v>
      </c>
      <c r="S203" s="59">
        <f ca="1">AVERAGE(OFFSET($R$3,0,0,'Données projet'!$E$9+1,1))-AVERAGE(OFFSET($H$3,0,0,'Données projet'!$E$9+1,1))</f>
        <v>298.01613436147056</v>
      </c>
      <c r="T203" s="59">
        <f t="shared" si="204"/>
        <v>212.70221374431253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51.917040760167097</v>
      </c>
      <c r="AA203" s="21">
        <f>EXP(-LN(2)/25)*AA202+(1-EXP(-LN(2)/25))/(LN(2)/25)*Calculateur!V203*Calculateur!X203*VLOOKUP('Données projet'!$B$9,Paramètres!$A$1:$I$89,3,0)*0.475*44/12</f>
        <v>6.7544854017643017</v>
      </c>
      <c r="AB203" s="21">
        <f>EXP(-LN(2)/2)*AB202+(1-EXP(-LN(2)/2))/(LN(2)/2)*V203*Y203*VLOOKUP('Données projet'!$B$9,Paramètres!$A$1:$I$89,3,0)*0.475*44/12</f>
        <v>9.2245576161903945E-6</v>
      </c>
      <c r="AC203" s="22">
        <f t="shared" si="163"/>
        <v>58.671535386489012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3.177547114319168E-13</v>
      </c>
      <c r="AK203" s="13">
        <f t="shared" si="164"/>
        <v>4.1725404435445377E-12</v>
      </c>
      <c r="AL203" s="20">
        <f t="shared" si="165"/>
        <v>7.820597394917325E-12</v>
      </c>
      <c r="AM203" s="59">
        <f t="shared" si="193"/>
        <v>293.33333333334116</v>
      </c>
      <c r="AN203" s="59">
        <f ca="1">AVERAGE(OFFSET($AM$3,0,0,'Données projet'!$E$10+1,1))-AVERAGE(OFFSET($H$3,0,0,'Données projet'!$E$10+1,1))</f>
        <v>287.413090017863</v>
      </c>
      <c r="AO203" s="59">
        <f t="shared" si="205"/>
        <v>258.48456031927117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17.580364850827994</v>
      </c>
      <c r="AV203" s="21">
        <f>EXP(-LN(2)/25)*AV202+(1-EXP(-LN(2)/25))/(LN(2)/25)*Calculateur!AQ203*Calculateur!AS203*VLOOKUP('Données projet'!$B$10,Paramètres!$A$1:$I$89,3,0)*0.475*44/12</f>
        <v>2.0881609414553663</v>
      </c>
      <c r="AW203" s="21">
        <f>EXP(-LN(2)/2)*AW202+(1-EXP(-LN(2)/2))/(LN(2)/2)*AQ203*AT203*VLOOKUP('Données projet'!$B$10,Paramètres!$A$1:$I$89,3,0)*0.475*44/12</f>
        <v>2.046581337636461E-18</v>
      </c>
      <c r="AX203" s="21">
        <f t="shared" si="166"/>
        <v>19.668525792283361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243.33915530322201</v>
      </c>
      <c r="BJ203" s="59">
        <f t="shared" si="206"/>
        <v>247.73814704672577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4.8278178781989896</v>
      </c>
      <c r="BQ203" s="21">
        <f>EXP(-LN(2)/25)*BQ202+(1-EXP(-LN(2)/25))/(LN(2)/25)*Calculateur!BL203*Calculateur!BN203*VLOOKUP('Données projet'!$B$11,Paramètres!$A$1:$I$89,3,0)*0.475*44/12</f>
        <v>1.8423594866180697</v>
      </c>
      <c r="BR203" s="21">
        <f>EXP(-LN(2)/2)*BR202+(1-EXP(-LN(2)/2))/(LN(2)/2)*BL203*BO203*VLOOKUP('Données projet'!$B$11,Paramètres!$A$1:$I$89,3,0)*0.475*44/12</f>
        <v>5.4141865647381944E-17</v>
      </c>
      <c r="BS203" s="22">
        <f t="shared" si="169"/>
        <v>6.670177364817059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1.1281922301282807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1.2855297099408214</v>
      </c>
      <c r="BA205" s="82">
        <f>EXP(LN('Données projet'!B88)/'Données projet'!A88)</f>
        <v>1.3208724756526424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66406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6640625" style="4" bestFit="1" customWidth="1"/>
    <col min="7" max="7" width="11.46484375" style="4" bestFit="1" customWidth="1"/>
    <col min="8" max="8" width="39" style="4" bestFit="1" customWidth="1"/>
    <col min="9" max="9" width="16.6640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F17" sqref="F17:L18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0.75749999999999995</v>
      </c>
      <c r="C6" s="147">
        <f ca="1">IF(OR('Données projet'!B9="",'Données projet'!C9="",'Données projet'!C9=0%),0,Calculateur!S3)</f>
        <v>298.01613436147056</v>
      </c>
      <c r="D6" s="147">
        <f>IF(OR('Données projet'!B9="",'Données projet'!C9="",'Données projet'!C9=0%),0,Calculateur!T3)</f>
        <v>212.70221374431253</v>
      </c>
      <c r="E6" s="147">
        <f ca="1">MIN(C6,D6)</f>
        <v>212.70221374431253</v>
      </c>
      <c r="F6" s="147">
        <f ca="1">E6*B6</f>
        <v>161.12192691131673</v>
      </c>
      <c r="G6" s="147">
        <f ca="1">F6*(100%-'Données projet'!$C$24)*(100%-'Données projet'!$C$25)*(100%-'Données projet'!$C$26)*(100%-'Données projet'!$C$27)</f>
        <v>145.00973422018507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145.00973422018507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Douglas</v>
      </c>
      <c r="B7" s="154">
        <f>'Données projet'!D10</f>
        <v>1.5149999999999999</v>
      </c>
      <c r="C7" s="147">
        <f ca="1">IF(OR('Données projet'!B10="",'Données projet'!C10="",'Données projet'!C10=0%),0,Calculateur!AN3)</f>
        <v>287.413090017863</v>
      </c>
      <c r="D7" s="147">
        <f>IF(OR('Données projet'!B10="",'Données projet'!C10="",'Données projet'!C10=0%),0,Calculateur!AO3)</f>
        <v>258.48456031927117</v>
      </c>
      <c r="E7" s="147">
        <f t="shared" ref="E7:E15" ca="1" si="0">MIN(C7,D7)</f>
        <v>258.48456031927117</v>
      </c>
      <c r="F7" s="147">
        <f t="shared" ref="F7:F15" ca="1" si="1">E7*B7</f>
        <v>391.6041088836958</v>
      </c>
      <c r="G7" s="147">
        <f ca="1">F7*(100%-'Données projet'!$C$24)*(100%-'Données projet'!$C$25)*(100%-'Données projet'!$C$26)*(100%-'Données projet'!$C$27)</f>
        <v>352.4436979953262</v>
      </c>
      <c r="H7" s="155">
        <f>IF(OR('Données projet'!B10="",'Données projet'!C10="",'Données projet'!C10=0%),0,AVERAGE(Calculateur!$AX$3:$AX$33)*B7)</f>
        <v>13.859250413230459</v>
      </c>
      <c r="I7" s="149">
        <f>H7*(100%-'Données projet'!$C$24)*(100%-'Données projet'!$C$25)*(100%-'Données projet'!$C$26)*(100%-'Données projet'!$C$27)</f>
        <v>12.473325371907414</v>
      </c>
      <c r="J7" s="150">
        <f>IF(OR('Données projet'!B10="",'Données projet'!C10="",'Données projet'!C10=0%),0,SUM(Calculateur!$AQ$3:$AQ$33)*VLOOKUP('Données projet'!$B$10,Paramètres!$A$1:$I$89,9,0)*B7)</f>
        <v>86.147747999999979</v>
      </c>
      <c r="K7" s="151">
        <f>J7*(100%-'Données projet'!$C$24)*(100%-'Données projet'!$C$25)*(100%-'Données projet'!$C$26)*(100%-'Données projet'!$C$27)</f>
        <v>77.532973199999986</v>
      </c>
      <c r="L7" s="152">
        <f t="shared" ref="L7:L15" ca="1" si="2">G7+I7+K7</f>
        <v>442.4499965672336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Erable sycomore</v>
      </c>
      <c r="B8" s="154">
        <f>'Données projet'!D11</f>
        <v>0.75749999999999995</v>
      </c>
      <c r="C8" s="147">
        <f ca="1">IF(OR('Données projet'!B11="",'Données projet'!C11="",'Données projet'!C11=0%),0,Calculateur!BI3)</f>
        <v>243.33915530322201</v>
      </c>
      <c r="D8" s="147">
        <f>IF(OR('Données projet'!B11="",'Données projet'!C11="",'Données projet'!C11=0%),0,Calculateur!BJ3)</f>
        <v>247.73814704672577</v>
      </c>
      <c r="E8" s="147">
        <f t="shared" ca="1" si="0"/>
        <v>243.33915530322201</v>
      </c>
      <c r="F8" s="147">
        <f t="shared" ca="1" si="1"/>
        <v>184.32941014219065</v>
      </c>
      <c r="G8" s="147">
        <f ca="1">F8*(100%-'Données projet'!$C$24)*(100%-'Données projet'!$C$25)*(100%-'Données projet'!$C$26)*(100%-'Données projet'!$C$27)</f>
        <v>165.89646912797159</v>
      </c>
      <c r="H8" s="155">
        <f>IF(OR('Données projet'!B11="",'Données projet'!C11="",'Données projet'!C11=0%),0,AVERAGE(Calculateur!$BS$3:$BS$33)*B8)</f>
        <v>4.5737794503775948</v>
      </c>
      <c r="I8" s="149">
        <f>H8*(100%-'Données projet'!$C$24)*(100%-'Données projet'!$C$25)*(100%-'Données projet'!$C$26)*(100%-'Données projet'!$C$27)</f>
        <v>4.1164015053398355</v>
      </c>
      <c r="J8" s="150">
        <f>IF(OR('Données projet'!B11="",'Données projet'!C11="",'Données projet'!C11=0%),0,SUM(Calculateur!$BL$3:$BL$33)*VLOOKUP('Données projet'!$B$11,Paramètres!$A$1:$I$89,9,0)*B8)</f>
        <v>25.944374999999997</v>
      </c>
      <c r="K8" s="151">
        <f>J8*(100%-'Données projet'!$C$24)*(100%-'Données projet'!$C$25)*(100%-'Données projet'!$C$26)*(100%-'Données projet'!$C$27)</f>
        <v>23.349937499999999</v>
      </c>
      <c r="L8" s="152">
        <f t="shared" ca="1" si="2"/>
        <v>193.36280813331143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737.05544593720322</v>
      </c>
      <c r="G16" s="166">
        <f t="shared" ca="1" si="3"/>
        <v>663.34990134348288</v>
      </c>
      <c r="H16" s="167">
        <f t="shared" si="3"/>
        <v>18.433029863608056</v>
      </c>
      <c r="I16" s="167">
        <f t="shared" si="3"/>
        <v>16.589726877247251</v>
      </c>
      <c r="J16" s="168">
        <f t="shared" si="3"/>
        <v>112.09212299999997</v>
      </c>
      <c r="K16" s="168">
        <f t="shared" si="3"/>
        <v>100.88291069999998</v>
      </c>
      <c r="L16" s="169">
        <f t="shared" ca="1" si="3"/>
        <v>780.82253892073015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22" zoomScale="80" zoomScaleNormal="80" workbookViewId="0">
      <selection activeCell="N33" sqref="N33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66406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1163.1084168300777</v>
      </c>
      <c r="U10" s="178">
        <f>'Données projet'!D9</f>
        <v>0.75749999999999995</v>
      </c>
      <c r="V10" s="177">
        <f>U10*T10</f>
        <v>881.05462574878379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4511.3120893156338</v>
      </c>
      <c r="U11" s="178">
        <f>'Données projet'!D10</f>
        <v>1.5149999999999999</v>
      </c>
      <c r="V11" s="177">
        <f t="shared" ref="V11" si="0">U11*T11</f>
        <v>6834.6378153131845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1728.1744097706571</v>
      </c>
      <c r="U12" s="178">
        <f>'Données projet'!D11</f>
        <v>0.75749999999999995</v>
      </c>
      <c r="V12" s="177">
        <f t="shared" ref="V12:V19" si="1">U12*T12</f>
        <v>1309.0921154012726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70.000000000000085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16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1120.0000000000014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44</v>
      </c>
      <c r="B23" s="181">
        <f>'Données projet'!D36</f>
        <v>76.680000000000007</v>
      </c>
      <c r="C23" s="193">
        <v>15</v>
      </c>
      <c r="D23" s="182">
        <f>B23*C23</f>
        <v>1150.2</v>
      </c>
      <c r="E23" s="193">
        <v>60</v>
      </c>
      <c r="F23" s="230"/>
      <c r="H23" s="190">
        <v>5</v>
      </c>
      <c r="I23" s="191">
        <v>700</v>
      </c>
      <c r="J23" s="257">
        <f>SUM(I20:I23)*3.03</f>
        <v>17574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-7169.4118420448958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51</v>
      </c>
      <c r="B24" s="181">
        <f>'Données projet'!D37</f>
        <v>48.769999999999982</v>
      </c>
      <c r="C24" s="193">
        <v>15</v>
      </c>
      <c r="D24" s="182">
        <f t="shared" ref="D24:D42" si="2">B24*C24</f>
        <v>731.54999999999973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155.78309213040606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59</v>
      </c>
      <c r="B25" s="181">
        <f>'Données projet'!D38</f>
        <v>52.75</v>
      </c>
      <c r="C25" s="193">
        <v>59.875</v>
      </c>
      <c r="D25" s="182">
        <f t="shared" si="2"/>
        <v>3158.40625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-7325.1949341753016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67</v>
      </c>
      <c r="B26" s="181">
        <f>'Données projet'!D39</f>
        <v>44.170000000000016</v>
      </c>
      <c r="C26" s="193">
        <v>59.875</v>
      </c>
      <c r="D26" s="182">
        <f t="shared" si="2"/>
        <v>2644.6787500000009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75</v>
      </c>
      <c r="B27" s="181">
        <f>'Données projet'!D40</f>
        <v>43.289999999999992</v>
      </c>
      <c r="C27" s="193">
        <v>59.875</v>
      </c>
      <c r="D27" s="182">
        <f t="shared" si="2"/>
        <v>2591.9887499999995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49.669999999999987</v>
      </c>
      <c r="C28" s="193">
        <v>59.875</v>
      </c>
      <c r="D28" s="182">
        <f t="shared" si="2"/>
        <v>2973.9912499999991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93</v>
      </c>
      <c r="B29" s="181">
        <f>'Données projet'!D42</f>
        <v>42.910000000000025</v>
      </c>
      <c r="C29" s="193">
        <v>59.875</v>
      </c>
      <c r="D29" s="182">
        <f t="shared" si="2"/>
        <v>2569.2362500000013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103</v>
      </c>
      <c r="B30" s="181">
        <f>'Données projet'!D43</f>
        <v>56.789999999999964</v>
      </c>
      <c r="C30" s="193">
        <v>179.75</v>
      </c>
      <c r="D30" s="182">
        <f t="shared" si="2"/>
        <v>10208.002499999993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113</v>
      </c>
      <c r="B31" s="181">
        <f>'Données projet'!D44</f>
        <v>45.660000000000025</v>
      </c>
      <c r="C31" s="193">
        <v>179.75</v>
      </c>
      <c r="D31" s="182">
        <f t="shared" si="2"/>
        <v>8207.3850000000039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125</v>
      </c>
      <c r="B32" s="181">
        <f>'Données projet'!D45</f>
        <v>70</v>
      </c>
      <c r="C32" s="193">
        <v>179.75</v>
      </c>
      <c r="D32" s="182">
        <f t="shared" si="2"/>
        <v>12582.5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137</v>
      </c>
      <c r="B33" s="181">
        <f>'Données projet'!D46</f>
        <v>74.669999999999959</v>
      </c>
      <c r="C33" s="193">
        <v>234.375</v>
      </c>
      <c r="D33" s="182">
        <f t="shared" si="2"/>
        <v>17500.781249999989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149</v>
      </c>
      <c r="B34" s="181">
        <f>'Données projet'!D47</f>
        <v>176.67000000000002</v>
      </c>
      <c r="C34" s="193">
        <v>234.375</v>
      </c>
      <c r="D34" s="182">
        <f t="shared" si="2"/>
        <v>41407.031250000007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153</v>
      </c>
      <c r="B35" s="181">
        <f>'Données projet'!D48</f>
        <v>102.89000000000001</v>
      </c>
      <c r="C35" s="193">
        <v>234.375</v>
      </c>
      <c r="D35" s="182">
        <f t="shared" si="2"/>
        <v>24114.843750000004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157</v>
      </c>
      <c r="B36" s="181">
        <f>'Données projet'!D49</f>
        <v>67.13000000000001</v>
      </c>
      <c r="C36" s="193">
        <v>234.375</v>
      </c>
      <c r="D36" s="182">
        <f t="shared" si="2"/>
        <v>15733.593750000002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161</v>
      </c>
      <c r="B37" s="181">
        <f>'Données projet'!D50</f>
        <v>134.26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21</v>
      </c>
      <c r="B54" s="181">
        <f>'Données projet'!D62</f>
        <v>64.599999999999994</v>
      </c>
      <c r="C54" s="191">
        <v>16.875</v>
      </c>
      <c r="D54" s="179">
        <f>B54*C54</f>
        <v>1090.125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28</v>
      </c>
      <c r="B55" s="181">
        <f>'Données projet'!D63</f>
        <v>67.639999999999986</v>
      </c>
      <c r="C55" s="191">
        <v>16.875</v>
      </c>
      <c r="D55" s="179">
        <f t="shared" ref="D55:D73" si="4">B55*C55</f>
        <v>1141.4249999999997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35</v>
      </c>
      <c r="B56" s="181">
        <f>'Données projet'!D64</f>
        <v>86.700000000000045</v>
      </c>
      <c r="C56" s="191">
        <v>41</v>
      </c>
      <c r="D56" s="179">
        <f t="shared" si="4"/>
        <v>3554.7000000000016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42</v>
      </c>
      <c r="B57" s="181">
        <f>'Données projet'!D65</f>
        <v>100.04000000000002</v>
      </c>
      <c r="C57" s="191">
        <v>41</v>
      </c>
      <c r="D57" s="179">
        <f t="shared" si="4"/>
        <v>4101.6400000000012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49</v>
      </c>
      <c r="B58" s="181">
        <f>'Données projet'!D66</f>
        <v>112.69999999999999</v>
      </c>
      <c r="C58" s="191">
        <v>41</v>
      </c>
      <c r="D58" s="179">
        <f t="shared" si="4"/>
        <v>4620.7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56</v>
      </c>
      <c r="B59" s="181">
        <f>'Données projet'!D67</f>
        <v>94.669999999999959</v>
      </c>
      <c r="C59" s="191">
        <v>41</v>
      </c>
      <c r="D59" s="179">
        <f t="shared" si="4"/>
        <v>3881.4699999999984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63</v>
      </c>
      <c r="B60" s="181">
        <f>'Données projet'!D68</f>
        <v>99.599999999999966</v>
      </c>
      <c r="C60" s="191">
        <v>41</v>
      </c>
      <c r="D60" s="179">
        <f t="shared" si="4"/>
        <v>4083.5999999999985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70</v>
      </c>
      <c r="B61" s="181">
        <f>'Données projet'!D69</f>
        <v>586.86</v>
      </c>
      <c r="C61" s="191">
        <v>60</v>
      </c>
      <c r="D61" s="179">
        <f t="shared" si="4"/>
        <v>35211.599999999999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15</v>
      </c>
      <c r="B85" s="181">
        <f>'Données projet'!D88</f>
        <v>32</v>
      </c>
      <c r="C85" s="191">
        <v>13.75</v>
      </c>
      <c r="D85" s="179">
        <f>B85*C85</f>
        <v>440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20</v>
      </c>
      <c r="B86" s="181">
        <f>'Données projet'!D89</f>
        <v>35</v>
      </c>
      <c r="C86" s="191">
        <v>13.75</v>
      </c>
      <c r="D86" s="179">
        <f t="shared" ref="D86:D104" si="6">B86*C86</f>
        <v>481.25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25</v>
      </c>
      <c r="B87" s="181">
        <f>'Données projet'!D90</f>
        <v>35</v>
      </c>
      <c r="C87" s="191">
        <v>13.75</v>
      </c>
      <c r="D87" s="179">
        <f t="shared" si="6"/>
        <v>481.25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35</v>
      </c>
      <c r="C88" s="191">
        <v>23.75</v>
      </c>
      <c r="D88" s="179">
        <f t="shared" si="6"/>
        <v>831.25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35</v>
      </c>
      <c r="B89" s="181">
        <f>'Données projet'!D92</f>
        <v>35</v>
      </c>
      <c r="C89" s="191">
        <v>23.75</v>
      </c>
      <c r="D89" s="179">
        <f t="shared" si="6"/>
        <v>831.25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40</v>
      </c>
      <c r="B90" s="181">
        <f>'Données projet'!D93</f>
        <v>35</v>
      </c>
      <c r="C90" s="191">
        <v>23.75</v>
      </c>
      <c r="D90" s="179">
        <f t="shared" si="6"/>
        <v>831.25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45</v>
      </c>
      <c r="B91" s="181">
        <f>'Données projet'!D94</f>
        <v>24</v>
      </c>
      <c r="C91" s="191">
        <v>23.75</v>
      </c>
      <c r="D91" s="179">
        <f t="shared" si="6"/>
        <v>570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50</v>
      </c>
      <c r="B92" s="181">
        <f>'Données projet'!D95</f>
        <v>19</v>
      </c>
      <c r="C92" s="191">
        <v>23.75</v>
      </c>
      <c r="D92" s="179">
        <f t="shared" si="6"/>
        <v>451.25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55</v>
      </c>
      <c r="B93" s="181">
        <f>'Données projet'!D96</f>
        <v>16</v>
      </c>
      <c r="C93" s="191">
        <v>44.375</v>
      </c>
      <c r="D93" s="179">
        <f t="shared" si="6"/>
        <v>710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60</v>
      </c>
      <c r="B94" s="181">
        <f>'Données projet'!D97</f>
        <v>14</v>
      </c>
      <c r="C94" s="191">
        <v>44.375</v>
      </c>
      <c r="D94" s="179">
        <f t="shared" si="6"/>
        <v>621.25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65</v>
      </c>
      <c r="B95" s="181">
        <f>'Données projet'!D98</f>
        <v>13</v>
      </c>
      <c r="C95" s="191">
        <v>44.375</v>
      </c>
      <c r="D95" s="179">
        <f t="shared" si="6"/>
        <v>576.875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70</v>
      </c>
      <c r="B96" s="181">
        <f>'Données projet'!D99</f>
        <v>13</v>
      </c>
      <c r="C96" s="191">
        <v>44.375</v>
      </c>
      <c r="D96" s="179">
        <f t="shared" si="6"/>
        <v>576.875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75</v>
      </c>
      <c r="B97" s="181">
        <f>'Données projet'!D100</f>
        <v>12</v>
      </c>
      <c r="C97" s="191">
        <v>44.375</v>
      </c>
      <c r="D97" s="179">
        <f t="shared" si="6"/>
        <v>532.5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80</v>
      </c>
      <c r="B98" s="181">
        <f>'Données projet'!D101</f>
        <v>330</v>
      </c>
      <c r="C98" s="191">
        <v>44.375</v>
      </c>
      <c r="D98" s="179">
        <f t="shared" si="6"/>
        <v>14643.75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B5A9870B-4B93-4753-BA28-E0C6F89BF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2025-01-06T14:17:02Z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