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lex.pousse\Documents\04 - Carbone\Projets LBC\Merpins\"/>
    </mc:Choice>
  </mc:AlternateContent>
  <bookViews>
    <workbookView xWindow="0" yWindow="0" windowWidth="20496" windowHeight="7752" tabRatio="685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VAN" sheetId="6" r:id="rId6"/>
    <sheet name="REE" sheetId="4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1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R4" i="2"/>
  <c r="FQ4" i="2"/>
  <c r="GL4" i="2"/>
  <c r="EA4" i="2"/>
  <c r="B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X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HI7" i="2"/>
  <c r="EB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G10" i="2"/>
  <c r="HH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EV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HI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H22" i="2"/>
  <c r="HG22" i="2"/>
  <c r="EB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HG28" i="2"/>
  <c r="EV28" i="2"/>
  <c r="HI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V33" i="2"/>
  <c r="HG33" i="2"/>
  <c r="HH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EB35" i="2"/>
  <c r="FQ35" i="2"/>
  <c r="HH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FS38" i="2"/>
  <c r="EX38" i="2"/>
  <c r="EW38" i="2"/>
  <c r="HI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HI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FS44" i="2"/>
  <c r="EW44" i="2"/>
  <c r="HH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G57" i="2"/>
  <c r="FS57" i="2"/>
  <c r="HH57" i="2"/>
  <c r="HI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I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EX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H64" i="2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EV78" i="2"/>
  <c r="HI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W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HH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HG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A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I113" i="2"/>
  <c r="FS113" i="2"/>
  <c r="EX113" i="2"/>
  <c r="EW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I120" i="2"/>
  <c r="FQ120" i="2"/>
  <c r="EX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EW124" i="2"/>
  <c r="EX124" i="2"/>
  <c r="HH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EW130" i="2"/>
  <c r="EX130" i="2"/>
  <c r="HG130" i="2"/>
  <c r="HI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S140" i="2"/>
  <c r="FR140" i="2"/>
  <c r="EX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HG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FR144" i="2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H145" i="2"/>
  <c r="HG145" i="2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H146" i="2"/>
  <c r="HG146" i="2"/>
  <c r="FS146" i="2"/>
  <c r="HI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I150" i="2"/>
  <c r="HG150" i="2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HJ154" i="2"/>
  <c r="HH155" i="2"/>
  <c r="EW155" i="2"/>
  <c r="EX155" i="2"/>
  <c r="HG155" i="2"/>
  <c r="AC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Y155" i="2"/>
  <c r="FS156" i="2"/>
  <c r="ED155" i="2"/>
  <c r="HH156" i="2"/>
  <c r="EX156" i="2"/>
  <c r="HG156" i="2"/>
  <c r="HI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HH157" i="2"/>
  <c r="HG157" i="2"/>
  <c r="EC157" i="2"/>
  <c r="EX157" i="2"/>
  <c r="EA157" i="2"/>
  <c r="ED157" i="2" s="1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H158" i="2"/>
  <c r="HG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H160" i="2"/>
  <c r="HI160" i="2"/>
  <c r="DG160" i="2"/>
  <c r="FS160" i="2"/>
  <c r="EY159" i="2"/>
  <c r="HG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FS161" i="2"/>
  <c r="HH161" i="2"/>
  <c r="HG161" i="2"/>
  <c r="EX161" i="2"/>
  <c r="ED160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HH162" i="2"/>
  <c r="HG162" i="2"/>
  <c r="EW162" i="2"/>
  <c r="EY161" i="2"/>
  <c r="EC162" i="2"/>
  <c r="DI161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HG163" i="2"/>
  <c r="HH163" i="2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HG164" i="2"/>
  <c r="HH164" i="2"/>
  <c r="EA164" i="2"/>
  <c r="FR164" i="2"/>
  <c r="FS164" i="2"/>
  <c r="EV164" i="2"/>
  <c r="EX164" i="2"/>
  <c r="DH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HH165" i="2"/>
  <c r="HG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HG166" i="2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I167" i="2"/>
  <c r="HJ166" i="2"/>
  <c r="FR167" i="2"/>
  <c r="EX167" i="2"/>
  <c r="HH167" i="2"/>
  <c r="EC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C168" i="2"/>
  <c r="HH168" i="2"/>
  <c r="HI168" i="2"/>
  <c r="DG168" i="2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Y171" i="2"/>
  <c r="EA172" i="2"/>
  <c r="HI172" i="2"/>
  <c r="EW172" i="2"/>
  <c r="EV172" i="2"/>
  <c r="HG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HJ172" i="2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A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HH178" i="2"/>
  <c r="HG178" i="2"/>
  <c r="ED177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HH179" i="2"/>
  <c r="HG179" i="2"/>
  <c r="EA179" i="2"/>
  <c r="EV179" i="2"/>
  <c r="HI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HI180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A183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HG185" i="2"/>
  <c r="EW185" i="2"/>
  <c r="EV185" i="2"/>
  <c r="HH185" i="2"/>
  <c r="ED184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W186" i="2"/>
  <c r="HG186" i="2"/>
  <c r="ED185" i="2"/>
  <c r="FR186" i="2"/>
  <c r="FS186" i="2"/>
  <c r="HH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HH189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V190" i="2"/>
  <c r="EY189" i="2"/>
  <c r="EB190" i="2"/>
  <c r="HH190" i="2"/>
  <c r="HJ189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HG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HH192" i="2"/>
  <c r="EW192" i="2"/>
  <c r="EV192" i="2"/>
  <c r="HG192" i="2"/>
  <c r="HI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FQ193" i="2"/>
  <c r="EX193" i="2"/>
  <c r="HI193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FQ194" i="2"/>
  <c r="EB194" i="2"/>
  <c r="HG194" i="2"/>
  <c r="HI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FQ195" i="2"/>
  <c r="EX195" i="2"/>
  <c r="HG195" i="2"/>
  <c r="ED194" i="2"/>
  <c r="EY194" i="2"/>
  <c r="HI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Y196" i="2"/>
  <c r="HG197" i="2"/>
  <c r="FS197" i="2"/>
  <c r="EW197" i="2"/>
  <c r="HH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W199" i="2"/>
  <c r="EV199" i="2"/>
  <c r="HG199" i="2"/>
  <c r="HH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FS201" i="2"/>
  <c r="HG201" i="2"/>
  <c r="HH201" i="2"/>
  <c r="ED200" i="2"/>
  <c r="EB201" i="2"/>
  <c r="EA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HI202" i="2"/>
  <c r="FS202" i="2"/>
  <c r="EX202" i="2"/>
  <c r="HH202" i="2"/>
  <c r="HG202" i="2"/>
  <c r="FR202" i="2"/>
  <c r="ED201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35" i="2" a="1"/>
  <c r="FY3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3" i="2" a="1"/>
  <c r="EI153" i="2" s="1"/>
  <c r="DN155" i="2" a="1"/>
  <c r="DN155" i="2" s="1"/>
  <c r="DN137" i="2" a="1"/>
  <c r="DN137" i="2" s="1"/>
  <c r="DN43" i="2" a="1"/>
  <c r="DN43" i="2" s="1"/>
  <c r="DN41" i="2" a="1"/>
  <c r="DN41" i="2" s="1"/>
  <c r="DN29" i="2" a="1"/>
  <c r="DN29" i="2" s="1"/>
  <c r="DN152" i="2" a="1"/>
  <c r="DN152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D14" i="2" a="1"/>
  <c r="FD14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134" i="2" a="1"/>
  <c r="CS134" i="2" s="1"/>
  <c r="DN45" i="2" a="1"/>
  <c r="DN45" i="2" s="1"/>
  <c r="FD82" i="2" a="1"/>
  <c r="FD82" i="2" s="1"/>
  <c r="DN187" i="2" a="1"/>
  <c r="DN187" i="2" s="1"/>
  <c r="HJ202" i="2"/>
  <c r="EY202" i="2"/>
  <c r="AX200" i="2"/>
  <c r="CS185" i="2" l="1" a="1"/>
  <c r="CS185" i="2" s="1"/>
  <c r="CS24" i="2" a="1"/>
  <c r="CS24" i="2" s="1"/>
  <c r="CS120" i="2" a="1"/>
  <c r="CS120" i="2" s="1"/>
  <c r="CS38" i="2" a="1"/>
  <c r="CS38" i="2" s="1"/>
  <c r="CS114" i="2" a="1"/>
  <c r="CS114" i="2" s="1"/>
  <c r="CS72" i="2" a="1"/>
  <c r="CS72" i="2" s="1"/>
  <c r="CS56" i="2" a="1"/>
  <c r="CS56" i="2" s="1"/>
  <c r="CS137" i="2" a="1"/>
  <c r="CS137" i="2" s="1"/>
  <c r="BC164" i="2" a="1"/>
  <c r="BC164" i="2" s="1"/>
  <c r="CS105" i="2" a="1"/>
  <c r="CS105" i="2" s="1"/>
  <c r="CS77" i="2" a="1"/>
  <c r="CS77" i="2" s="1"/>
  <c r="CS129" i="2" a="1"/>
  <c r="CS129" i="2" s="1"/>
  <c r="CS52" i="2" a="1"/>
  <c r="CS52" i="2" s="1"/>
  <c r="CS66" i="2" a="1"/>
  <c r="CS66" i="2" s="1"/>
  <c r="CS116" i="2" a="1"/>
  <c r="CS116" i="2" s="1"/>
  <c r="EI142" i="2" a="1"/>
  <c r="EI142" i="2" s="1"/>
  <c r="EI166" i="2" a="1"/>
  <c r="EI166" i="2" s="1"/>
  <c r="EI178" i="2" a="1"/>
  <c r="EI178" i="2" s="1"/>
  <c r="EI198" i="2" a="1"/>
  <c r="EI198" i="2" s="1"/>
  <c r="EI57" i="2" a="1"/>
  <c r="EI57" i="2" s="1"/>
  <c r="EI145" i="2" a="1"/>
  <c r="EI145" i="2" s="1"/>
  <c r="EI36" i="2" a="1"/>
  <c r="EI36" i="2" s="1"/>
  <c r="EI162" i="2" a="1"/>
  <c r="EI162" i="2" s="1"/>
  <c r="EI87" i="2" a="1"/>
  <c r="EI87" i="2" s="1"/>
  <c r="EI150" i="2" a="1"/>
  <c r="EI150" i="2" s="1"/>
  <c r="EI109" i="2" a="1"/>
  <c r="EI109" i="2" s="1"/>
  <c r="EI29" i="2" a="1"/>
  <c r="EI29" i="2" s="1"/>
  <c r="EI38" i="2" a="1"/>
  <c r="EI38" i="2" s="1"/>
  <c r="EI106" i="2" a="1"/>
  <c r="EI106" i="2" s="1"/>
  <c r="FD187" i="2" a="1"/>
  <c r="FD187" i="2" s="1"/>
  <c r="FD107" i="2" a="1"/>
  <c r="FD107" i="2" s="1"/>
  <c r="FD194" i="2" a="1"/>
  <c r="FD194" i="2" s="1"/>
  <c r="FD48" i="2" a="1"/>
  <c r="FD48" i="2" s="1"/>
  <c r="FD19" i="2" a="1"/>
  <c r="FD19" i="2" s="1"/>
  <c r="FD137" i="2" a="1"/>
  <c r="FD137" i="2" s="1"/>
  <c r="FD160" i="2" a="1"/>
  <c r="FD160" i="2" s="1"/>
  <c r="FD159" i="2" a="1"/>
  <c r="FD159" i="2" s="1"/>
  <c r="FD64" i="2" a="1"/>
  <c r="FD64" i="2" s="1"/>
  <c r="FD60" i="2" a="1"/>
  <c r="FD60" i="2" s="1"/>
  <c r="FD131" i="2" a="1"/>
  <c r="FD131" i="2" s="1"/>
  <c r="FD59" i="2" a="1"/>
  <c r="FD59" i="2" s="1"/>
  <c r="FD43" i="2" a="1"/>
  <c r="FD43" i="2" s="1"/>
  <c r="FD167" i="2" a="1"/>
  <c r="FD167" i="2" s="1"/>
  <c r="FD189" i="2" a="1"/>
  <c r="FD189" i="2" s="1"/>
  <c r="FD21" i="2" a="1"/>
  <c r="FD21" i="2" s="1"/>
  <c r="FD44" i="2" a="1"/>
  <c r="FD44" i="2" s="1"/>
  <c r="FD188" i="2" a="1"/>
  <c r="FD188" i="2" s="1"/>
  <c r="FD144" i="2" a="1"/>
  <c r="FD144" i="2" s="1"/>
  <c r="FR203" i="2"/>
  <c r="FS203" i="2"/>
  <c r="CS161" i="2" a="1"/>
  <c r="CS161" i="2" s="1"/>
  <c r="FY42" i="2" a="1"/>
  <c r="FY42" i="2" s="1"/>
  <c r="FY121" i="2" a="1"/>
  <c r="FY121" i="2" s="1"/>
  <c r="FY30" i="2" a="1"/>
  <c r="FY30" i="2" s="1"/>
  <c r="FY167" i="2" a="1"/>
  <c r="FY167" i="2" s="1"/>
  <c r="FY82" i="2" a="1"/>
  <c r="FY82" i="2" s="1"/>
  <c r="FY182" i="2" a="1"/>
  <c r="FY182" i="2" s="1"/>
  <c r="FY104" i="2" a="1"/>
  <c r="FY104" i="2" s="1"/>
  <c r="FY115" i="2" a="1"/>
  <c r="FY115" i="2" s="1"/>
  <c r="FY86" i="2" a="1"/>
  <c r="FY86" i="2" s="1"/>
  <c r="FY58" i="2" a="1"/>
  <c r="FY58" i="2" s="1"/>
  <c r="FY142" i="2" a="1"/>
  <c r="FY142" i="2" s="1"/>
  <c r="FY24" i="2" a="1"/>
  <c r="FY24" i="2" s="1"/>
  <c r="FY80" i="2" a="1"/>
  <c r="FY80" i="2" s="1"/>
  <c r="FY164" i="2" a="1"/>
  <c r="FY164" i="2" s="1"/>
  <c r="FY196" i="2" a="1"/>
  <c r="FY196" i="2" s="1"/>
  <c r="FY172" i="2" a="1"/>
  <c r="FY172" i="2" s="1"/>
  <c r="FY190" i="2" a="1"/>
  <c r="FY190" i="2" s="1"/>
  <c r="FY99" i="2" a="1"/>
  <c r="FY99" i="2" s="1"/>
  <c r="FY34" i="2" a="1"/>
  <c r="FY34" i="2" s="1"/>
  <c r="FY149" i="2" a="1"/>
  <c r="FY149" i="2" s="1"/>
  <c r="FY152" i="2" a="1"/>
  <c r="FY152" i="2" s="1"/>
  <c r="FY124" i="2" a="1"/>
  <c r="FY124" i="2" s="1"/>
  <c r="FY169" i="2" a="1"/>
  <c r="FY169" i="2" s="1"/>
  <c r="FY62" i="2" a="1"/>
  <c r="FY62" i="2" s="1"/>
  <c r="FY191" i="2" a="1"/>
  <c r="FY191" i="2" s="1"/>
  <c r="FY72" i="2" a="1"/>
  <c r="FY72" i="2" s="1"/>
  <c r="FY178" i="2" a="1"/>
  <c r="FY178" i="2" s="1"/>
  <c r="FY55" i="2" a="1"/>
  <c r="FY55" i="2" s="1"/>
  <c r="FY126" i="2" a="1"/>
  <c r="FY126" i="2" s="1"/>
  <c r="FY188" i="2" a="1"/>
  <c r="FY188" i="2" s="1"/>
  <c r="FY28" i="2" a="1"/>
  <c r="FY28" i="2" s="1"/>
  <c r="FY78" i="2" a="1"/>
  <c r="FY78" i="2" s="1"/>
  <c r="FY174" i="2" a="1"/>
  <c r="FY174" i="2" s="1"/>
  <c r="FY66" i="2" a="1"/>
  <c r="FY66" i="2" s="1"/>
  <c r="FY116" i="2" a="1"/>
  <c r="FY116" i="2" s="1"/>
  <c r="FY92" i="2" a="1"/>
  <c r="FY92" i="2" s="1"/>
  <c r="FY111" i="2" a="1"/>
  <c r="FY111" i="2" s="1"/>
  <c r="FY73" i="2" a="1"/>
  <c r="FY73" i="2" s="1"/>
  <c r="FY120" i="2" a="1"/>
  <c r="FY120" i="2" s="1"/>
  <c r="FY186" i="2" a="1"/>
  <c r="FY186" i="2" s="1"/>
  <c r="FY173" i="2" a="1"/>
  <c r="FY173" i="2" s="1"/>
  <c r="FY159" i="2" a="1"/>
  <c r="FY159" i="2" s="1"/>
  <c r="FY143" i="2" a="1"/>
  <c r="FY143" i="2" s="1"/>
  <c r="FY71" i="2" a="1"/>
  <c r="FY71" i="2" s="1"/>
  <c r="FY110" i="2" a="1"/>
  <c r="FY110" i="2" s="1"/>
  <c r="FY153" i="2" a="1"/>
  <c r="FY153" i="2" s="1"/>
  <c r="FY102" i="2" a="1"/>
  <c r="FY102" i="2" s="1"/>
  <c r="FY69" i="2" a="1"/>
  <c r="FY69" i="2" s="1"/>
  <c r="FY22" i="2" a="1"/>
  <c r="FY22" i="2" s="1"/>
  <c r="FY50" i="2" a="1"/>
  <c r="FY50" i="2" s="1"/>
  <c r="FY47" i="2" a="1"/>
  <c r="FY47" i="2" s="1"/>
  <c r="FY18" i="2" a="1"/>
  <c r="FY18" i="2" s="1"/>
  <c r="FY133" i="2" a="1"/>
  <c r="FY133" i="2" s="1"/>
  <c r="FY140" i="2" a="1"/>
  <c r="FY140" i="2" s="1"/>
  <c r="FY29" i="2" a="1"/>
  <c r="FY29" i="2" s="1"/>
  <c r="FY109" i="2" a="1"/>
  <c r="FY109" i="2" s="1"/>
  <c r="FY165" i="2" a="1"/>
  <c r="FY165" i="2" s="1"/>
  <c r="FY146" i="2" a="1"/>
  <c r="FY146" i="2" s="1"/>
  <c r="FY32" i="2" a="1"/>
  <c r="FY32" i="2" s="1"/>
  <c r="FY79" i="2" a="1"/>
  <c r="FY79" i="2" s="1"/>
  <c r="FY90" i="2" a="1"/>
  <c r="FY90" i="2" s="1"/>
  <c r="FY57" i="2" a="1"/>
  <c r="FY57" i="2" s="1"/>
  <c r="FY54" i="2" a="1"/>
  <c r="FY54" i="2" s="1"/>
  <c r="HH203" i="2"/>
  <c r="HG203" i="2"/>
  <c r="DN186" i="2" a="1"/>
  <c r="DN186" i="2" s="1"/>
  <c r="DN184" i="2" a="1"/>
  <c r="DN184" i="2" s="1"/>
  <c r="DN124" i="2" a="1"/>
  <c r="DN124" i="2" s="1"/>
  <c r="AH151" i="2" a="1"/>
  <c r="AH151" i="2" s="1"/>
  <c r="AH199" i="2" a="1"/>
  <c r="AH199" i="2" s="1"/>
  <c r="AH166" i="2" a="1"/>
  <c r="AH166" i="2" s="1"/>
  <c r="AH163" i="2" a="1"/>
  <c r="AH163" i="2" s="1"/>
  <c r="AH19" i="2" a="1"/>
  <c r="AH19" i="2" s="1"/>
  <c r="AH62" i="2" a="1"/>
  <c r="AH62" i="2" s="1"/>
  <c r="AH92" i="2" a="1"/>
  <c r="AH92" i="2" s="1"/>
  <c r="AH90" i="2" a="1"/>
  <c r="AH90" i="2" s="1"/>
  <c r="BX107" i="2" a="1"/>
  <c r="BX107" i="2" s="1"/>
  <c r="BC83" i="2" a="1"/>
  <c r="BC83" i="2" s="1"/>
  <c r="BC82" i="2" a="1"/>
  <c r="BC82" i="2" s="1"/>
  <c r="BC65" i="2" a="1"/>
  <c r="BC65" i="2" s="1"/>
  <c r="BC18" i="2" a="1"/>
  <c r="BC18" i="2" s="1"/>
  <c r="BC84" i="2" a="1"/>
  <c r="BC84" i="2" s="1"/>
  <c r="BC114" i="2" a="1"/>
  <c r="BC114" i="2" s="1"/>
  <c r="BC151" i="2" a="1"/>
  <c r="BC151" i="2" s="1"/>
  <c r="BC31" i="2" a="1"/>
  <c r="BC31" i="2" s="1"/>
  <c r="BC38" i="2" a="1"/>
  <c r="BC38" i="2" s="1"/>
  <c r="BC32" i="2" a="1"/>
  <c r="BC32" i="2" s="1"/>
  <c r="BC126" i="2" a="1"/>
  <c r="BC126" i="2" s="1"/>
  <c r="BC192" i="2" a="1"/>
  <c r="BC192" i="2" s="1"/>
  <c r="BC7" i="2" a="1"/>
  <c r="BC7" i="2" s="1"/>
  <c r="BD7" i="2" s="1"/>
  <c r="BC68" i="2" a="1"/>
  <c r="BC68" i="2" s="1"/>
  <c r="BC47" i="2" a="1"/>
  <c r="BC47" i="2" s="1"/>
  <c r="BC185" i="2" a="1"/>
  <c r="BC185" i="2" s="1"/>
  <c r="BC130" i="2" a="1"/>
  <c r="BC130" i="2" s="1"/>
  <c r="BC117" i="2" a="1"/>
  <c r="BC117" i="2" s="1"/>
  <c r="BC58" i="2" a="1"/>
  <c r="BC58" i="2" s="1"/>
  <c r="BC55" i="2" a="1"/>
  <c r="BC55" i="2" s="1"/>
  <c r="BC143" i="2" a="1"/>
  <c r="BC143" i="2" s="1"/>
  <c r="BC181" i="2" a="1"/>
  <c r="BC181" i="2" s="1"/>
  <c r="BC34" i="2" a="1"/>
  <c r="BC3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T203" i="2"/>
  <c r="DI203" i="2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24" i="2" l="1"/>
  <c r="CY167" i="2"/>
  <c r="CY78" i="2"/>
  <c r="CY7" i="2"/>
  <c r="CY93" i="2"/>
  <c r="CY61" i="2"/>
  <c r="CY145" i="2"/>
  <c r="CY43" i="2"/>
  <c r="CY13" i="2"/>
  <c r="CY108" i="2"/>
  <c r="CY159" i="2"/>
  <c r="CY194" i="2"/>
  <c r="CY5" i="2"/>
  <c r="CY103" i="2"/>
  <c r="CY16" i="2"/>
  <c r="CY179" i="2"/>
  <c r="CY168" i="2"/>
  <c r="CY176" i="2"/>
  <c r="CY74" i="2"/>
  <c r="CY11" i="2"/>
  <c r="CY121" i="2"/>
  <c r="CY193" i="2"/>
  <c r="CY12" i="2"/>
  <c r="CY94" i="2"/>
  <c r="CY37" i="2"/>
  <c r="CY72" i="2"/>
  <c r="CY142" i="2"/>
  <c r="CY177" i="2"/>
  <c r="CY118" i="2"/>
  <c r="CY83" i="2"/>
  <c r="CY182" i="2"/>
  <c r="CY58" i="2"/>
  <c r="CY197" i="2"/>
  <c r="CY55" i="2"/>
  <c r="CY88" i="2"/>
  <c r="CY60" i="2"/>
  <c r="CY122" i="2"/>
  <c r="CY31" i="2"/>
  <c r="CY62" i="2"/>
  <c r="CY9" i="2"/>
  <c r="CY133" i="2"/>
  <c r="CY135" i="2"/>
  <c r="CY100" i="2"/>
  <c r="CY115" i="2"/>
  <c r="CY81" i="2"/>
  <c r="CY148" i="2"/>
  <c r="CY180" i="2"/>
  <c r="CY157" i="2"/>
  <c r="CY47" i="2"/>
  <c r="CY173" i="2"/>
  <c r="CY126" i="2"/>
  <c r="CY19" i="2"/>
  <c r="CY18" i="2"/>
  <c r="CY38" i="2"/>
  <c r="CY101" i="2"/>
  <c r="CY165" i="2"/>
  <c r="CY191" i="2"/>
  <c r="CY134" i="2"/>
  <c r="CY160" i="2"/>
  <c r="CY29" i="2"/>
  <c r="CY158" i="2"/>
  <c r="CY8" i="2"/>
  <c r="CY183" i="2"/>
  <c r="CY132" i="2"/>
  <c r="CY10" i="2"/>
  <c r="CY107" i="2"/>
  <c r="CY64" i="2"/>
  <c r="CY154" i="2"/>
  <c r="CY89" i="2"/>
  <c r="CY143" i="2"/>
  <c r="CY129" i="2"/>
  <c r="CY170" i="2"/>
  <c r="CY26" i="2"/>
  <c r="CY139" i="2"/>
  <c r="CY33" i="2"/>
  <c r="CY188" i="2"/>
  <c r="CY109" i="2"/>
  <c r="CY155" i="2"/>
  <c r="CY87" i="2"/>
  <c r="CY102" i="2"/>
  <c r="CY28" i="2"/>
  <c r="CY65" i="2"/>
  <c r="CY200" i="2"/>
  <c r="CY67" i="2"/>
  <c r="CY34" i="2"/>
  <c r="CY32" i="2"/>
  <c r="CY48" i="2"/>
  <c r="CY92" i="2"/>
  <c r="CY95" i="2"/>
  <c r="CY187" i="2"/>
  <c r="CY73" i="2"/>
  <c r="CY45" i="2"/>
  <c r="CY15" i="2"/>
  <c r="CY52" i="2"/>
  <c r="CY41" i="2"/>
  <c r="CY79" i="2"/>
  <c r="CY63" i="2"/>
  <c r="CY171" i="2"/>
  <c r="CY6" i="2"/>
  <c r="CY27" i="2"/>
  <c r="CY17" i="2"/>
  <c r="CY174" i="2"/>
  <c r="CY124" i="2"/>
  <c r="CY69" i="2"/>
  <c r="CY80" i="2"/>
  <c r="CY30" i="2"/>
  <c r="CY4" i="2"/>
  <c r="CY186" i="2"/>
  <c r="CY54" i="2"/>
  <c r="CY184" i="2"/>
  <c r="CY106" i="2"/>
  <c r="CY141" i="2"/>
  <c r="CY166" i="2"/>
  <c r="CY85" i="2"/>
  <c r="CY178" i="2"/>
  <c r="CY22" i="2"/>
  <c r="CY185" i="2"/>
  <c r="CY201" i="2"/>
  <c r="CY57" i="2"/>
  <c r="CY99" i="2"/>
  <c r="CY140" i="2"/>
  <c r="CY175" i="2"/>
  <c r="CY111" i="2"/>
  <c r="CY82" i="2"/>
  <c r="CY137" i="2"/>
  <c r="CY150" i="2"/>
  <c r="CY71" i="2"/>
  <c r="CY190" i="2"/>
  <c r="CY138" i="2"/>
  <c r="CY97" i="2"/>
  <c r="CY96" i="2"/>
  <c r="CY136" i="2"/>
  <c r="CY112" i="2"/>
  <c r="CY105" i="2"/>
  <c r="CY36" i="2"/>
  <c r="CY151" i="2"/>
  <c r="CY202" i="2"/>
  <c r="CY120" i="2"/>
  <c r="CY110" i="2"/>
  <c r="CY147" i="2"/>
  <c r="CY68" i="2"/>
  <c r="CY128" i="2"/>
  <c r="CY127" i="2"/>
  <c r="CY156" i="2"/>
  <c r="CY119" i="2"/>
  <c r="CY98" i="2"/>
  <c r="CY77" i="2"/>
  <c r="CY14" i="2"/>
  <c r="CY144" i="2"/>
  <c r="CY152" i="2"/>
  <c r="CY59" i="2"/>
  <c r="CY131" i="2"/>
  <c r="CY172" i="2"/>
  <c r="CY51" i="2"/>
  <c r="CY163" i="2"/>
  <c r="CY117" i="2"/>
  <c r="CY53" i="2"/>
  <c r="CY153" i="2"/>
  <c r="CY84" i="2"/>
  <c r="CY76" i="2"/>
  <c r="CY42" i="2"/>
  <c r="CY199" i="2"/>
  <c r="CY125" i="2"/>
  <c r="CY189" i="2"/>
  <c r="CY75" i="2"/>
  <c r="CY181" i="2"/>
  <c r="CY196" i="2"/>
  <c r="CY20" i="2"/>
  <c r="CY35" i="2"/>
  <c r="CY39" i="2"/>
  <c r="CY149" i="2"/>
  <c r="CY49" i="2"/>
  <c r="CY21" i="2"/>
  <c r="CY86" i="2"/>
  <c r="CY114" i="2"/>
  <c r="CY161" i="2"/>
  <c r="CY164" i="2"/>
  <c r="CY203" i="2"/>
  <c r="CY195" i="2"/>
  <c r="CY91" i="2"/>
  <c r="CY146" i="2"/>
  <c r="CY90" i="2"/>
  <c r="CY116" i="2"/>
  <c r="CY56" i="2"/>
  <c r="CY123" i="2"/>
  <c r="CY130" i="2"/>
  <c r="CY23" i="2"/>
  <c r="CY44" i="2"/>
  <c r="CY3" i="2"/>
  <c r="C10" i="4" s="1"/>
  <c r="E10" i="4" s="1"/>
  <c r="F10" i="4" s="1"/>
  <c r="G10" i="4" s="1"/>
  <c r="L10" i="4" s="1"/>
  <c r="CY46" i="2"/>
  <c r="CY50" i="2"/>
  <c r="CY113" i="2"/>
  <c r="CY198" i="2"/>
  <c r="CY25" i="2"/>
  <c r="CY162" i="2"/>
  <c r="CY104" i="2"/>
  <c r="CY169" i="2"/>
  <c r="CY192" i="2"/>
  <c r="CY40" i="2"/>
  <c r="CY70" i="2"/>
  <c r="CY66" i="2"/>
  <c r="CD60" i="2"/>
  <c r="CD195" i="2"/>
  <c r="CD179" i="2"/>
  <c r="CD158" i="2"/>
  <c r="CD34" i="2"/>
  <c r="CD74" i="2"/>
  <c r="CD170" i="2"/>
  <c r="CD27" i="2"/>
  <c r="CD189" i="2"/>
  <c r="CD9" i="2"/>
  <c r="CD62" i="2"/>
  <c r="CD88" i="2"/>
  <c r="CD5" i="2"/>
  <c r="CD55" i="2"/>
  <c r="CD155" i="2"/>
  <c r="CD109" i="2"/>
  <c r="CD43" i="2"/>
  <c r="CD116" i="2"/>
  <c r="CD59" i="2"/>
  <c r="CD127" i="2"/>
  <c r="CD144" i="2"/>
  <c r="CD139" i="2"/>
  <c r="CD3" i="2"/>
  <c r="C9" i="4" s="1"/>
  <c r="E9" i="4" s="1"/>
  <c r="F9" i="4" s="1"/>
  <c r="G9" i="4" s="1"/>
  <c r="L9" i="4" s="1"/>
  <c r="CD45" i="2"/>
  <c r="CD77" i="2"/>
  <c r="CD119" i="2"/>
  <c r="CD151" i="2"/>
  <c r="CD14" i="2"/>
  <c r="CD188" i="2"/>
  <c r="CD152" i="2"/>
  <c r="CD68" i="2"/>
  <c r="CD148" i="2"/>
  <c r="CD150" i="2"/>
  <c r="CD167" i="2"/>
  <c r="CD48" i="2"/>
  <c r="CD137" i="2"/>
  <c r="CD171" i="2"/>
  <c r="CD104" i="2"/>
  <c r="CD19" i="2"/>
  <c r="CD25" i="2"/>
  <c r="CD156" i="2"/>
  <c r="CD10" i="2"/>
  <c r="CD29" i="2"/>
  <c r="CD38" i="2"/>
  <c r="CD183" i="2"/>
  <c r="CD26" i="2"/>
  <c r="CD149" i="2"/>
  <c r="CD51" i="2"/>
  <c r="CD100" i="2"/>
  <c r="CD165" i="2"/>
  <c r="CD31" i="2"/>
  <c r="CD132" i="2"/>
  <c r="CD147" i="2"/>
  <c r="CD76" i="2"/>
  <c r="CD103" i="2"/>
  <c r="CD196" i="2"/>
  <c r="CD8" i="2"/>
  <c r="CD134" i="2"/>
  <c r="CD181" i="2"/>
  <c r="CD118" i="2"/>
  <c r="CD136" i="2"/>
  <c r="CD169" i="2"/>
  <c r="CD96" i="2"/>
  <c r="CD92" i="2"/>
  <c r="CD11" i="2"/>
  <c r="CD146" i="2"/>
  <c r="CD54" i="2"/>
  <c r="CD21" i="2"/>
  <c r="CD12" i="2"/>
  <c r="CD93" i="2"/>
  <c r="CD185" i="2"/>
  <c r="CD172" i="2"/>
  <c r="CD202" i="2"/>
  <c r="CD101" i="2"/>
  <c r="CD46" i="2"/>
  <c r="CD28" i="2"/>
  <c r="CD142" i="2"/>
  <c r="CD58" i="2"/>
  <c r="CD129" i="2"/>
  <c r="CD121" i="2"/>
  <c r="CD191" i="2"/>
  <c r="CD135" i="2"/>
  <c r="CD47" i="2"/>
  <c r="CD32" i="2"/>
  <c r="CD140" i="2"/>
  <c r="CD105" i="2"/>
  <c r="CD15" i="2"/>
  <c r="CD49" i="2"/>
  <c r="CD41" i="2"/>
  <c r="CD164" i="2"/>
  <c r="CD111" i="2"/>
  <c r="CD87" i="2"/>
  <c r="CD91" i="2"/>
  <c r="CD94" i="2"/>
  <c r="CD124" i="2"/>
  <c r="CD79" i="2"/>
  <c r="CD194" i="2"/>
  <c r="CD71" i="2"/>
  <c r="CD186" i="2"/>
  <c r="CD184" i="2"/>
  <c r="CD102" i="2"/>
  <c r="CD157" i="2"/>
  <c r="CD174" i="2"/>
  <c r="CD106" i="2"/>
  <c r="CD177" i="2"/>
  <c r="CD35" i="2"/>
  <c r="CD36" i="2"/>
  <c r="CD107" i="2"/>
  <c r="CD89" i="2"/>
  <c r="CD86" i="2"/>
  <c r="CD50" i="2"/>
  <c r="CD175" i="2"/>
  <c r="CD97" i="2"/>
  <c r="CD182" i="2"/>
  <c r="CD42" i="2"/>
  <c r="CD52" i="2"/>
  <c r="CD199" i="2"/>
  <c r="CD168" i="2"/>
  <c r="CD117" i="2"/>
  <c r="CD125" i="2"/>
  <c r="CD128" i="2"/>
  <c r="CD126" i="2"/>
  <c r="CD63" i="2"/>
  <c r="CD115" i="2"/>
  <c r="CD201" i="2"/>
  <c r="CD122" i="2"/>
  <c r="CD161" i="2"/>
  <c r="CD130" i="2"/>
  <c r="CD133" i="2"/>
  <c r="CD37" i="2"/>
  <c r="CD138" i="2"/>
  <c r="CD173" i="2"/>
  <c r="CD163" i="2"/>
  <c r="CD85" i="2"/>
  <c r="CD203" i="2"/>
  <c r="CD24" i="2"/>
  <c r="CD166" i="2"/>
  <c r="CD154" i="2"/>
  <c r="CD187" i="2"/>
  <c r="CD114" i="2"/>
  <c r="CD180" i="2"/>
  <c r="CD33" i="2"/>
  <c r="CD4" i="2"/>
  <c r="CD98" i="2"/>
  <c r="CD56" i="2"/>
  <c r="CD176" i="2"/>
  <c r="CD7" i="2"/>
  <c r="CD162" i="2"/>
  <c r="CD90" i="2"/>
  <c r="CD17" i="2"/>
  <c r="CD70" i="2"/>
  <c r="CD57" i="2"/>
  <c r="CD39" i="2"/>
  <c r="CD72" i="2"/>
  <c r="CD112" i="2"/>
  <c r="CD64" i="2"/>
  <c r="CD131" i="2"/>
  <c r="CD95" i="2"/>
  <c r="CD81" i="2"/>
  <c r="CD160" i="2"/>
  <c r="CD123" i="2"/>
  <c r="CD30" i="2"/>
  <c r="CD141" i="2"/>
  <c r="CD53" i="2"/>
  <c r="CD6" i="2"/>
  <c r="CD192" i="2"/>
  <c r="CD20" i="2"/>
  <c r="CD18" i="2"/>
  <c r="CD193" i="2"/>
  <c r="CD83" i="2"/>
  <c r="CD40" i="2"/>
  <c r="CD153" i="2"/>
  <c r="CD159" i="2"/>
  <c r="CD108" i="2"/>
  <c r="CD143" i="2"/>
  <c r="CD66" i="2"/>
  <c r="CD120" i="2"/>
  <c r="CD13" i="2"/>
  <c r="CD178" i="2"/>
  <c r="CD190" i="2"/>
  <c r="CD110" i="2"/>
  <c r="CD84" i="2"/>
  <c r="CD78" i="2"/>
  <c r="CD44" i="2"/>
  <c r="CD145" i="2"/>
  <c r="CD73" i="2"/>
  <c r="CD75" i="2"/>
  <c r="CD23" i="2"/>
  <c r="CD16" i="2"/>
  <c r="CD69" i="2"/>
  <c r="CD200" i="2"/>
  <c r="CD61" i="2"/>
  <c r="CD67" i="2"/>
  <c r="CD80" i="2"/>
  <c r="CD113" i="2"/>
  <c r="CD99" i="2"/>
  <c r="CD197" i="2"/>
  <c r="CD82" i="2"/>
  <c r="CD22" i="2"/>
  <c r="CD65" i="2"/>
  <c r="CD198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GE11" i="2" l="1"/>
  <c r="GE168" i="2"/>
  <c r="GE10" i="2"/>
  <c r="GE153" i="2"/>
  <c r="GE69" i="2"/>
  <c r="GE44" i="2"/>
  <c r="GE92" i="2"/>
  <c r="GE167" i="2"/>
  <c r="GE6" i="2"/>
  <c r="GE127" i="2"/>
  <c r="GE42" i="2"/>
  <c r="GE71" i="2"/>
  <c r="GE75" i="2"/>
  <c r="GE68" i="2"/>
  <c r="GE139" i="2"/>
  <c r="GE152" i="2"/>
  <c r="GE26" i="2"/>
  <c r="GE160" i="2"/>
  <c r="GE110" i="2"/>
  <c r="GE40" i="2"/>
  <c r="GE77" i="2"/>
  <c r="GE180" i="2"/>
  <c r="GE200" i="2"/>
  <c r="GE117" i="2"/>
  <c r="GE186" i="2"/>
  <c r="GE30" i="2"/>
  <c r="GE116" i="2"/>
  <c r="GE82" i="2"/>
  <c r="GE98" i="2"/>
  <c r="GE56" i="2"/>
  <c r="GE165" i="2"/>
  <c r="GE120" i="2"/>
  <c r="GE50" i="2"/>
  <c r="GE175" i="2"/>
  <c r="GE135" i="2"/>
  <c r="GE154" i="2"/>
  <c r="GE147" i="2"/>
  <c r="GE122" i="2"/>
  <c r="GE176" i="2"/>
  <c r="GE27" i="2"/>
  <c r="GE129" i="2"/>
  <c r="GE66" i="2"/>
  <c r="GE125" i="2"/>
  <c r="GE49" i="2"/>
  <c r="GE170" i="2"/>
  <c r="GE169" i="2"/>
  <c r="GE35" i="2"/>
  <c r="GE172" i="2"/>
  <c r="GE121" i="2"/>
  <c r="GE112" i="2"/>
  <c r="GE196" i="2"/>
  <c r="GE185" i="2"/>
  <c r="GE183" i="2"/>
  <c r="GE20" i="2"/>
  <c r="GE197" i="2"/>
  <c r="GE105" i="2"/>
  <c r="GE54" i="2"/>
  <c r="GE3" i="2"/>
  <c r="C14" i="4" s="1"/>
  <c r="E14" i="4" s="1"/>
  <c r="F14" i="4" s="1"/>
  <c r="G14" i="4" s="1"/>
  <c r="L14" i="4" s="1"/>
  <c r="GE145" i="2"/>
  <c r="GE144" i="2"/>
  <c r="GE148" i="2"/>
  <c r="GE80" i="2"/>
  <c r="GE73" i="2"/>
  <c r="GE70" i="2"/>
  <c r="GE142" i="2"/>
  <c r="GE46" i="2"/>
  <c r="GE143" i="2"/>
  <c r="GE188" i="2"/>
  <c r="GE113" i="2"/>
  <c r="GE61" i="2"/>
  <c r="GE7" i="2"/>
  <c r="GE83" i="2"/>
  <c r="GE4" i="2"/>
  <c r="GE192" i="2"/>
  <c r="GE109" i="2"/>
  <c r="GE29" i="2"/>
  <c r="GE195" i="2"/>
  <c r="GE52" i="2"/>
  <c r="GE15" i="2"/>
  <c r="GE88" i="2"/>
  <c r="GE5" i="2"/>
  <c r="GE187" i="2"/>
  <c r="GE101" i="2"/>
  <c r="GE53" i="2"/>
  <c r="GE171" i="2"/>
  <c r="GE124" i="2"/>
  <c r="GE99" i="2"/>
  <c r="GE87" i="2"/>
  <c r="GE136" i="2"/>
  <c r="GE179" i="2"/>
  <c r="GE151" i="2"/>
  <c r="GE159" i="2"/>
  <c r="GE158" i="2"/>
  <c r="GE51" i="2"/>
  <c r="GE43" i="2"/>
  <c r="GE57" i="2"/>
  <c r="GE23" i="2"/>
  <c r="GE96" i="2"/>
  <c r="GE58" i="2"/>
  <c r="GE193" i="2"/>
  <c r="GE90" i="2"/>
  <c r="GE16" i="2"/>
  <c r="GE13" i="2"/>
  <c r="GE177" i="2"/>
  <c r="GE48" i="2"/>
  <c r="GE184" i="2"/>
  <c r="GE132" i="2"/>
  <c r="GE37" i="2"/>
  <c r="GE85" i="2"/>
  <c r="GE62" i="2"/>
  <c r="GE41" i="2"/>
  <c r="GE36" i="2"/>
  <c r="GE55" i="2"/>
  <c r="GE189" i="2"/>
  <c r="GE138" i="2"/>
  <c r="GE114" i="2"/>
  <c r="GE156" i="2"/>
  <c r="GE115" i="2"/>
  <c r="GE131" i="2"/>
  <c r="GE97" i="2"/>
  <c r="GE18" i="2"/>
  <c r="GE81" i="2"/>
  <c r="GE9" i="2"/>
  <c r="GE155" i="2"/>
  <c r="GE149" i="2"/>
  <c r="GE33" i="2"/>
  <c r="GE102" i="2"/>
  <c r="GE72" i="2"/>
  <c r="GE108" i="2"/>
  <c r="GE28" i="2"/>
  <c r="GE133" i="2"/>
  <c r="GE93" i="2"/>
  <c r="GE67" i="2"/>
  <c r="GE47" i="2"/>
  <c r="GE79" i="2"/>
  <c r="GE78" i="2"/>
  <c r="GE182" i="2"/>
  <c r="GE137" i="2"/>
  <c r="GE130" i="2"/>
  <c r="GE100" i="2"/>
  <c r="GE119" i="2"/>
  <c r="GE31" i="2"/>
  <c r="GE157" i="2"/>
  <c r="GE95" i="2"/>
  <c r="GE166" i="2"/>
  <c r="GE201" i="2"/>
  <c r="GE123" i="2"/>
  <c r="GE17" i="2"/>
  <c r="GE191" i="2"/>
  <c r="GE25" i="2"/>
  <c r="GE134" i="2"/>
  <c r="GE12" i="2"/>
  <c r="GE128" i="2"/>
  <c r="GE178" i="2"/>
  <c r="GE8" i="2"/>
  <c r="GE104" i="2"/>
  <c r="GE141" i="2"/>
  <c r="GE107" i="2"/>
  <c r="GE202" i="2"/>
  <c r="GE199" i="2"/>
  <c r="GE198" i="2"/>
  <c r="GE74" i="2"/>
  <c r="GE203" i="2"/>
  <c r="GE22" i="2"/>
  <c r="GE190" i="2"/>
  <c r="GE14" i="2"/>
  <c r="GE39" i="2"/>
  <c r="GE111" i="2"/>
  <c r="GE173" i="2"/>
  <c r="GE140" i="2"/>
  <c r="GE181" i="2"/>
  <c r="GE34" i="2"/>
  <c r="GE161" i="2"/>
  <c r="GE19" i="2"/>
  <c r="GE162" i="2"/>
  <c r="GE76" i="2"/>
  <c r="GE89" i="2"/>
  <c r="GE84" i="2"/>
  <c r="GE65" i="2"/>
  <c r="GE150" i="2"/>
  <c r="GE146" i="2"/>
  <c r="GE103" i="2"/>
  <c r="GE21" i="2"/>
  <c r="GE60" i="2"/>
  <c r="GE63" i="2"/>
  <c r="GE174" i="2"/>
  <c r="GE32" i="2"/>
  <c r="GE163" i="2"/>
  <c r="GE59" i="2"/>
  <c r="GE118" i="2"/>
  <c r="GE45" i="2"/>
  <c r="GE164" i="2"/>
  <c r="GE86" i="2"/>
  <c r="GE24" i="2"/>
  <c r="GE64" i="2"/>
  <c r="GE38" i="2"/>
  <c r="GE91" i="2"/>
  <c r="GE194" i="2"/>
  <c r="GE126" i="2"/>
  <c r="GE106" i="2"/>
  <c r="GE94" i="2"/>
  <c r="FJ38" i="2"/>
  <c r="FJ147" i="2"/>
  <c r="FJ134" i="2"/>
  <c r="FJ110" i="2"/>
  <c r="FJ184" i="2"/>
  <c r="FJ68" i="2"/>
  <c r="FJ196" i="2"/>
  <c r="FJ74" i="2"/>
  <c r="FJ91" i="2"/>
  <c r="FJ203" i="2"/>
  <c r="FJ193" i="2"/>
  <c r="FJ111" i="2"/>
  <c r="FJ127" i="2"/>
  <c r="FJ133" i="2"/>
  <c r="FJ167" i="2"/>
  <c r="FJ191" i="2"/>
  <c r="FJ55" i="2"/>
  <c r="FJ113" i="2"/>
  <c r="FJ171" i="2"/>
  <c r="FJ18" i="2"/>
  <c r="FJ155" i="2"/>
  <c r="FJ60" i="2"/>
  <c r="FJ156" i="2"/>
  <c r="FJ70" i="2"/>
  <c r="FJ40" i="2"/>
  <c r="FJ9" i="2"/>
  <c r="FJ16" i="2"/>
  <c r="FJ194" i="2"/>
  <c r="FJ95" i="2"/>
  <c r="FJ63" i="2"/>
  <c r="FJ33" i="2"/>
  <c r="FJ154" i="2"/>
  <c r="FJ197" i="2"/>
  <c r="FJ126" i="2"/>
  <c r="FJ128" i="2"/>
  <c r="FJ132" i="2"/>
  <c r="FJ94" i="2"/>
  <c r="FJ67" i="2"/>
  <c r="FJ53" i="2"/>
  <c r="FJ10" i="2"/>
  <c r="FJ116" i="2"/>
  <c r="FJ46" i="2"/>
  <c r="FJ183" i="2"/>
  <c r="FJ58" i="2"/>
  <c r="FJ30" i="2"/>
  <c r="FJ45" i="2"/>
  <c r="FJ97" i="2"/>
  <c r="FJ80" i="2"/>
  <c r="FJ26" i="2"/>
  <c r="FJ92" i="2"/>
  <c r="FJ117" i="2"/>
  <c r="FJ32" i="2"/>
  <c r="FJ75" i="2"/>
  <c r="FJ146" i="2"/>
  <c r="FJ64" i="2"/>
  <c r="FJ189" i="2"/>
  <c r="FJ88" i="2"/>
  <c r="FJ76" i="2"/>
  <c r="FJ82" i="2"/>
  <c r="FJ23" i="2"/>
  <c r="FJ44" i="2"/>
  <c r="FJ178" i="2"/>
  <c r="FJ59" i="2"/>
  <c r="FJ125" i="2"/>
  <c r="FJ11" i="2"/>
  <c r="FJ180" i="2"/>
  <c r="FJ120" i="2"/>
  <c r="FJ66" i="2"/>
  <c r="FJ202" i="2"/>
  <c r="FJ187" i="2"/>
  <c r="FJ138" i="2"/>
  <c r="FJ6" i="2"/>
  <c r="FJ162" i="2"/>
  <c r="FJ36" i="2"/>
  <c r="FJ24" i="2"/>
  <c r="FJ139" i="2"/>
  <c r="FJ98" i="2"/>
  <c r="FJ25" i="2"/>
  <c r="FJ140" i="2"/>
  <c r="FJ47" i="2"/>
  <c r="FJ137" i="2"/>
  <c r="FJ42" i="2"/>
  <c r="FJ112" i="2"/>
  <c r="FJ159" i="2"/>
  <c r="FJ87" i="2"/>
  <c r="FJ179" i="2"/>
  <c r="FJ192" i="2"/>
  <c r="FJ166" i="2"/>
  <c r="FJ20" i="2"/>
  <c r="FJ174" i="2"/>
  <c r="FJ71" i="2"/>
  <c r="FJ83" i="2"/>
  <c r="FJ176" i="2"/>
  <c r="FJ54" i="2"/>
  <c r="FJ158" i="2"/>
  <c r="FJ62" i="2"/>
  <c r="FJ168" i="2"/>
  <c r="FJ31" i="2"/>
  <c r="FJ198" i="2"/>
  <c r="FJ188" i="2"/>
  <c r="FJ129" i="2"/>
  <c r="FJ65" i="2"/>
  <c r="FJ160" i="2"/>
  <c r="FJ72" i="2"/>
  <c r="FJ164" i="2"/>
  <c r="FJ109" i="2"/>
  <c r="FJ108" i="2"/>
  <c r="FJ201" i="2"/>
  <c r="FJ186" i="2"/>
  <c r="FJ8" i="2"/>
  <c r="FJ51" i="2"/>
  <c r="FJ157" i="2"/>
  <c r="FJ104" i="2"/>
  <c r="FJ170" i="2"/>
  <c r="FJ93" i="2"/>
  <c r="FJ86" i="2"/>
  <c r="FJ50" i="2"/>
  <c r="FJ136" i="2"/>
  <c r="FJ4" i="2"/>
  <c r="FJ149" i="2"/>
  <c r="FJ15" i="2"/>
  <c r="FJ41" i="2"/>
  <c r="FJ143" i="2"/>
  <c r="FJ22" i="2"/>
  <c r="FJ169" i="2"/>
  <c r="FJ182" i="2"/>
  <c r="FJ29" i="2"/>
  <c r="FJ102" i="2"/>
  <c r="FJ49" i="2"/>
  <c r="FJ61" i="2"/>
  <c r="FJ185" i="2"/>
  <c r="FJ100" i="2"/>
  <c r="FJ78" i="2"/>
  <c r="FJ101" i="2"/>
  <c r="FJ165" i="2"/>
  <c r="FJ79" i="2"/>
  <c r="FJ135" i="2"/>
  <c r="FJ69" i="2"/>
  <c r="FJ52" i="2"/>
  <c r="FJ81" i="2"/>
  <c r="FJ73" i="2"/>
  <c r="FJ89" i="2"/>
  <c r="FJ21" i="2"/>
  <c r="FJ43" i="2"/>
  <c r="FJ195" i="2"/>
  <c r="FJ96" i="2"/>
  <c r="FJ145" i="2"/>
  <c r="FJ27" i="2"/>
  <c r="FJ199" i="2"/>
  <c r="FJ118" i="2"/>
  <c r="FJ105" i="2"/>
  <c r="FJ106" i="2"/>
  <c r="FJ3" i="2"/>
  <c r="C13" i="4" s="1"/>
  <c r="E13" i="4" s="1"/>
  <c r="F13" i="4" s="1"/>
  <c r="G13" i="4" s="1"/>
  <c r="L13" i="4" s="1"/>
  <c r="FJ181" i="2"/>
  <c r="FJ85" i="2"/>
  <c r="FJ144" i="2"/>
  <c r="FJ172" i="2"/>
  <c r="FJ5" i="2"/>
  <c r="FJ150" i="2"/>
  <c r="FJ163" i="2"/>
  <c r="FJ130" i="2"/>
  <c r="FJ142" i="2"/>
  <c r="FJ37" i="2"/>
  <c r="FJ121" i="2"/>
  <c r="FJ7" i="2"/>
  <c r="FJ90" i="2"/>
  <c r="FJ13" i="2"/>
  <c r="FJ200" i="2"/>
  <c r="FJ177" i="2"/>
  <c r="FJ114" i="2"/>
  <c r="FJ119" i="2"/>
  <c r="FJ34" i="2"/>
  <c r="FJ107" i="2"/>
  <c r="FJ152" i="2"/>
  <c r="FJ103" i="2"/>
  <c r="FJ141" i="2"/>
  <c r="FJ124" i="2"/>
  <c r="FJ153" i="2"/>
  <c r="FJ151" i="2"/>
  <c r="FJ175" i="2"/>
  <c r="FJ190" i="2"/>
  <c r="FJ28" i="2"/>
  <c r="FJ173" i="2"/>
  <c r="FJ19" i="2"/>
  <c r="FJ48" i="2"/>
  <c r="FJ56" i="2"/>
  <c r="FJ148" i="2"/>
  <c r="FJ14" i="2"/>
  <c r="FJ99" i="2"/>
  <c r="FJ161" i="2"/>
  <c r="FJ77" i="2"/>
  <c r="FJ123" i="2"/>
  <c r="FJ122" i="2"/>
  <c r="FJ17" i="2"/>
  <c r="FJ39" i="2"/>
  <c r="FJ131" i="2"/>
  <c r="FJ35" i="2"/>
  <c r="FJ57" i="2"/>
  <c r="FJ84" i="2"/>
  <c r="FJ12" i="2"/>
  <c r="FJ115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86" i="2" l="1"/>
  <c r="DT80" i="2"/>
  <c r="DT45" i="2"/>
  <c r="DT184" i="2"/>
  <c r="DT185" i="2"/>
  <c r="DT150" i="2"/>
  <c r="DT11" i="2"/>
  <c r="DT129" i="2"/>
  <c r="DT31" i="2"/>
  <c r="DT192" i="2"/>
  <c r="DT140" i="2"/>
  <c r="DT72" i="2"/>
  <c r="DT175" i="2"/>
  <c r="DT99" i="2"/>
  <c r="DT169" i="2"/>
  <c r="DT38" i="2"/>
  <c r="DT139" i="2"/>
  <c r="DT90" i="2"/>
  <c r="DT136" i="2"/>
  <c r="DT42" i="2"/>
  <c r="DT125" i="2"/>
  <c r="DT17" i="2"/>
  <c r="DT62" i="2"/>
  <c r="DT58" i="2"/>
  <c r="DT44" i="2"/>
  <c r="DT94" i="2"/>
  <c r="DT91" i="2"/>
  <c r="DT122" i="2"/>
  <c r="DT101" i="2"/>
  <c r="DT61" i="2"/>
  <c r="DT168" i="2"/>
  <c r="DT7" i="2"/>
  <c r="DT133" i="2"/>
  <c r="DT128" i="2"/>
  <c r="DT70" i="2"/>
  <c r="DT10" i="2"/>
  <c r="DT120" i="2"/>
  <c r="DT114" i="2"/>
  <c r="DT102" i="2"/>
  <c r="DT40" i="2"/>
  <c r="DT196" i="2"/>
  <c r="DT180" i="2"/>
  <c r="DT54" i="2"/>
  <c r="DT199" i="2"/>
  <c r="DT197" i="2"/>
  <c r="DT67" i="2"/>
  <c r="DT29" i="2"/>
  <c r="DT179" i="2"/>
  <c r="DT127" i="2"/>
  <c r="DT165" i="2"/>
  <c r="DT176" i="2"/>
  <c r="DT111" i="2"/>
  <c r="DT202" i="2"/>
  <c r="DT103" i="2"/>
  <c r="DT74" i="2"/>
  <c r="DT4" i="2"/>
  <c r="DT57" i="2"/>
  <c r="DT21" i="2"/>
  <c r="DT138" i="2"/>
  <c r="DT5" i="2"/>
  <c r="DT88" i="2"/>
  <c r="DT153" i="2"/>
  <c r="DT146" i="2"/>
  <c r="DT161" i="2"/>
  <c r="DT8" i="2"/>
  <c r="DT188" i="2"/>
  <c r="DT152" i="2"/>
  <c r="DT104" i="2"/>
  <c r="DT117" i="2"/>
  <c r="DT171" i="2"/>
  <c r="DT15" i="2"/>
  <c r="DT173" i="2"/>
  <c r="DT95" i="2"/>
  <c r="DT178" i="2"/>
  <c r="DT82" i="2"/>
  <c r="DT64" i="2"/>
  <c r="DT92" i="2"/>
  <c r="DT164" i="2"/>
  <c r="DT53" i="2"/>
  <c r="DT132" i="2"/>
  <c r="DT36" i="2"/>
  <c r="DT35" i="2"/>
  <c r="DT190" i="2"/>
  <c r="DT12" i="2"/>
  <c r="DT113" i="2"/>
  <c r="DT55" i="2"/>
  <c r="DT48" i="2"/>
  <c r="DT193" i="2"/>
  <c r="DT41" i="2"/>
  <c r="DT198" i="2"/>
  <c r="DT85" i="2"/>
  <c r="DT130" i="2"/>
  <c r="DT163" i="2"/>
  <c r="DT118" i="2"/>
  <c r="DT43" i="2"/>
  <c r="DT115" i="2"/>
  <c r="DT148" i="2"/>
  <c r="DT16" i="2"/>
  <c r="DT124" i="2"/>
  <c r="DT59" i="2"/>
  <c r="DT23" i="2"/>
  <c r="DT147" i="2"/>
  <c r="DT126" i="2"/>
  <c r="DT142" i="2"/>
  <c r="DT27" i="2"/>
  <c r="DT56" i="2"/>
  <c r="DT183" i="2"/>
  <c r="DT14" i="2"/>
  <c r="DT76" i="2"/>
  <c r="DT68" i="2"/>
  <c r="DT46" i="2"/>
  <c r="DT186" i="2"/>
  <c r="DT75" i="2"/>
  <c r="DT112" i="2"/>
  <c r="DT135" i="2"/>
  <c r="DT194" i="2"/>
  <c r="DT187" i="2"/>
  <c r="DT108" i="2"/>
  <c r="DT167" i="2"/>
  <c r="DT52" i="2"/>
  <c r="DT22" i="2"/>
  <c r="DT119" i="2"/>
  <c r="DT93" i="2"/>
  <c r="DT39" i="2"/>
  <c r="DT26" i="2"/>
  <c r="DT60" i="2"/>
  <c r="DT154" i="2"/>
  <c r="DT191" i="2"/>
  <c r="DT105" i="2"/>
  <c r="DT172" i="2"/>
  <c r="DT20" i="2"/>
  <c r="DT87" i="2"/>
  <c r="DT83" i="2"/>
  <c r="DT25" i="2"/>
  <c r="DT24" i="2"/>
  <c r="DT33" i="2"/>
  <c r="DT34" i="2"/>
  <c r="DT131" i="2"/>
  <c r="DT195" i="2"/>
  <c r="DT47" i="2"/>
  <c r="DT71" i="2"/>
  <c r="DT123" i="2"/>
  <c r="DT141" i="2"/>
  <c r="DT37" i="2"/>
  <c r="DT19" i="2"/>
  <c r="DT203" i="2"/>
  <c r="DT30" i="2"/>
  <c r="DT79" i="2"/>
  <c r="DT78" i="2"/>
  <c r="DT159" i="2"/>
  <c r="DT96" i="2"/>
  <c r="DT109" i="2"/>
  <c r="DT66" i="2"/>
  <c r="DT89" i="2"/>
  <c r="DT177" i="2"/>
  <c r="DT107" i="2"/>
  <c r="DT3" i="2"/>
  <c r="C11" i="4" s="1"/>
  <c r="E11" i="4" s="1"/>
  <c r="F11" i="4" s="1"/>
  <c r="G11" i="4" s="1"/>
  <c r="L11" i="4" s="1"/>
  <c r="DT182" i="2"/>
  <c r="DT156" i="2"/>
  <c r="DT201" i="2"/>
  <c r="DT116" i="2"/>
  <c r="DT155" i="2"/>
  <c r="DT162" i="2"/>
  <c r="DT73" i="2"/>
  <c r="DT166" i="2"/>
  <c r="DT149" i="2"/>
  <c r="DT158" i="2"/>
  <c r="DT145" i="2"/>
  <c r="DT100" i="2"/>
  <c r="DT18" i="2"/>
  <c r="DT137" i="2"/>
  <c r="DT51" i="2"/>
  <c r="DT106" i="2"/>
  <c r="DT49" i="2"/>
  <c r="DT32" i="2"/>
  <c r="DT174" i="2"/>
  <c r="DT170" i="2"/>
  <c r="DT157" i="2"/>
  <c r="DT13" i="2"/>
  <c r="DT6" i="2"/>
  <c r="DT144" i="2"/>
  <c r="DT189" i="2"/>
  <c r="DT143" i="2"/>
  <c r="DT121" i="2"/>
  <c r="DT9" i="2"/>
  <c r="DT151" i="2"/>
  <c r="DT160" i="2"/>
  <c r="DT81" i="2"/>
  <c r="DT181" i="2"/>
  <c r="DT97" i="2"/>
  <c r="DT63" i="2"/>
  <c r="DT50" i="2"/>
  <c r="DT84" i="2"/>
  <c r="DT69" i="2"/>
  <c r="DT65" i="2"/>
  <c r="DT98" i="2"/>
  <c r="DT28" i="2"/>
  <c r="DT110" i="2"/>
  <c r="DT77" i="2"/>
  <c r="DT134" i="2"/>
  <c r="DT20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I47" i="2" l="1"/>
  <c r="BI23" i="2"/>
  <c r="BI96" i="2"/>
  <c r="BI154" i="2"/>
  <c r="BI72" i="2"/>
  <c r="BI59" i="2"/>
  <c r="BI77" i="2"/>
  <c r="BI199" i="2"/>
  <c r="BI94" i="2"/>
  <c r="BI89" i="2"/>
  <c r="BI117" i="2"/>
  <c r="BI177" i="2"/>
  <c r="BI57" i="2"/>
  <c r="BI29" i="2"/>
  <c r="BI74" i="2"/>
  <c r="BI115" i="2"/>
  <c r="BI168" i="2"/>
  <c r="BI93" i="2"/>
  <c r="BI173" i="2"/>
  <c r="BI106" i="2"/>
  <c r="BI79" i="2"/>
  <c r="BI42" i="2"/>
  <c r="BI19" i="2"/>
  <c r="BI164" i="2"/>
  <c r="BI113" i="2"/>
  <c r="BI13" i="2"/>
  <c r="BI116" i="2"/>
  <c r="BI6" i="2"/>
  <c r="BI174" i="2"/>
  <c r="BI92" i="2"/>
  <c r="BI194" i="2"/>
  <c r="BI66" i="2"/>
  <c r="BI114" i="2"/>
  <c r="BI5" i="2"/>
  <c r="BI85" i="2"/>
  <c r="BI170" i="2"/>
  <c r="BI189" i="2"/>
  <c r="BI133" i="2"/>
  <c r="BI165" i="2"/>
  <c r="BI44" i="2"/>
  <c r="BI86" i="2"/>
  <c r="BI143" i="2"/>
  <c r="BI35" i="2"/>
  <c r="BI46" i="2"/>
  <c r="BI10" i="2"/>
  <c r="BI11" i="2"/>
  <c r="BI138" i="2"/>
  <c r="BI112" i="2"/>
  <c r="BI53" i="2"/>
  <c r="BI51" i="2"/>
  <c r="BI109" i="2"/>
  <c r="BI39" i="2"/>
  <c r="BI134" i="2"/>
  <c r="BI127" i="2"/>
  <c r="BI178" i="2"/>
  <c r="BI65" i="2"/>
  <c r="BI24" i="2"/>
  <c r="BI97" i="2"/>
  <c r="BI122" i="2"/>
  <c r="BI82" i="2"/>
  <c r="BI197" i="2"/>
  <c r="BI95" i="2"/>
  <c r="BI3" i="2"/>
  <c r="C8" i="4" s="1"/>
  <c r="E8" i="4" s="1"/>
  <c r="F8" i="4" s="1"/>
  <c r="G8" i="4" s="1"/>
  <c r="L8" i="4" s="1"/>
  <c r="BI120" i="2"/>
  <c r="BI185" i="2"/>
  <c r="BI43" i="2"/>
  <c r="BI56" i="2"/>
  <c r="BI54" i="2"/>
  <c r="BI99" i="2"/>
  <c r="BI128" i="2"/>
  <c r="BI181" i="2"/>
  <c r="BI28" i="2"/>
  <c r="BI131" i="2"/>
  <c r="BI21" i="2"/>
  <c r="BI172" i="2"/>
  <c r="BI101" i="2"/>
  <c r="BI7" i="2"/>
  <c r="BI195" i="2"/>
  <c r="BI156" i="2"/>
  <c r="BI34" i="2"/>
  <c r="BI90" i="2"/>
  <c r="BI60" i="2"/>
  <c r="BI107" i="2"/>
  <c r="BI16" i="2"/>
  <c r="BI26" i="2"/>
  <c r="BI142" i="2"/>
  <c r="BI27" i="2"/>
  <c r="BI151" i="2"/>
  <c r="BI20" i="2"/>
  <c r="BI139" i="2"/>
  <c r="BI126" i="2"/>
  <c r="BI36" i="2"/>
  <c r="BI70" i="2"/>
  <c r="BI180" i="2"/>
  <c r="BI145" i="2"/>
  <c r="BI184" i="2"/>
  <c r="BI98" i="2"/>
  <c r="BI84" i="2"/>
  <c r="BI118" i="2"/>
  <c r="BI159" i="2"/>
  <c r="BI37" i="2"/>
  <c r="BI160" i="2"/>
  <c r="BI192" i="2"/>
  <c r="BI146" i="2"/>
  <c r="BI186" i="2"/>
  <c r="BI78" i="2"/>
  <c r="BI124" i="2"/>
  <c r="BI50" i="2"/>
  <c r="BI166" i="2"/>
  <c r="BI155" i="2"/>
  <c r="BI130" i="2"/>
  <c r="BI162" i="2"/>
  <c r="BI179" i="2"/>
  <c r="BI161" i="2"/>
  <c r="BI62" i="2"/>
  <c r="BI103" i="2"/>
  <c r="BI171" i="2"/>
  <c r="BI193" i="2"/>
  <c r="BI163" i="2"/>
  <c r="BI41" i="2"/>
  <c r="BI123" i="2"/>
  <c r="BI63" i="2"/>
  <c r="BI38" i="2"/>
  <c r="BI202" i="2"/>
  <c r="BI125" i="2"/>
  <c r="BI67" i="2"/>
  <c r="BI140" i="2"/>
  <c r="BI137" i="2"/>
  <c r="BI157" i="2"/>
  <c r="BI4" i="2"/>
  <c r="BI88" i="2"/>
  <c r="BI148" i="2"/>
  <c r="BI150" i="2"/>
  <c r="BI201" i="2"/>
  <c r="BI25" i="2"/>
  <c r="BI187" i="2"/>
  <c r="BI64" i="2"/>
  <c r="BI30" i="2"/>
  <c r="BI119" i="2"/>
  <c r="BI61" i="2"/>
  <c r="BI141" i="2"/>
  <c r="BI55" i="2"/>
  <c r="BI167" i="2"/>
  <c r="BI176" i="2"/>
  <c r="BI80" i="2"/>
  <c r="BI152" i="2"/>
  <c r="BI52" i="2"/>
  <c r="BI104" i="2"/>
  <c r="BI31" i="2"/>
  <c r="BI190" i="2"/>
  <c r="BI169" i="2"/>
  <c r="BI69" i="2"/>
  <c r="BI8" i="2"/>
  <c r="BI147" i="2"/>
  <c r="BI87" i="2"/>
  <c r="BI14" i="2"/>
  <c r="BI33" i="2"/>
  <c r="BI91" i="2"/>
  <c r="BI100" i="2"/>
  <c r="BI153" i="2"/>
  <c r="BI158" i="2"/>
  <c r="BI12" i="2"/>
  <c r="BI48" i="2"/>
  <c r="BI182" i="2"/>
  <c r="BI175" i="2"/>
  <c r="BI17" i="2"/>
  <c r="BI15" i="2"/>
  <c r="BI136" i="2"/>
  <c r="BI22" i="2"/>
  <c r="BI9" i="2"/>
  <c r="BI183" i="2"/>
  <c r="BI102" i="2"/>
  <c r="BI132" i="2"/>
  <c r="BI129" i="2"/>
  <c r="BI83" i="2"/>
  <c r="BI198" i="2"/>
  <c r="BI105" i="2"/>
  <c r="BI135" i="2"/>
  <c r="BI68" i="2"/>
  <c r="BI188" i="2"/>
  <c r="BI144" i="2"/>
  <c r="BI81" i="2"/>
  <c r="BI108" i="2"/>
  <c r="BI191" i="2"/>
  <c r="BI18" i="2"/>
  <c r="BI73" i="2"/>
  <c r="BI121" i="2"/>
  <c r="BI49" i="2"/>
  <c r="BI58" i="2"/>
  <c r="BI196" i="2"/>
  <c r="BI110" i="2"/>
  <c r="BI75" i="2"/>
  <c r="BI149" i="2"/>
  <c r="BI32" i="2"/>
  <c r="BI40" i="2"/>
  <c r="BI76" i="2"/>
  <c r="BI71" i="2"/>
  <c r="BI45" i="2"/>
  <c r="BI203" i="2"/>
  <c r="BI111" i="2"/>
  <c r="BI200" i="2"/>
  <c r="BF134" i="2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<sst xmlns="http://schemas.openxmlformats.org/spreadsheetml/2006/main" count="1172" uniqueCount="327">
  <si>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</si>
  <si>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</si>
  <si>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</si>
  <si>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</si>
  <si>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</si>
  <si>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</si>
  <si>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</si>
  <si>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</si>
  <si>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</si>
  <si>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</si>
  <si>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</si>
  <si>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</si>
  <si>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</si>
  <si>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</si>
  <si>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</si>
  <si>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</si>
  <si>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</si>
  <si>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</si>
  <si>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</si>
  <si>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</si>
  <si>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</si>
  <si>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</si>
  <si>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</si>
  <si>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</si>
  <si>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</si>
  <si>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</si>
  <si>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</si>
  <si>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</si>
  <si>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</si>
  <si>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</si>
  <si>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</si>
  <si>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</si>
  <si>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</si>
  <si>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</si>
  <si>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</si>
  <si>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</si>
  <si>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</si>
  <si>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</si>
  <si>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</si>
  <si>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</si>
  <si>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</si>
  <si>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</si>
  <si>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</si>
  <si>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</si>
  <si>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</si>
  <si>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</si>
  <si>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</si>
  <si>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</si>
  <si>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</si>
  <si>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</si>
  <si>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</si>
  <si>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</si>
  <si>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</si>
  <si>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</si>
  <si>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</si>
  <si>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</si>
  <si>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</si>
  <si>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</si>
  <si>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</si>
  <si>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</si>
  <si>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</si>
  <si>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</si>
  <si>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</si>
  <si>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</si>
  <si>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</si>
  <si>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</si>
  <si>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</si>
  <si>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</si>
  <si>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</si>
  <si>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</si>
  <si>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</si>
  <si>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</si>
  <si>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</si>
  <si>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</si>
  <si>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</si>
  <si>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</si>
  <si>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</si>
  <si>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</si>
  <si>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</si>
  <si>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</si>
  <si>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</si>
  <si>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</si>
  <si>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</si>
  <si>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</si>
  <si>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</si>
  <si>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</si>
  <si>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</si>
  <si>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</si>
  <si>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</si>
  <si>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</si>
  <si>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</si>
  <si>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</si>
  <si>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</si>
  <si>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</si>
  <si>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</si>
  <si>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</si>
  <si>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</si>
  <si>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</si>
  <si>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</si>
  <si>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</si>
  <si>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</si>
  <si>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</si>
  <si>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</si>
  <si>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</si>
  <si>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</si>
  <si>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</si>
  <si>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</si>
  <si>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</si>
  <si>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</si>
  <si>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</si>
  <si>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</si>
  <si>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</si>
  <si>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</si>
  <si>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</si>
  <si>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</si>
  <si>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</si>
  <si>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</si>
  <si>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</si>
  <si>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</si>
  <si>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</si>
  <si>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</si>
  <si>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</si>
  <si>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</si>
  <si>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</si>
  <si>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</si>
  <si>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</si>
  <si>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</si>
  <si>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</si>
  <si>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</si>
  <si>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</si>
  <si>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</si>
  <si>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</si>
  <si>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</si>
  <si>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</si>
  <si>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</si>
  <si>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</si>
  <si>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</si>
  <si>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</si>
  <si>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</si>
  <si>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</si>
  <si>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</si>
  <si>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</si>
  <si>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</si>
  <si>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</si>
  <si>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</si>
  <si>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</si>
  <si>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</si>
  <si>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</si>
  <si>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</si>
  <si>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</si>
  <si>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</si>
  <si>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</si>
  <si>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</si>
  <si>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</si>
  <si>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</si>
  <si>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</si>
  <si>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</si>
  <si>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</si>
  <si>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</si>
  <si>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</si>
  <si>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</si>
  <si>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</si>
  <si>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</si>
  <si>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</si>
  <si>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</si>
  <si>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</si>
  <si>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</si>
  <si>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</si>
  <si>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</si>
  <si>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</si>
  <si>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</si>
  <si>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</si>
  <si>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</si>
  <si>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</si>
  <si>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</si>
  <si>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</si>
  <si>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</si>
  <si>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</si>
  <si>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</si>
  <si>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</si>
  <si>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</si>
  <si>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</si>
  <si>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</si>
  <si>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</si>
  <si>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</si>
  <si>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</si>
  <si>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</si>
  <si>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</si>
  <si>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</si>
  <si>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</si>
  <si>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</si>
  <si>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</si>
  <si>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</si>
  <si>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</si>
  <si>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</si>
  <si>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</si>
  <si>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</si>
  <si>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</si>
  <si>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</si>
  <si>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</si>
  <si>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</si>
  <si>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</si>
  <si>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</si>
  <si>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</si>
  <si>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</si>
  <si>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</si>
  <si>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</si>
  <si>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</si>
  <si>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</si>
  <si>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</si>
  <si>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</si>
  <si>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</si>
  <si>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</si>
  <si>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</si>
  <si>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</si>
  <si>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</si>
  <si>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</si>
  <si>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</si>
  <si>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</si>
  <si>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</si>
  <si>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</si>
  <si>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</si>
  <si>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</si>
  <si>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</si>
  <si>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</si>
  <si>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</si>
  <si>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</si>
  <si>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</si>
  <si>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</si>
  <si>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</si>
  <si>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</si>
  <si>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</si>
  <si>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</si>
  <si>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</si>
  <si>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</si>
  <si>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</si>
  <si>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</si>
  <si>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</si>
  <si>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</si>
  <si>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</si>
  <si>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</si>
  <si>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</si>
  <si>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</si>
  <si>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</si>
  <si>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</si>
  <si>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</si>
  <si>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</si>
  <si>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</si>
  <si>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</si>
  <si>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</si>
  <si>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</si>
  <si>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</si>
  <si>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</si>
  <si>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</si>
  <si>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</si>
  <si>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</si>
  <si>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</si>
  <si>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</si>
  <si>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</si>
  <si>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</si>
  <si>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</si>
  <si>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</si>
  <si>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</si>
  <si>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</si>
  <si>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</si>
  <si>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</si>
  <si>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</si>
  <si>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</si>
  <si>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</si>
  <si>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</si>
  <si>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</si>
  <si>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</si>
  <si>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</si>
  <si>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</si>
  <si>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</si>
  <si>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</si>
  <si>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</si>
  <si>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</si>
  <si>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</si>
  <si>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</si>
  <si>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</si>
  <si>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</si>
  <si>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</si>
  <si>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</si>
  <si>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</si>
  <si>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</si>
  <si>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</si>
  <si>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</si>
  <si>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</si>
  <si>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</si>
  <si>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</si>
  <si>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</si>
  <si>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</si>
  <si>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</si>
  <si>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</si>
  <si>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</si>
  <si>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</si>
  <si>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</si>
  <si>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</si>
  <si>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</si>
  <si>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</si>
  <si>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</si>
  <si>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</si>
  <si>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</si>
  <si>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</si>
  <si>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</si>
  <si>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</si>
  <si>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</si>
  <si>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</si>
  <si>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</si>
  <si>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</si>
  <si>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</si>
  <si>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</si>
  <si>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</si>
  <si>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</si>
  <si>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</si>
  <si>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</si>
  <si>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</si>
  <si>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</si>
  <si>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</si>
  <si>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</si>
  <si>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</si>
  <si>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</si>
  <si>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</si>
  <si>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Peuplier Vesten</t>
  </si>
  <si>
    <t>YC8 [1/3]</t>
  </si>
  <si>
    <t>YC8 [3/5]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</si>
</sst>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1.4879988310550185</c:v>
                </c:pt>
                <c:pt idx="2">
                  <c:v>1.6681561766024078</c:v>
                </c:pt>
                <c:pt idx="3">
                  <c:v>1.870204499864353</c:v>
                </c:pt>
                <c:pt idx="4">
                  <c:v>2.0968128580136303</c:v>
                </c:pt>
                <c:pt idx="5">
                  <c:v>2.3509767764378764</c:v>
                </c:pt>
                <c:pt idx="6">
                  <c:v>2.6360583005420719</c:v>
                </c:pt>
                <c:pt idx="7">
                  <c:v>24.411195938103038</c:v>
                </c:pt>
                <c:pt idx="8">
                  <c:v>45.51381002832138</c:v>
                </c:pt>
                <c:pt idx="9">
                  <c:v>66.345707112566487</c:v>
                </c:pt>
                <c:pt idx="10">
                  <c:v>87.006654330800174</c:v>
                </c:pt>
                <c:pt idx="11">
                  <c:v>105.2668155361357</c:v>
                </c:pt>
                <c:pt idx="12">
                  <c:v>121.17968190072868</c:v>
                </c:pt>
                <c:pt idx="13">
                  <c:v>134.77848314529123</c:v>
                </c:pt>
                <c:pt idx="14">
                  <c:v>148.34421936892755</c:v>
                </c:pt>
                <c:pt idx="15">
                  <c:v>157.37140665991683</c:v>
                </c:pt>
                <c:pt idx="16">
                  <c:v>166.38630705355848</c:v>
                </c:pt>
                <c:pt idx="17">
                  <c:v>173.13987981714698</c:v>
                </c:pt>
                <c:pt idx="18">
                  <c:v>177.63880427486311</c:v>
                </c:pt>
                <c:pt idx="19">
                  <c:v>0.11826296645656069</c:v>
                </c:pt>
                <c:pt idx="20">
                  <c:v>0.11826296645656069</c:v>
                </c:pt>
                <c:pt idx="21">
                  <c:v>0.11826296645656069</c:v>
                </c:pt>
                <c:pt idx="22">
                  <c:v>0.11826296645656069</c:v>
                </c:pt>
                <c:pt idx="23">
                  <c:v>0.11826296645656069</c:v>
                </c:pt>
                <c:pt idx="24">
                  <c:v>0.11826296645656069</c:v>
                </c:pt>
                <c:pt idx="25">
                  <c:v>0.11826296645656069</c:v>
                </c:pt>
                <c:pt idx="26">
                  <c:v>0.11826296645656069</c:v>
                </c:pt>
                <c:pt idx="27">
                  <c:v>0.11826296645656069</c:v>
                </c:pt>
                <c:pt idx="28">
                  <c:v>0.11826296645656069</c:v>
                </c:pt>
                <c:pt idx="29">
                  <c:v>0.11826296645656069</c:v>
                </c:pt>
                <c:pt idx="30">
                  <c:v>0.11826296645656069</c:v>
                </c:pt>
                <c:pt idx="31">
                  <c:v>0.11826296645656069</c:v>
                </c:pt>
                <c:pt idx="32">
                  <c:v>0.11826296645656069</c:v>
                </c:pt>
                <c:pt idx="33">
                  <c:v>0.11826296645656069</c:v>
                </c:pt>
                <c:pt idx="34">
                  <c:v>0.11826296645656069</c:v>
                </c:pt>
                <c:pt idx="35">
                  <c:v>0.11826296645656069</c:v>
                </c:pt>
                <c:pt idx="36">
                  <c:v>0.11826296645656069</c:v>
                </c:pt>
                <c:pt idx="37">
                  <c:v>0.11826296645656069</c:v>
                </c:pt>
                <c:pt idx="38">
                  <c:v>0.11826296645656069</c:v>
                </c:pt>
                <c:pt idx="39">
                  <c:v>0.11826296645656069</c:v>
                </c:pt>
                <c:pt idx="40">
                  <c:v>0.11826296645656069</c:v>
                </c:pt>
                <c:pt idx="41">
                  <c:v>0.11826296645656069</c:v>
                </c:pt>
                <c:pt idx="42">
                  <c:v>0.11826296645656069</c:v>
                </c:pt>
                <c:pt idx="43">
                  <c:v>0.11826296645656069</c:v>
                </c:pt>
                <c:pt idx="44">
                  <c:v>0.11826296645656069</c:v>
                </c:pt>
                <c:pt idx="45">
                  <c:v>0.11826296645656069</c:v>
                </c:pt>
                <c:pt idx="46">
                  <c:v>0.11826296645656069</c:v>
                </c:pt>
                <c:pt idx="47">
                  <c:v>0.11826296645656069</c:v>
                </c:pt>
                <c:pt idx="48">
                  <c:v>0.11826296645656069</c:v>
                </c:pt>
                <c:pt idx="49">
                  <c:v>0.11826296645656069</c:v>
                </c:pt>
                <c:pt idx="50">
                  <c:v>0.11826296645656069</c:v>
                </c:pt>
                <c:pt idx="51">
                  <c:v>0.11826296645656069</c:v>
                </c:pt>
                <c:pt idx="52">
                  <c:v>0.11826296645656069</c:v>
                </c:pt>
                <c:pt idx="53">
                  <c:v>0.11826296645656069</c:v>
                </c:pt>
                <c:pt idx="54">
                  <c:v>0.11826296645656069</c:v>
                </c:pt>
                <c:pt idx="55">
                  <c:v>0.11826296645656069</c:v>
                </c:pt>
                <c:pt idx="56">
                  <c:v>0.11826296645656069</c:v>
                </c:pt>
                <c:pt idx="57">
                  <c:v>0.11826296645656069</c:v>
                </c:pt>
                <c:pt idx="58">
                  <c:v>0.11826296645656069</c:v>
                </c:pt>
                <c:pt idx="59">
                  <c:v>0.11826296645656069</c:v>
                </c:pt>
                <c:pt idx="60">
                  <c:v>0.11826296645656069</c:v>
                </c:pt>
                <c:pt idx="61">
                  <c:v>0.11826296645656069</c:v>
                </c:pt>
                <c:pt idx="62">
                  <c:v>0.11826296645656069</c:v>
                </c:pt>
                <c:pt idx="63">
                  <c:v>0.11826296645656069</c:v>
                </c:pt>
                <c:pt idx="64">
                  <c:v>0.11826296645656069</c:v>
                </c:pt>
                <c:pt idx="65">
                  <c:v>0.11826296645656069</c:v>
                </c:pt>
                <c:pt idx="66">
                  <c:v>0.11826296645656069</c:v>
                </c:pt>
                <c:pt idx="67">
                  <c:v>0.11826296645656069</c:v>
                </c:pt>
                <c:pt idx="68">
                  <c:v>0.11826296645656069</c:v>
                </c:pt>
                <c:pt idx="69">
                  <c:v>0.11826296645656069</c:v>
                </c:pt>
                <c:pt idx="70">
                  <c:v>0.11826296645656069</c:v>
                </c:pt>
                <c:pt idx="71">
                  <c:v>0.11826296645656069</c:v>
                </c:pt>
                <c:pt idx="72">
                  <c:v>0.11826296645656069</c:v>
                </c:pt>
                <c:pt idx="73">
                  <c:v>0.11826296645656069</c:v>
                </c:pt>
                <c:pt idx="74">
                  <c:v>0.11826296645656069</c:v>
                </c:pt>
                <c:pt idx="75">
                  <c:v>0.11826296645656069</c:v>
                </c:pt>
                <c:pt idx="76">
                  <c:v>0.11826296645656069</c:v>
                </c:pt>
                <c:pt idx="77">
                  <c:v>0.11826296645656069</c:v>
                </c:pt>
                <c:pt idx="78">
                  <c:v>0.11826296645656069</c:v>
                </c:pt>
                <c:pt idx="79">
                  <c:v>0.11826296645656069</c:v>
                </c:pt>
                <c:pt idx="80">
                  <c:v>0.11826296645656069</c:v>
                </c:pt>
                <c:pt idx="81">
                  <c:v>0.11826296645656069</c:v>
                </c:pt>
                <c:pt idx="82">
                  <c:v>0.11826296645656069</c:v>
                </c:pt>
                <c:pt idx="83">
                  <c:v>0.11826296645656069</c:v>
                </c:pt>
                <c:pt idx="84">
                  <c:v>0.11826296645656069</c:v>
                </c:pt>
                <c:pt idx="85">
                  <c:v>0.11826296645656069</c:v>
                </c:pt>
                <c:pt idx="86">
                  <c:v>0.11826296645656069</c:v>
                </c:pt>
                <c:pt idx="87">
                  <c:v>0.11826296645656069</c:v>
                </c:pt>
                <c:pt idx="88">
                  <c:v>0.11826296645656069</c:v>
                </c:pt>
                <c:pt idx="89">
                  <c:v>0.11826296645656069</c:v>
                </c:pt>
                <c:pt idx="90">
                  <c:v>0.11826296645656069</c:v>
                </c:pt>
                <c:pt idx="91">
                  <c:v>0.11826296645656069</c:v>
                </c:pt>
                <c:pt idx="92">
                  <c:v>0.11826296645656069</c:v>
                </c:pt>
                <c:pt idx="93">
                  <c:v>0.11826296645656069</c:v>
                </c:pt>
                <c:pt idx="94">
                  <c:v>0.11826296645656069</c:v>
                </c:pt>
                <c:pt idx="95">
                  <c:v>0.11826296645656069</c:v>
                </c:pt>
                <c:pt idx="96">
                  <c:v>0.11826296645656069</c:v>
                </c:pt>
                <c:pt idx="97">
                  <c:v>0.11826296645656069</c:v>
                </c:pt>
                <c:pt idx="98">
                  <c:v>0.11826296645656069</c:v>
                </c:pt>
                <c:pt idx="99">
                  <c:v>0.11826296645656069</c:v>
                </c:pt>
                <c:pt idx="100">
                  <c:v>0.11826296645656069</c:v>
                </c:pt>
                <c:pt idx="101">
                  <c:v>0.11826296645656069</c:v>
                </c:pt>
                <c:pt idx="102">
                  <c:v>0.11826296645656069</c:v>
                </c:pt>
                <c:pt idx="103">
                  <c:v>0.11826296645656069</c:v>
                </c:pt>
                <c:pt idx="104">
                  <c:v>0.11826296645656069</c:v>
                </c:pt>
                <c:pt idx="105">
                  <c:v>0.11826296645656069</c:v>
                </c:pt>
                <c:pt idx="106">
                  <c:v>0.11826296645656069</c:v>
                </c:pt>
                <c:pt idx="107">
                  <c:v>0.11826296645656069</c:v>
                </c:pt>
                <c:pt idx="108">
                  <c:v>0.11826296645656069</c:v>
                </c:pt>
                <c:pt idx="109">
                  <c:v>0.11826296645656069</c:v>
                </c:pt>
                <c:pt idx="110">
                  <c:v>0.11826296645656069</c:v>
                </c:pt>
                <c:pt idx="111">
                  <c:v>0.11826296645656069</c:v>
                </c:pt>
                <c:pt idx="112">
                  <c:v>0.11826296645656069</c:v>
                </c:pt>
                <c:pt idx="113">
                  <c:v>0.11826296645656069</c:v>
                </c:pt>
                <c:pt idx="114">
                  <c:v>0.11826296645656069</c:v>
                </c:pt>
                <c:pt idx="115">
                  <c:v>0.11826296645656069</c:v>
                </c:pt>
                <c:pt idx="116">
                  <c:v>0.11826296645656069</c:v>
                </c:pt>
                <c:pt idx="117">
                  <c:v>0.11826296645656069</c:v>
                </c:pt>
                <c:pt idx="118">
                  <c:v>0.11826296645656069</c:v>
                </c:pt>
                <c:pt idx="119">
                  <c:v>0.11826296645656069</c:v>
                </c:pt>
                <c:pt idx="120">
                  <c:v>0.11826296645656069</c:v>
                </c:pt>
                <c:pt idx="121">
                  <c:v>0.11826296645656069</c:v>
                </c:pt>
                <c:pt idx="122">
                  <c:v>0.11826296645656069</c:v>
                </c:pt>
                <c:pt idx="123">
                  <c:v>0.11826296645656069</c:v>
                </c:pt>
                <c:pt idx="124">
                  <c:v>0.11826296645656069</c:v>
                </c:pt>
                <c:pt idx="125">
                  <c:v>0.11826296645656069</c:v>
                </c:pt>
                <c:pt idx="126">
                  <c:v>0.11826296645656069</c:v>
                </c:pt>
                <c:pt idx="127">
                  <c:v>0.11826296645656069</c:v>
                </c:pt>
                <c:pt idx="128">
                  <c:v>0.11826296645656069</c:v>
                </c:pt>
                <c:pt idx="129">
                  <c:v>0.11826296645656069</c:v>
                </c:pt>
                <c:pt idx="130">
                  <c:v>0.11826296645656069</c:v>
                </c:pt>
                <c:pt idx="131">
                  <c:v>0.11826296645656069</c:v>
                </c:pt>
                <c:pt idx="132">
                  <c:v>0.11826296645656069</c:v>
                </c:pt>
                <c:pt idx="133">
                  <c:v>0.11826296645656069</c:v>
                </c:pt>
                <c:pt idx="134">
                  <c:v>0.11826296645656069</c:v>
                </c:pt>
                <c:pt idx="135">
                  <c:v>0.11826296645656069</c:v>
                </c:pt>
                <c:pt idx="136">
                  <c:v>0.11826296645656069</c:v>
                </c:pt>
                <c:pt idx="137">
                  <c:v>0.11826296645656069</c:v>
                </c:pt>
                <c:pt idx="138">
                  <c:v>0.11826296645656069</c:v>
                </c:pt>
                <c:pt idx="139">
                  <c:v>0.11826296645656069</c:v>
                </c:pt>
                <c:pt idx="140">
                  <c:v>0.11826296645656069</c:v>
                </c:pt>
                <c:pt idx="141">
                  <c:v>0.11826296645656069</c:v>
                </c:pt>
                <c:pt idx="142">
                  <c:v>0.11826296645656069</c:v>
                </c:pt>
                <c:pt idx="143">
                  <c:v>0.11826296645656069</c:v>
                </c:pt>
                <c:pt idx="144">
                  <c:v>0.11826296645656069</c:v>
                </c:pt>
                <c:pt idx="145">
                  <c:v>0.11826296645656069</c:v>
                </c:pt>
                <c:pt idx="146">
                  <c:v>0.11826296645656069</c:v>
                </c:pt>
                <c:pt idx="147">
                  <c:v>0.11826296645656069</c:v>
                </c:pt>
                <c:pt idx="148">
                  <c:v>0.11826296645656069</c:v>
                </c:pt>
                <c:pt idx="149">
                  <c:v>0.11826296645656069</c:v>
                </c:pt>
                <c:pt idx="150">
                  <c:v>0.11826296645656069</c:v>
                </c:pt>
                <c:pt idx="151">
                  <c:v>0.11826296645656069</c:v>
                </c:pt>
                <c:pt idx="152">
                  <c:v>0.11826296645656069</c:v>
                </c:pt>
                <c:pt idx="153">
                  <c:v>0.11826296645656069</c:v>
                </c:pt>
                <c:pt idx="154">
                  <c:v>0.11826296645656069</c:v>
                </c:pt>
                <c:pt idx="155">
                  <c:v>0.11826296645656069</c:v>
                </c:pt>
                <c:pt idx="156">
                  <c:v>0.11826296645656069</c:v>
                </c:pt>
                <c:pt idx="157">
                  <c:v>0.11826296645656069</c:v>
                </c:pt>
                <c:pt idx="158">
                  <c:v>0.11826296645656069</c:v>
                </c:pt>
                <c:pt idx="159">
                  <c:v>0.11826296645656069</c:v>
                </c:pt>
                <c:pt idx="160">
                  <c:v>0.11826296645656069</c:v>
                </c:pt>
                <c:pt idx="161">
                  <c:v>0.11826296645656069</c:v>
                </c:pt>
                <c:pt idx="162">
                  <c:v>0.11826296645656069</c:v>
                </c:pt>
                <c:pt idx="163">
                  <c:v>0.11826296645656069</c:v>
                </c:pt>
                <c:pt idx="164">
                  <c:v>0.11826296645656069</c:v>
                </c:pt>
                <c:pt idx="165">
                  <c:v>0.11826296645656069</c:v>
                </c:pt>
                <c:pt idx="166">
                  <c:v>0.11826296645656069</c:v>
                </c:pt>
                <c:pt idx="167">
                  <c:v>0.11826296645656069</c:v>
                </c:pt>
                <c:pt idx="168">
                  <c:v>0.11826296645656069</c:v>
                </c:pt>
                <c:pt idx="169">
                  <c:v>0.11826296645656069</c:v>
                </c:pt>
                <c:pt idx="170">
                  <c:v>0.11826296645656069</c:v>
                </c:pt>
                <c:pt idx="171">
                  <c:v>0.11826296645656069</c:v>
                </c:pt>
                <c:pt idx="172">
                  <c:v>0.11826296645656069</c:v>
                </c:pt>
                <c:pt idx="173">
                  <c:v>0.11826296645656069</c:v>
                </c:pt>
                <c:pt idx="174">
                  <c:v>0.11826296645656069</c:v>
                </c:pt>
                <c:pt idx="175">
                  <c:v>0.11826296645656069</c:v>
                </c:pt>
                <c:pt idx="176">
                  <c:v>0.11826296645656069</c:v>
                </c:pt>
                <c:pt idx="177">
                  <c:v>0.11826296645656069</c:v>
                </c:pt>
                <c:pt idx="178">
                  <c:v>0.11826296645656069</c:v>
                </c:pt>
                <c:pt idx="179">
                  <c:v>0.11826296645656069</c:v>
                </c:pt>
                <c:pt idx="180">
                  <c:v>0.11826296645656069</c:v>
                </c:pt>
                <c:pt idx="181">
                  <c:v>0.11826296645656069</c:v>
                </c:pt>
                <c:pt idx="182">
                  <c:v>0.11826296645656069</c:v>
                </c:pt>
                <c:pt idx="183">
                  <c:v>0.11826296645656069</c:v>
                </c:pt>
                <c:pt idx="184">
                  <c:v>0.11826296645656069</c:v>
                </c:pt>
                <c:pt idx="185">
                  <c:v>0.11826296645656069</c:v>
                </c:pt>
                <c:pt idx="186">
                  <c:v>0.11826296645656069</c:v>
                </c:pt>
                <c:pt idx="187">
                  <c:v>0.11826296645656069</c:v>
                </c:pt>
                <c:pt idx="188">
                  <c:v>0.11826296645656069</c:v>
                </c:pt>
                <c:pt idx="189">
                  <c:v>0.11826296645656069</c:v>
                </c:pt>
                <c:pt idx="190">
                  <c:v>0.11826296645656069</c:v>
                </c:pt>
                <c:pt idx="191">
                  <c:v>0.11826296645656069</c:v>
                </c:pt>
                <c:pt idx="192">
                  <c:v>0.11826296645656069</c:v>
                </c:pt>
                <c:pt idx="193">
                  <c:v>0.11826296645656069</c:v>
                </c:pt>
                <c:pt idx="194">
                  <c:v>0.11826296645656069</c:v>
                </c:pt>
                <c:pt idx="195">
                  <c:v>0.11826296645656069</c:v>
                </c:pt>
                <c:pt idx="196">
                  <c:v>0.11826296645656069</c:v>
                </c:pt>
                <c:pt idx="197">
                  <c:v>0.11826296645656069</c:v>
                </c:pt>
                <c:pt idx="198">
                  <c:v>0.11826296645656069</c:v>
                </c:pt>
                <c:pt idx="199">
                  <c:v>0.11826296645656069</c:v>
                </c:pt>
                <c:pt idx="200">
                  <c:v>0.11826296645656069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12453936"/>
        <c:axId val="-1412453392"/>
      </c:scatterChart>
      <c:valAx>
        <c:axId val="-1412453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2453392"/>
        <c:crosses val="autoZero"/>
        <c:crossBetween val="midCat"/>
      </c:valAx>
      <c:valAx>
        <c:axId val="-1412453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2453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77283056"/>
        <c:axId val="-1377280880"/>
      </c:scatterChart>
      <c:valAx>
        <c:axId val="-137728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77280880"/>
        <c:crosses val="autoZero"/>
        <c:crossBetween val="midCat"/>
      </c:valAx>
      <c:valAx>
        <c:axId val="-137728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7728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130.30991517841125</c:v>
                </c:pt>
                <c:pt idx="27">
                  <c:v>143.17159315460219</c:v>
                </c:pt>
                <c:pt idx="28">
                  <c:v>156.00559553023251</c:v>
                </c:pt>
                <c:pt idx="29">
                  <c:v>168.81452176155747</c:v>
                </c:pt>
                <c:pt idx="30">
                  <c:v>181.60054396431892</c:v>
                </c:pt>
                <c:pt idx="31">
                  <c:v>196.18744401776075</c:v>
                </c:pt>
                <c:pt idx="32">
                  <c:v>210.74915945166413</c:v>
                </c:pt>
                <c:pt idx="33">
                  <c:v>225.28767604319728</c:v>
                </c:pt>
                <c:pt idx="34">
                  <c:v>239.8047021341722</c:v>
                </c:pt>
                <c:pt idx="35">
                  <c:v>254.30172220416441</c:v>
                </c:pt>
                <c:pt idx="36">
                  <c:v>193.27214793812973</c:v>
                </c:pt>
                <c:pt idx="37">
                  <c:v>208.5664261543092</c:v>
                </c:pt>
                <c:pt idx="38">
                  <c:v>223.83481773691517</c:v>
                </c:pt>
                <c:pt idx="39">
                  <c:v>239.07933751109388</c:v>
                </c:pt>
                <c:pt idx="40">
                  <c:v>254.30172220416443</c:v>
                </c:pt>
                <c:pt idx="41">
                  <c:v>269.50348353777451</c:v>
                </c:pt>
                <c:pt idx="42">
                  <c:v>284.68594869794055</c:v>
                </c:pt>
                <c:pt idx="43">
                  <c:v>299.85029171072807</c:v>
                </c:pt>
                <c:pt idx="44">
                  <c:v>314.99755813323162</c:v>
                </c:pt>
                <c:pt idx="45">
                  <c:v>330.12868474355969</c:v>
                </c:pt>
                <c:pt idx="46">
                  <c:v>269.14176602787654</c:v>
                </c:pt>
                <c:pt idx="47">
                  <c:v>283.96339386484851</c:v>
                </c:pt>
                <c:pt idx="48">
                  <c:v>298.7677023889039</c:v>
                </c:pt>
                <c:pt idx="49">
                  <c:v>313.55567069110168</c:v>
                </c:pt>
                <c:pt idx="50">
                  <c:v>328.32817795481515</c:v>
                </c:pt>
                <c:pt idx="51">
                  <c:v>342.7262392021392</c:v>
                </c:pt>
                <c:pt idx="52">
                  <c:v>357.11100913841528</c:v>
                </c:pt>
                <c:pt idx="53">
                  <c:v>371.4830985440197</c:v>
                </c:pt>
                <c:pt idx="54">
                  <c:v>385.8430670819634</c:v>
                </c:pt>
                <c:pt idx="55">
                  <c:v>400.19142935914965</c:v>
                </c:pt>
                <c:pt idx="56">
                  <c:v>338.40824566131732</c:v>
                </c:pt>
                <c:pt idx="57">
                  <c:v>352.07781219018153</c:v>
                </c:pt>
                <c:pt idx="58">
                  <c:v>365.73574755728538</c:v>
                </c:pt>
                <c:pt idx="59">
                  <c:v>379.3825473151046</c:v>
                </c:pt>
                <c:pt idx="60">
                  <c:v>393.01866845402537</c:v>
                </c:pt>
                <c:pt idx="61">
                  <c:v>405.92763208567663</c:v>
                </c:pt>
                <c:pt idx="62">
                  <c:v>418.82772515146894</c:v>
                </c:pt>
                <c:pt idx="63">
                  <c:v>431.71925936589815</c:v>
                </c:pt>
                <c:pt idx="64">
                  <c:v>444.60252630877886</c:v>
                </c:pt>
                <c:pt idx="65">
                  <c:v>457.47779928386598</c:v>
                </c:pt>
                <c:pt idx="66">
                  <c:v>394.45344597932916</c:v>
                </c:pt>
                <c:pt idx="67">
                  <c:v>406.64453366510514</c:v>
                </c:pt>
                <c:pt idx="68">
                  <c:v>418.82772515146894</c:v>
                </c:pt>
                <c:pt idx="69">
                  <c:v>431.00328251520637</c:v>
                </c:pt>
                <c:pt idx="70">
                  <c:v>443.17145181723458</c:v>
                </c:pt>
                <c:pt idx="71">
                  <c:v>454.25971616804895</c:v>
                </c:pt>
                <c:pt idx="72">
                  <c:v>465.34219697734244</c:v>
                </c:pt>
                <c:pt idx="73">
                  <c:v>476.41905141139301</c:v>
                </c:pt>
                <c:pt idx="74">
                  <c:v>487.49042873157447</c:v>
                </c:pt>
                <c:pt idx="75">
                  <c:v>498.55647086626522</c:v>
                </c:pt>
                <c:pt idx="76">
                  <c:v>434.04600819095276</c:v>
                </c:pt>
                <c:pt idx="77">
                  <c:v>444.60252630877864</c:v>
                </c:pt>
                <c:pt idx="78">
                  <c:v>455.15367686904489</c:v>
                </c:pt>
                <c:pt idx="79">
                  <c:v>465.69960186105891</c:v>
                </c:pt>
                <c:pt idx="80">
                  <c:v>476.24043631782706</c:v>
                </c:pt>
                <c:pt idx="81">
                  <c:v>486.77630880656943</c:v>
                </c:pt>
                <c:pt idx="82">
                  <c:v>497.3073418745571</c:v>
                </c:pt>
                <c:pt idx="83">
                  <c:v>507.83365245521685</c:v>
                </c:pt>
                <c:pt idx="84">
                  <c:v>518.3553522388147</c:v>
                </c:pt>
                <c:pt idx="85">
                  <c:v>528.87254801147822</c:v>
                </c:pt>
                <c:pt idx="86">
                  <c:v>463.19764456024433</c:v>
                </c:pt>
                <c:pt idx="87">
                  <c:v>472.48918916409229</c:v>
                </c:pt>
                <c:pt idx="88">
                  <c:v>481.77684446495078</c:v>
                </c:pt>
                <c:pt idx="89">
                  <c:v>491.06069603012833</c:v>
                </c:pt>
                <c:pt idx="90">
                  <c:v>500.34082592690061</c:v>
                </c:pt>
                <c:pt idx="91">
                  <c:v>509.61731292933581</c:v>
                </c:pt>
                <c:pt idx="92">
                  <c:v>518.89023270927657</c:v>
                </c:pt>
                <c:pt idx="93">
                  <c:v>528.15965801295602</c:v>
                </c:pt>
                <c:pt idx="94">
                  <c:v>537.42565882457336</c:v>
                </c:pt>
                <c:pt idx="95">
                  <c:v>546.68830251799807</c:v>
                </c:pt>
                <c:pt idx="96">
                  <c:v>480.16964020909927</c:v>
                </c:pt>
                <c:pt idx="97">
                  <c:v>488.56156699732725</c:v>
                </c:pt>
                <c:pt idx="98">
                  <c:v>496.95043567656376</c:v>
                </c:pt>
                <c:pt idx="99">
                  <c:v>505.33630516496072</c:v>
                </c:pt>
                <c:pt idx="100">
                  <c:v>513.71923226517549</c:v>
                </c:pt>
                <c:pt idx="101">
                  <c:v>522.09927177435827</c:v>
                </c:pt>
                <c:pt idx="102">
                  <c:v>530.47647658670928</c:v>
                </c:pt>
                <c:pt idx="103">
                  <c:v>538.85089778922099</c:v>
                </c:pt>
                <c:pt idx="104">
                  <c:v>547.22258475115848</c:v>
                </c:pt>
                <c:pt idx="105">
                  <c:v>555.59158520777794</c:v>
                </c:pt>
                <c:pt idx="106">
                  <c:v>489.63265542816151</c:v>
                </c:pt>
                <c:pt idx="107">
                  <c:v>496.7719805413937</c:v>
                </c:pt>
                <c:pt idx="108">
                  <c:v>503.90913245527787</c:v>
                </c:pt>
                <c:pt idx="109">
                  <c:v>511.04414630438413</c:v>
                </c:pt>
                <c:pt idx="110">
                  <c:v>518.1770561617891</c:v>
                </c:pt>
                <c:pt idx="111">
                  <c:v>525.30789508563555</c:v>
                </c:pt>
                <c:pt idx="112">
                  <c:v>532.43669516303237</c:v>
                </c:pt>
                <c:pt idx="113">
                  <c:v>539.56348755148099</c:v>
                </c:pt>
                <c:pt idx="114">
                  <c:v>546.68830251799795</c:v>
                </c:pt>
                <c:pt idx="115">
                  <c:v>553.81116947609155</c:v>
                </c:pt>
                <c:pt idx="116">
                  <c:v>493.91651328433562</c:v>
                </c:pt>
                <c:pt idx="117">
                  <c:v>499.98396570940173</c:v>
                </c:pt>
                <c:pt idx="118">
                  <c:v>506.04985953638487</c:v>
                </c:pt>
                <c:pt idx="119">
                  <c:v>512.11421609335548</c:v>
                </c:pt>
                <c:pt idx="120">
                  <c:v>518.17705616178876</c:v>
                </c:pt>
                <c:pt idx="121">
                  <c:v>524.23839999694553</c:v>
                </c:pt>
                <c:pt idx="122">
                  <c:v>530.29826734725987</c:v>
                </c:pt>
                <c:pt idx="123">
                  <c:v>536.35667747279672</c:v>
                </c:pt>
                <c:pt idx="124">
                  <c:v>542.41364916282919</c:v>
                </c:pt>
                <c:pt idx="125">
                  <c:v>548.46920075259175</c:v>
                </c:pt>
                <c:pt idx="126">
                  <c:v>494.98735439698538</c:v>
                </c:pt>
                <c:pt idx="127">
                  <c:v>500.3408259268997</c:v>
                </c:pt>
                <c:pt idx="128">
                  <c:v>505.69308501237447</c:v>
                </c:pt>
                <c:pt idx="129">
                  <c:v>511.04414630438373</c:v>
                </c:pt>
                <c:pt idx="130">
                  <c:v>516.39402412186882</c:v>
                </c:pt>
                <c:pt idx="131">
                  <c:v>521.7427324627007</c:v>
                </c:pt>
                <c:pt idx="132">
                  <c:v>527.09028501417083</c:v>
                </c:pt>
                <c:pt idx="133">
                  <c:v>532.43669516303191</c:v>
                </c:pt>
                <c:pt idx="134">
                  <c:v>537.78197600511635</c:v>
                </c:pt>
                <c:pt idx="135">
                  <c:v>543.12614035455147</c:v>
                </c:pt>
                <c:pt idx="136">
                  <c:v>496.05814641321666</c:v>
                </c:pt>
                <c:pt idx="137">
                  <c:v>500.69768075588286</c:v>
                </c:pt>
                <c:pt idx="138">
                  <c:v>505.33630516496027</c:v>
                </c:pt>
                <c:pt idx="139">
                  <c:v>509.9740291774587</c:v>
                </c:pt>
                <c:pt idx="140">
                  <c:v>514.61086214265481</c:v>
                </c:pt>
                <c:pt idx="141">
                  <c:v>519.24681322748347</c:v>
                </c:pt>
                <c:pt idx="142">
                  <c:v>523.88189142172769</c:v>
                </c:pt>
                <c:pt idx="143">
                  <c:v>528.51610554301317</c:v>
                </c:pt>
                <c:pt idx="144">
                  <c:v>533.14946424161997</c:v>
                </c:pt>
                <c:pt idx="145">
                  <c:v>537.78197600511692</c:v>
                </c:pt>
                <c:pt idx="146">
                  <c:v>541.70113831623837</c:v>
                </c:pt>
                <c:pt idx="147">
                  <c:v>545.61970516793315</c:v>
                </c:pt>
                <c:pt idx="148">
                  <c:v>549.5376814429568</c:v>
                </c:pt>
                <c:pt idx="149">
                  <c:v>553.45507194871561</c:v>
                </c:pt>
                <c:pt idx="150">
                  <c:v>557.37188141896615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12452848"/>
        <c:axId val="-1412455568"/>
      </c:scatterChart>
      <c:valAx>
        <c:axId val="-1412452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2455568"/>
        <c:crosses val="autoZero"/>
        <c:crossBetween val="midCat"/>
      </c:valAx>
      <c:valAx>
        <c:axId val="-141245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2452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115.41913240124948</c:v>
                </c:pt>
                <c:pt idx="22">
                  <c:v>137.15268457380026</c:v>
                </c:pt>
                <c:pt idx="23">
                  <c:v>158.80325266334467</c:v>
                </c:pt>
                <c:pt idx="24">
                  <c:v>180.38376185573739</c:v>
                </c:pt>
                <c:pt idx="25">
                  <c:v>201.90378027857048</c:v>
                </c:pt>
                <c:pt idx="26">
                  <c:v>222.51293238584552</c:v>
                </c:pt>
                <c:pt idx="27">
                  <c:v>243.07829800614925</c:v>
                </c:pt>
                <c:pt idx="28">
                  <c:v>263.6041022697712</c:v>
                </c:pt>
                <c:pt idx="29">
                  <c:v>284.09385819771518</c:v>
                </c:pt>
                <c:pt idx="30">
                  <c:v>304.55053053479526</c:v>
                </c:pt>
                <c:pt idx="31">
                  <c:v>227.28097133258856</c:v>
                </c:pt>
                <c:pt idx="32">
                  <c:v>245.74880864653403</c:v>
                </c:pt>
                <c:pt idx="33">
                  <c:v>264.18512643427306</c:v>
                </c:pt>
                <c:pt idx="34">
                  <c:v>282.59243347925718</c:v>
                </c:pt>
                <c:pt idx="35">
                  <c:v>300.97288496089783</c:v>
                </c:pt>
                <c:pt idx="36">
                  <c:v>317.04799064259174</c:v>
                </c:pt>
                <c:pt idx="37">
                  <c:v>333.10504799226425</c:v>
                </c:pt>
                <c:pt idx="38">
                  <c:v>349.14504937992336</c:v>
                </c:pt>
                <c:pt idx="39">
                  <c:v>365.16888855697044</c:v>
                </c:pt>
                <c:pt idx="40">
                  <c:v>381.17737444442338</c:v>
                </c:pt>
                <c:pt idx="41">
                  <c:v>299.9505270524981</c:v>
                </c:pt>
                <c:pt idx="42">
                  <c:v>313.91615631143912</c:v>
                </c:pt>
                <c:pt idx="43">
                  <c:v>327.86801351508461</c:v>
                </c:pt>
                <c:pt idx="44">
                  <c:v>341.80676730382885</c:v>
                </c:pt>
                <c:pt idx="45">
                  <c:v>355.73302732578992</c:v>
                </c:pt>
                <c:pt idx="46">
                  <c:v>367.81539708823902</c:v>
                </c:pt>
                <c:pt idx="47">
                  <c:v>379.88910609362978</c:v>
                </c:pt>
                <c:pt idx="48">
                  <c:v>391.95446843800681</c:v>
                </c:pt>
                <c:pt idx="49">
                  <c:v>404.01177729891145</c:v>
                </c:pt>
                <c:pt idx="50">
                  <c:v>416.06130692450489</c:v>
                </c:pt>
                <c:pt idx="51">
                  <c:v>361.53773919326767</c:v>
                </c:pt>
                <c:pt idx="52">
                  <c:v>371.92005693853349</c:v>
                </c:pt>
                <c:pt idx="53">
                  <c:v>382.29605694916751</c:v>
                </c:pt>
                <c:pt idx="54">
                  <c:v>392.66593493295318</c:v>
                </c:pt>
                <c:pt idx="55">
                  <c:v>403.02987541370499</c:v>
                </c:pt>
                <c:pt idx="56">
                  <c:v>411.76361484520572</c:v>
                </c:pt>
                <c:pt idx="57">
                  <c:v>420.49335665189238</c:v>
                </c:pt>
                <c:pt idx="58">
                  <c:v>429.219195569997</c:v>
                </c:pt>
                <c:pt idx="59">
                  <c:v>437.94122216787235</c:v>
                </c:pt>
                <c:pt idx="60">
                  <c:v>446.65952311051416</c:v>
                </c:pt>
                <c:pt idx="61">
                  <c:v>411.39132838467918</c:v>
                </c:pt>
                <c:pt idx="62">
                  <c:v>418.73419083974755</c:v>
                </c:pt>
                <c:pt idx="63">
                  <c:v>426.07427910479754</c:v>
                </c:pt>
                <c:pt idx="64">
                  <c:v>433.4116477428741</c:v>
                </c:pt>
                <c:pt idx="65">
                  <c:v>440.7463493177375</c:v>
                </c:pt>
                <c:pt idx="66">
                  <c:v>447.09872026748832</c:v>
                </c:pt>
                <c:pt idx="67">
                  <c:v>453.44915929344944</c:v>
                </c:pt>
                <c:pt idx="68">
                  <c:v>459.79769728676183</c:v>
                </c:pt>
                <c:pt idx="69">
                  <c:v>466.14436421537175</c:v>
                </c:pt>
                <c:pt idx="70">
                  <c:v>472.48918916409275</c:v>
                </c:pt>
                <c:pt idx="71">
                  <c:v>442.94286825616172</c:v>
                </c:pt>
                <c:pt idx="72">
                  <c:v>448.68650991898113</c:v>
                </c:pt>
                <c:pt idx="73">
                  <c:v>454.42857829007625</c:v>
                </c:pt>
                <c:pt idx="74">
                  <c:v>460.16909606887612</c:v>
                </c:pt>
                <c:pt idx="75">
                  <c:v>465.90808534184816</c:v>
                </c:pt>
                <c:pt idx="76">
                  <c:v>470.93690066518553</c:v>
                </c:pt>
                <c:pt idx="77">
                  <c:v>475.96457242812079</c:v>
                </c:pt>
                <c:pt idx="78">
                  <c:v>480.99111442385987</c:v>
                </c:pt>
                <c:pt idx="79">
                  <c:v>486.01654013358376</c:v>
                </c:pt>
                <c:pt idx="80">
                  <c:v>491.0408627367317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12452304"/>
        <c:axId val="-1412455024"/>
      </c:scatterChart>
      <c:valAx>
        <c:axId val="-1412452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2455024"/>
        <c:crosses val="autoZero"/>
        <c:crossBetween val="midCat"/>
      </c:valAx>
      <c:valAx>
        <c:axId val="-141245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2452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12451760"/>
        <c:axId val="-1412451216"/>
      </c:scatterChart>
      <c:valAx>
        <c:axId val="-14124517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2451216"/>
        <c:crosses val="autoZero"/>
        <c:crossBetween val="midCat"/>
      </c:valAx>
      <c:valAx>
        <c:axId val="-141245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2451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12458288"/>
        <c:axId val="-1592316480"/>
      </c:scatterChart>
      <c:valAx>
        <c:axId val="-1412458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92316480"/>
        <c:crosses val="autoZero"/>
        <c:crossBetween val="midCat"/>
      </c:valAx>
      <c:valAx>
        <c:axId val="-159231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12458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92313216"/>
        <c:axId val="-1377290128"/>
      </c:scatterChart>
      <c:valAx>
        <c:axId val="-1592313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77290128"/>
        <c:crosses val="autoZero"/>
        <c:crossBetween val="midCat"/>
      </c:valAx>
      <c:valAx>
        <c:axId val="-137729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92313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77292848"/>
        <c:axId val="-1377292304"/>
      </c:scatterChart>
      <c:valAx>
        <c:axId val="-1377292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77292304"/>
        <c:crosses val="autoZero"/>
        <c:crossBetween val="midCat"/>
      </c:valAx>
      <c:valAx>
        <c:axId val="-137729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77292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77285776"/>
        <c:axId val="-1377293936"/>
      </c:scatterChart>
      <c:valAx>
        <c:axId val="-1377285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77293936"/>
        <c:crosses val="autoZero"/>
        <c:crossBetween val="midCat"/>
      </c:valAx>
      <c:valAx>
        <c:axId val="-137729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77285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77289040"/>
        <c:axId val="-1377296112"/>
      </c:scatterChart>
      <c:valAx>
        <c:axId val="-1377289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77296112"/>
        <c:crosses val="autoZero"/>
        <c:crossBetween val="midCat"/>
      </c:valAx>
      <c:valAx>
        <c:axId val="-13772961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77289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J43" sqref="J4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5" zoomScaleNormal="85" workbookViewId="0">
      <selection activeCell="D102" sqref="D10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2.839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112</v>
      </c>
      <c r="C9" s="35">
        <v>0.68</v>
      </c>
      <c r="D9" s="36">
        <f t="shared" ref="D9:D18" si="0">C9*$C$5</f>
        <v>1.93052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11</v>
      </c>
      <c r="C10" s="35">
        <v>0.24</v>
      </c>
      <c r="D10" s="36">
        <f t="shared" si="0"/>
        <v>0.68135999999999997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23</v>
      </c>
      <c r="C11" s="35">
        <v>0.08</v>
      </c>
      <c r="D11" s="36">
        <f t="shared" si="0"/>
        <v>0.22711999999999999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2.8390000000000004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Koster</v>
      </c>
      <c r="C32" s="25" t="s">
        <v>324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6</v>
      </c>
      <c r="B36" s="63">
        <v>2.04</v>
      </c>
      <c r="C36" s="53"/>
      <c r="D36" s="63"/>
      <c r="E36" s="66"/>
      <c r="F36" s="66"/>
      <c r="G36" s="66"/>
      <c r="H36" s="66"/>
      <c r="I36" s="52">
        <f>IFERROR(B36/A36,"")</f>
        <v>0.34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7</v>
      </c>
      <c r="B37" s="63">
        <v>20.399999999999999</v>
      </c>
      <c r="C37" s="53"/>
      <c r="D37" s="63"/>
      <c r="E37" s="66"/>
      <c r="F37" s="66"/>
      <c r="G37" s="66"/>
      <c r="H37" s="66"/>
      <c r="I37" s="56">
        <f t="shared" ref="I37:I55" si="1">IF(A37&lt;&gt;0,(B37-(B36-D36))/(A37-A36),"")</f>
        <v>18.36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8">
        <v>8</v>
      </c>
      <c r="B38" s="58">
        <v>38.76</v>
      </c>
      <c r="C38" s="58"/>
      <c r="D38" s="58"/>
      <c r="E38" s="66"/>
      <c r="F38" s="66"/>
      <c r="G38" s="66"/>
      <c r="H38" s="66"/>
      <c r="I38" s="56">
        <f t="shared" si="1"/>
        <v>18.36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8">
        <v>9</v>
      </c>
      <c r="B39" s="58">
        <v>57.12</v>
      </c>
      <c r="C39" s="58"/>
      <c r="D39" s="58"/>
      <c r="E39" s="66"/>
      <c r="F39" s="66"/>
      <c r="G39" s="66"/>
      <c r="H39" s="66"/>
      <c r="I39" s="52">
        <f t="shared" si="1"/>
        <v>18.36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283">
        <v>10</v>
      </c>
      <c r="B40" s="63">
        <v>75.48</v>
      </c>
      <c r="C40" s="63"/>
      <c r="D40" s="63"/>
      <c r="E40" s="54"/>
      <c r="F40" s="54"/>
      <c r="G40" s="54"/>
      <c r="H40" s="54"/>
      <c r="I40" s="52">
        <f t="shared" si="1"/>
        <v>18.360000000000007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283">
        <v>11</v>
      </c>
      <c r="B41" s="63">
        <v>91.8</v>
      </c>
      <c r="C41" s="63"/>
      <c r="D41" s="63"/>
      <c r="E41" s="54"/>
      <c r="F41" s="54"/>
      <c r="G41" s="54"/>
      <c r="H41" s="54"/>
      <c r="I41" s="56">
        <f t="shared" si="1"/>
        <v>16.319999999999993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283">
        <v>12</v>
      </c>
      <c r="B42" s="63">
        <v>106.08</v>
      </c>
      <c r="C42" s="63"/>
      <c r="D42" s="63"/>
      <c r="E42" s="54"/>
      <c r="F42" s="54"/>
      <c r="G42" s="54"/>
      <c r="H42" s="54"/>
      <c r="I42" s="56">
        <f t="shared" si="1"/>
        <v>14.280000000000001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13</v>
      </c>
      <c r="B43" s="63">
        <v>118.32</v>
      </c>
      <c r="C43" s="63"/>
      <c r="D43" s="63"/>
      <c r="E43" s="54"/>
      <c r="F43" s="54"/>
      <c r="G43" s="54"/>
      <c r="H43" s="54"/>
      <c r="I43" s="52">
        <f t="shared" si="1"/>
        <v>12.239999999999995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14</v>
      </c>
      <c r="B44" s="63">
        <v>130.56</v>
      </c>
      <c r="C44" s="63"/>
      <c r="D44" s="63"/>
      <c r="E44" s="54"/>
      <c r="F44" s="54"/>
      <c r="G44" s="54"/>
      <c r="H44" s="54"/>
      <c r="I44" s="52">
        <f t="shared" si="1"/>
        <v>12.240000000000009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15</v>
      </c>
      <c r="B45" s="53">
        <v>138.72</v>
      </c>
      <c r="C45" s="53"/>
      <c r="D45" s="53"/>
      <c r="E45" s="54"/>
      <c r="F45" s="54"/>
      <c r="G45" s="54"/>
      <c r="H45" s="54"/>
      <c r="I45" s="52">
        <f t="shared" si="1"/>
        <v>8.1599999999999966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16</v>
      </c>
      <c r="B46" s="53">
        <v>146.88</v>
      </c>
      <c r="C46" s="53"/>
      <c r="D46" s="53"/>
      <c r="E46" s="54"/>
      <c r="F46" s="54"/>
      <c r="G46" s="54"/>
      <c r="H46" s="54"/>
      <c r="I46" s="52">
        <f t="shared" si="1"/>
        <v>8.1599999999999966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17</v>
      </c>
      <c r="B47" s="53">
        <v>153</v>
      </c>
      <c r="C47" s="53"/>
      <c r="D47" s="53"/>
      <c r="E47" s="54"/>
      <c r="F47" s="54"/>
      <c r="G47" s="54"/>
      <c r="H47" s="54"/>
      <c r="I47" s="52">
        <f t="shared" si="1"/>
        <v>6.1200000000000045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18</v>
      </c>
      <c r="B48" s="53">
        <v>157.08000000000001</v>
      </c>
      <c r="C48" s="53">
        <v>1</v>
      </c>
      <c r="D48" s="53">
        <v>157</v>
      </c>
      <c r="E48" s="54">
        <v>0.77</v>
      </c>
      <c r="F48" s="54">
        <v>0.11</v>
      </c>
      <c r="G48" s="54"/>
      <c r="H48" s="54">
        <v>0.12</v>
      </c>
      <c r="I48" s="52">
        <f t="shared" si="1"/>
        <v>4.0800000000000125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pédonculé</v>
      </c>
      <c r="C58" s="25" t="s">
        <v>325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53">
        <v>42</v>
      </c>
      <c r="C62" s="53"/>
      <c r="D62" s="5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53">
        <v>70</v>
      </c>
      <c r="C63" s="53">
        <v>1</v>
      </c>
      <c r="D63" s="53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53">
        <v>97</v>
      </c>
      <c r="C64" s="53"/>
      <c r="D64" s="53"/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53">
        <v>137</v>
      </c>
      <c r="C65" s="53">
        <v>2</v>
      </c>
      <c r="D65" s="53">
        <v>42</v>
      </c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53">
        <v>137</v>
      </c>
      <c r="C66" s="53"/>
      <c r="D66" s="53"/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53">
        <v>179</v>
      </c>
      <c r="C67" s="53">
        <v>3</v>
      </c>
      <c r="D67" s="53">
        <v>42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53">
        <v>178</v>
      </c>
      <c r="C68" s="53"/>
      <c r="D68" s="53"/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218</v>
      </c>
      <c r="C69" s="53">
        <v>4</v>
      </c>
      <c r="D69" s="53">
        <v>42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214</v>
      </c>
      <c r="C70" s="53"/>
      <c r="D70" s="53"/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250</v>
      </c>
      <c r="C71" s="53">
        <v>5</v>
      </c>
      <c r="D71" s="53">
        <v>42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242</v>
      </c>
      <c r="C72" s="53"/>
      <c r="D72" s="53"/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273</v>
      </c>
      <c r="C73" s="53">
        <v>6</v>
      </c>
      <c r="D73" s="53">
        <v>42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85</v>
      </c>
      <c r="B74" s="53">
        <v>290</v>
      </c>
      <c r="C74" s="53">
        <v>7</v>
      </c>
      <c r="D74" s="53">
        <v>42</v>
      </c>
      <c r="E74" s="54"/>
      <c r="F74" s="54"/>
      <c r="G74" s="54"/>
      <c r="H74" s="54"/>
      <c r="I74" s="52">
        <f t="shared" si="2"/>
        <v>5.9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95</v>
      </c>
      <c r="B75" s="53">
        <v>300</v>
      </c>
      <c r="C75" s="53">
        <v>8</v>
      </c>
      <c r="D75" s="53">
        <v>42</v>
      </c>
      <c r="E75" s="54"/>
      <c r="F75" s="54"/>
      <c r="G75" s="54"/>
      <c r="H75" s="54"/>
      <c r="I75" s="52">
        <f t="shared" si="2"/>
        <v>5.2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105</v>
      </c>
      <c r="B76" s="53">
        <v>305</v>
      </c>
      <c r="C76" s="53">
        <v>9</v>
      </c>
      <c r="D76" s="53">
        <v>41</v>
      </c>
      <c r="E76" s="54"/>
      <c r="F76" s="54"/>
      <c r="G76" s="54"/>
      <c r="H76" s="54"/>
      <c r="I76" s="52">
        <f t="shared" si="2"/>
        <v>4.7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115</v>
      </c>
      <c r="B77" s="53">
        <v>304</v>
      </c>
      <c r="C77" s="53">
        <v>10</v>
      </c>
      <c r="D77" s="53">
        <v>37</v>
      </c>
      <c r="E77" s="54"/>
      <c r="F77" s="54"/>
      <c r="G77" s="54"/>
      <c r="H77" s="54"/>
      <c r="I77" s="52">
        <f t="shared" si="2"/>
        <v>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125</v>
      </c>
      <c r="B78" s="53">
        <v>301</v>
      </c>
      <c r="C78" s="53">
        <v>11</v>
      </c>
      <c r="D78" s="53">
        <v>33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135</v>
      </c>
      <c r="B79" s="53">
        <v>298</v>
      </c>
      <c r="C79" s="53">
        <v>12</v>
      </c>
      <c r="D79" s="53">
        <v>29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145</v>
      </c>
      <c r="B80" s="53">
        <v>295</v>
      </c>
      <c r="C80" s="53"/>
      <c r="D80" s="53"/>
      <c r="E80" s="54"/>
      <c r="F80" s="54"/>
      <c r="G80" s="54"/>
      <c r="H80" s="54"/>
      <c r="I80" s="52">
        <f t="shared" si="2"/>
        <v>2.6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306</v>
      </c>
      <c r="C81" s="53">
        <v>13</v>
      </c>
      <c r="D81" s="53">
        <v>306</v>
      </c>
      <c r="E81" s="54"/>
      <c r="F81" s="54"/>
      <c r="G81" s="54"/>
      <c r="H81" s="54"/>
      <c r="I81" s="52">
        <f t="shared" si="2"/>
        <v>2.2000000000000002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Erable sycomore</v>
      </c>
      <c r="C84" s="25" t="s">
        <v>326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37.4</v>
      </c>
      <c r="C88" s="63"/>
      <c r="D88" s="63"/>
      <c r="E88" s="63"/>
      <c r="F88" s="54"/>
      <c r="G88" s="54"/>
      <c r="H88" s="54"/>
      <c r="I88" s="56">
        <f>IFERROR(B88/A88,"")</f>
        <v>2.4933333333333332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v>95.1</v>
      </c>
      <c r="C89" s="63">
        <v>1</v>
      </c>
      <c r="D89" s="63">
        <v>43.1</v>
      </c>
      <c r="E89" s="63"/>
      <c r="F89" s="54"/>
      <c r="G89" s="54"/>
      <c r="H89" s="54"/>
      <c r="I89" s="56">
        <f t="shared" ref="I89:I102" si="3">IF(A89&lt;&gt;0,(B89-(B88-D88))/(A89-A88),"")</f>
        <v>11.54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114.5</v>
      </c>
      <c r="C90" s="63"/>
      <c r="D90" s="63"/>
      <c r="E90" s="63"/>
      <c r="F90" s="54"/>
      <c r="G90" s="54"/>
      <c r="H90" s="54">
        <v>1</v>
      </c>
      <c r="I90" s="56">
        <f t="shared" si="3"/>
        <v>12.500000000000002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v>174.5</v>
      </c>
      <c r="C91" s="63">
        <v>2</v>
      </c>
      <c r="D91" s="63">
        <v>56</v>
      </c>
      <c r="E91" s="63"/>
      <c r="F91" s="54"/>
      <c r="G91" s="54"/>
      <c r="H91" s="54"/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v>172.4</v>
      </c>
      <c r="C92" s="63"/>
      <c r="D92" s="63"/>
      <c r="E92" s="63"/>
      <c r="F92" s="54"/>
      <c r="G92" s="54"/>
      <c r="H92" s="54">
        <v>1</v>
      </c>
      <c r="I92" s="56">
        <f t="shared" si="3"/>
        <v>10.780000000000001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v>219.6</v>
      </c>
      <c r="C93" s="63">
        <v>3</v>
      </c>
      <c r="D93" s="63">
        <v>56</v>
      </c>
      <c r="E93" s="63"/>
      <c r="F93" s="54"/>
      <c r="G93" s="54"/>
      <c r="H93" s="54"/>
      <c r="I93" s="56">
        <f t="shared" si="3"/>
        <v>9.4399999999999977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v>204.60000000000002</v>
      </c>
      <c r="C94" s="53"/>
      <c r="D94" s="63"/>
      <c r="E94" s="63"/>
      <c r="F94" s="54"/>
      <c r="G94" s="54"/>
      <c r="H94" s="54"/>
      <c r="I94" s="56">
        <f t="shared" si="3"/>
        <v>8.2000000000000064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50</v>
      </c>
      <c r="B95" s="63">
        <v>240.20000000000002</v>
      </c>
      <c r="C95" s="53">
        <v>4</v>
      </c>
      <c r="D95" s="63">
        <v>38.299999999999997</v>
      </c>
      <c r="E95" s="63"/>
      <c r="F95" s="54"/>
      <c r="G95" s="54"/>
      <c r="H95" s="54"/>
      <c r="I95" s="56">
        <f t="shared" si="3"/>
        <v>7.1199999999999992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55</v>
      </c>
      <c r="B96" s="63">
        <v>232.5</v>
      </c>
      <c r="C96" s="53"/>
      <c r="D96" s="63"/>
      <c r="E96" s="63"/>
      <c r="F96" s="54"/>
      <c r="G96" s="54"/>
      <c r="H96" s="54"/>
      <c r="I96" s="56">
        <f t="shared" si="3"/>
        <v>6.119999999999993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60</v>
      </c>
      <c r="B97" s="63">
        <v>258.3</v>
      </c>
      <c r="C97" s="53">
        <v>5</v>
      </c>
      <c r="D97" s="63">
        <v>25.200000000000003</v>
      </c>
      <c r="E97" s="63"/>
      <c r="F97" s="54"/>
      <c r="G97" s="54"/>
      <c r="H97" s="54"/>
      <c r="I97" s="56">
        <f t="shared" si="3"/>
        <v>5.1600000000000019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65</v>
      </c>
      <c r="B98" s="63">
        <v>254.8</v>
      </c>
      <c r="C98" s="53"/>
      <c r="D98" s="63"/>
      <c r="E98" s="63"/>
      <c r="F98" s="54"/>
      <c r="G98" s="54"/>
      <c r="H98" s="54"/>
      <c r="I98" s="56">
        <f t="shared" si="3"/>
        <v>4.3399999999999981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70</v>
      </c>
      <c r="B99" s="63">
        <v>273.59999999999997</v>
      </c>
      <c r="C99" s="53">
        <v>6</v>
      </c>
      <c r="D99" s="63">
        <v>20.9</v>
      </c>
      <c r="E99" s="63"/>
      <c r="F99" s="54"/>
      <c r="G99" s="54"/>
      <c r="H99" s="54"/>
      <c r="I99" s="56">
        <f t="shared" si="3"/>
        <v>3.7599999999999909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75</v>
      </c>
      <c r="B100" s="63">
        <v>269.70000000000005</v>
      </c>
      <c r="C100" s="53"/>
      <c r="D100" s="63"/>
      <c r="E100" s="63"/>
      <c r="F100" s="54"/>
      <c r="G100" s="54"/>
      <c r="H100" s="54"/>
      <c r="I100" s="56">
        <f t="shared" si="3"/>
        <v>3.4000000000000172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80</v>
      </c>
      <c r="B101" s="63">
        <v>284.60000000000002</v>
      </c>
      <c r="C101" s="53">
        <v>7</v>
      </c>
      <c r="D101" s="63">
        <f>B101</f>
        <v>284.60000000000002</v>
      </c>
      <c r="E101" s="63"/>
      <c r="F101" s="54"/>
      <c r="G101" s="54"/>
      <c r="H101" s="54"/>
      <c r="I101" s="56">
        <f t="shared" si="3"/>
        <v>2.9799999999999955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63"/>
      <c r="C102" s="53"/>
      <c r="D102" s="63"/>
      <c r="E102" s="63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53"/>
      <c r="C103" s="53"/>
      <c r="D103" s="53"/>
      <c r="E103" s="57"/>
      <c r="F103" s="57"/>
      <c r="G103" s="57"/>
      <c r="H103" s="57"/>
      <c r="I103" s="56" t="str">
        <f t="shared" ref="I103:I107" si="4">IF(A103&lt;&gt;0,(B103-(B102-D102))/(A103-A102),"")</f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53"/>
      <c r="C104" s="5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63"/>
      <c r="D114" s="63"/>
      <c r="E114" s="54"/>
      <c r="F114" s="54"/>
      <c r="G114" s="54"/>
      <c r="H114" s="66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63"/>
      <c r="D115" s="63"/>
      <c r="E115" s="66"/>
      <c r="F115" s="66"/>
      <c r="G115" s="66"/>
      <c r="H115" s="66"/>
      <c r="I115" s="56" t="str">
        <f t="shared" ref="I115:I133" si="5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63"/>
      <c r="D116" s="63"/>
      <c r="E116" s="66"/>
      <c r="F116" s="66"/>
      <c r="G116" s="66"/>
      <c r="H116" s="66"/>
      <c r="I116" s="56" t="str">
        <f t="shared" si="5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63"/>
      <c r="D117" s="63"/>
      <c r="E117" s="66"/>
      <c r="F117" s="66"/>
      <c r="G117" s="66"/>
      <c r="H117" s="66"/>
      <c r="I117" s="56" t="str">
        <f t="shared" si="5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63"/>
      <c r="D118" s="63"/>
      <c r="E118" s="66"/>
      <c r="F118" s="66"/>
      <c r="G118" s="66"/>
      <c r="H118" s="66"/>
      <c r="I118" s="56" t="str">
        <f t="shared" si="5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63"/>
      <c r="D119" s="63"/>
      <c r="E119" s="66"/>
      <c r="F119" s="66"/>
      <c r="G119" s="66"/>
      <c r="H119" s="66"/>
      <c r="I119" s="56" t="str">
        <f t="shared" si="5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/>
      <c r="B120" s="63"/>
      <c r="C120" s="63"/>
      <c r="D120" s="63"/>
      <c r="E120" s="66"/>
      <c r="F120" s="66"/>
      <c r="G120" s="66"/>
      <c r="H120" s="66"/>
      <c r="I120" s="56" t="str">
        <f t="shared" si="5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8"/>
      <c r="B121" s="58"/>
      <c r="C121" s="58"/>
      <c r="D121" s="58"/>
      <c r="E121" s="66"/>
      <c r="F121" s="66"/>
      <c r="G121" s="66"/>
      <c r="H121" s="66"/>
      <c r="I121" s="56" t="str">
        <f t="shared" si="5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8"/>
      <c r="B122" s="58"/>
      <c r="C122" s="58"/>
      <c r="D122" s="58"/>
      <c r="E122" s="66"/>
      <c r="F122" s="66"/>
      <c r="G122" s="66"/>
      <c r="H122" s="66"/>
      <c r="I122" s="56" t="str">
        <f t="shared" si="5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8"/>
      <c r="B123" s="58"/>
      <c r="C123" s="58"/>
      <c r="D123" s="58"/>
      <c r="E123" s="66"/>
      <c r="F123" s="66"/>
      <c r="G123" s="66"/>
      <c r="H123" s="66"/>
      <c r="I123" s="56" t="str">
        <f t="shared" si="5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8"/>
      <c r="B124" s="58"/>
      <c r="C124" s="58"/>
      <c r="D124" s="58"/>
      <c r="E124" s="66"/>
      <c r="F124" s="66"/>
      <c r="G124" s="66"/>
      <c r="H124" s="66"/>
      <c r="I124" s="56" t="str">
        <f t="shared" si="5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8"/>
      <c r="B125" s="58"/>
      <c r="C125" s="58"/>
      <c r="D125" s="58"/>
      <c r="E125" s="66"/>
      <c r="F125" s="66"/>
      <c r="G125" s="66"/>
      <c r="H125" s="66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8"/>
      <c r="B126" s="58"/>
      <c r="C126" s="58"/>
      <c r="D126" s="58"/>
      <c r="E126" s="67"/>
      <c r="F126" s="67"/>
      <c r="G126" s="67"/>
      <c r="H126" s="67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94"/>
      <c r="B127" s="63"/>
      <c r="C127" s="94"/>
      <c r="D127" s="63"/>
      <c r="E127" s="57"/>
      <c r="F127" s="57"/>
      <c r="G127" s="57"/>
      <c r="H127" s="57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6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63"/>
      <c r="D141" s="63"/>
      <c r="E141" s="54"/>
      <c r="F141" s="54"/>
      <c r="G141" s="54"/>
      <c r="H141" s="54"/>
      <c r="I141" s="60" t="str">
        <f t="shared" ref="I141:I159" si="6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63"/>
      <c r="D142" s="63"/>
      <c r="E142" s="54"/>
      <c r="F142" s="54"/>
      <c r="G142" s="54"/>
      <c r="H142" s="54"/>
      <c r="I142" s="60" t="str">
        <f t="shared" si="6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63"/>
      <c r="D143" s="63"/>
      <c r="E143" s="54"/>
      <c r="F143" s="54"/>
      <c r="G143" s="54"/>
      <c r="H143" s="54"/>
      <c r="I143" s="60" t="str">
        <f t="shared" si="6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63"/>
      <c r="D144" s="63"/>
      <c r="E144" s="54"/>
      <c r="F144" s="54"/>
      <c r="G144" s="54"/>
      <c r="H144" s="54"/>
      <c r="I144" s="60" t="str">
        <f t="shared" si="6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63"/>
      <c r="D145" s="63"/>
      <c r="E145" s="54"/>
      <c r="F145" s="54"/>
      <c r="G145" s="54"/>
      <c r="H145" s="54"/>
      <c r="I145" s="60" t="str">
        <f t="shared" si="6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63"/>
      <c r="D146" s="63"/>
      <c r="E146" s="54"/>
      <c r="F146" s="54"/>
      <c r="G146" s="54"/>
      <c r="H146" s="54"/>
      <c r="I146" s="60" t="str">
        <f t="shared" si="6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283"/>
      <c r="B147" s="63"/>
      <c r="C147" s="6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283"/>
      <c r="B148" s="63"/>
      <c r="C148" s="63"/>
      <c r="D148" s="63"/>
      <c r="E148" s="54"/>
      <c r="F148" s="54"/>
      <c r="G148" s="54"/>
      <c r="H148" s="54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283"/>
      <c r="B149" s="63"/>
      <c r="C149" s="63"/>
      <c r="D149" s="63"/>
      <c r="E149" s="54"/>
      <c r="F149" s="54"/>
      <c r="G149" s="54"/>
      <c r="H149" s="54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283"/>
      <c r="B150" s="63"/>
      <c r="C150" s="63"/>
      <c r="D150" s="63"/>
      <c r="E150" s="54"/>
      <c r="F150" s="54"/>
      <c r="G150" s="54"/>
      <c r="H150" s="54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63"/>
      <c r="B151" s="63"/>
      <c r="C151" s="63"/>
      <c r="D151" s="63"/>
      <c r="E151" s="93"/>
      <c r="F151" s="93"/>
      <c r="G151" s="93"/>
      <c r="H151" s="93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63"/>
      <c r="B152" s="63"/>
      <c r="C152" s="63"/>
      <c r="D152" s="63"/>
      <c r="E152" s="68"/>
      <c r="F152" s="68"/>
      <c r="G152" s="68"/>
      <c r="H152" s="68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63"/>
      <c r="B153" s="63"/>
      <c r="C153" s="63"/>
      <c r="D153" s="63"/>
      <c r="E153" s="68"/>
      <c r="F153" s="68"/>
      <c r="G153" s="68"/>
      <c r="H153" s="68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/>
      <c r="B154" s="53"/>
      <c r="C154" s="53"/>
      <c r="D154" s="53"/>
      <c r="E154" s="57"/>
      <c r="F154" s="57"/>
      <c r="G154" s="57"/>
      <c r="H154" s="57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/>
      <c r="B155" s="53"/>
      <c r="C155" s="53"/>
      <c r="D155" s="53"/>
      <c r="E155" s="57"/>
      <c r="F155" s="57"/>
      <c r="G155" s="57"/>
      <c r="H155" s="57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/>
      <c r="B156" s="53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/>
      <c r="B157" s="53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/>
      <c r="B158" s="53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5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53"/>
      <c r="D167" s="63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53"/>
      <c r="D168" s="63"/>
      <c r="E168" s="54"/>
      <c r="F168" s="54"/>
      <c r="G168" s="54"/>
      <c r="H168" s="54"/>
      <c r="I168" s="52" t="str">
        <f t="shared" si="7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53"/>
      <c r="D169" s="63"/>
      <c r="E169" s="54"/>
      <c r="F169" s="54"/>
      <c r="G169" s="54"/>
      <c r="H169" s="54"/>
      <c r="I169" s="52" t="str">
        <f t="shared" si="7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53"/>
      <c r="D170" s="63"/>
      <c r="E170" s="54"/>
      <c r="F170" s="54"/>
      <c r="G170" s="54"/>
      <c r="H170" s="54"/>
      <c r="I170" s="52" t="str">
        <f t="shared" si="7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53"/>
      <c r="D171" s="63"/>
      <c r="E171" s="54"/>
      <c r="F171" s="54"/>
      <c r="G171" s="54"/>
      <c r="H171" s="54"/>
      <c r="I171" s="52" t="str">
        <f t="shared" si="7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63"/>
      <c r="B172" s="63"/>
      <c r="C172" s="63"/>
      <c r="D172" s="63"/>
      <c r="E172" s="93"/>
      <c r="F172" s="93"/>
      <c r="G172" s="93"/>
      <c r="H172" s="93"/>
      <c r="I172" s="52" t="str">
        <f t="shared" si="7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63"/>
      <c r="B173" s="63"/>
      <c r="C173" s="63"/>
      <c r="D173" s="63"/>
      <c r="E173" s="93"/>
      <c r="F173" s="93"/>
      <c r="G173" s="93"/>
      <c r="H173" s="93"/>
      <c r="I173" s="52" t="str">
        <f t="shared" si="7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7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53"/>
      <c r="D192" s="63"/>
      <c r="E192" s="66"/>
      <c r="F192" s="66"/>
      <c r="G192" s="66"/>
      <c r="H192" s="66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53"/>
      <c r="D193" s="63"/>
      <c r="E193" s="66"/>
      <c r="F193" s="66"/>
      <c r="G193" s="66"/>
      <c r="H193" s="66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53"/>
      <c r="D194" s="63"/>
      <c r="E194" s="66"/>
      <c r="F194" s="66"/>
      <c r="G194" s="66"/>
      <c r="H194" s="66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8"/>
      <c r="B195" s="58"/>
      <c r="C195" s="58"/>
      <c r="D195" s="58"/>
      <c r="E195" s="66"/>
      <c r="F195" s="66"/>
      <c r="G195" s="66"/>
      <c r="H195" s="66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8"/>
      <c r="B196" s="58"/>
      <c r="C196" s="58"/>
      <c r="D196" s="58"/>
      <c r="E196" s="66"/>
      <c r="F196" s="66"/>
      <c r="G196" s="66"/>
      <c r="H196" s="66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8"/>
      <c r="B197" s="58"/>
      <c r="C197" s="58"/>
      <c r="D197" s="58"/>
      <c r="E197" s="66"/>
      <c r="F197" s="66"/>
      <c r="G197" s="66"/>
      <c r="H197" s="66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8"/>
      <c r="B198" s="58"/>
      <c r="C198" s="58"/>
      <c r="D198" s="58"/>
      <c r="E198" s="66"/>
      <c r="F198" s="66"/>
      <c r="G198" s="66"/>
      <c r="H198" s="66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8"/>
      <c r="B199" s="58"/>
      <c r="C199" s="58"/>
      <c r="D199" s="58"/>
      <c r="E199" s="66"/>
      <c r="F199" s="66"/>
      <c r="G199" s="66"/>
      <c r="H199" s="66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8"/>
      <c r="B200" s="58"/>
      <c r="C200" s="58"/>
      <c r="D200" s="58"/>
      <c r="E200" s="66"/>
      <c r="F200" s="66"/>
      <c r="G200" s="66"/>
      <c r="H200" s="66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8"/>
      <c r="B201" s="58"/>
      <c r="C201" s="58"/>
      <c r="D201" s="58"/>
      <c r="E201" s="66"/>
      <c r="F201" s="66"/>
      <c r="G201" s="66"/>
      <c r="H201" s="66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8"/>
      <c r="B202" s="58"/>
      <c r="C202" s="58"/>
      <c r="D202" s="58"/>
      <c r="E202" s="66"/>
      <c r="F202" s="66"/>
      <c r="G202" s="66"/>
      <c r="H202" s="66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8"/>
      <c r="B203" s="58"/>
      <c r="C203" s="58"/>
      <c r="D203" s="58"/>
      <c r="E203" s="66"/>
      <c r="F203" s="66"/>
      <c r="G203" s="66"/>
      <c r="H203" s="66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8"/>
      <c r="B204" s="58"/>
      <c r="C204" s="58"/>
      <c r="D204" s="58"/>
      <c r="E204" s="67"/>
      <c r="F204" s="67"/>
      <c r="G204" s="67"/>
      <c r="H204" s="67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94"/>
      <c r="B205" s="63"/>
      <c r="C205" s="94"/>
      <c r="D205" s="63"/>
      <c r="E205" s="57"/>
      <c r="F205" s="57"/>
      <c r="G205" s="57"/>
      <c r="H205" s="57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7"/>
      <c r="F206" s="57"/>
      <c r="G206" s="57"/>
      <c r="H206" s="57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7"/>
      <c r="F207" s="57"/>
      <c r="G207" s="57"/>
      <c r="H207" s="57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7"/>
      <c r="F208" s="57"/>
      <c r="G208" s="57"/>
      <c r="H208" s="57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7"/>
      <c r="F209" s="57"/>
      <c r="G209" s="57"/>
      <c r="H209" s="57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7"/>
      <c r="F210" s="57"/>
      <c r="G210" s="57"/>
      <c r="H210" s="57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7"/>
      <c r="F211" s="57"/>
      <c r="G211" s="57"/>
      <c r="H211" s="57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53"/>
      <c r="D244" s="63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5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5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3" sqref="C2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23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Koster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pédonculé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Erable sycomore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57.778110971082867</v>
      </c>
      <c r="T3" s="62">
        <f>IF('Données projet'!E9&gt;30,$R$33-$H$33,LOOKUP('Données projet'!$E$9,$A$3:$A$203,R3:R203)-LOOKUP('Données projet'!$E$9,$A$3:$A$203,$H$3:$H$203))</f>
        <v>144.26475989880868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237.45928008030023</v>
      </c>
      <c r="AO3" s="62">
        <f>IF('Données projet'!E10&gt;30,$AM$33-$H$33,LOOKUP('Données projet'!$E$10,$A$3:$A$203,AM3:AM203)-LOOKUP('Données projet'!$E$10,$A$3:$A$203,$H$3:$H$203))</f>
        <v>126.78839015508379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210.55867376929405</v>
      </c>
      <c r="BJ3" s="62">
        <f>IF('Données projet'!E11&gt;30,$BH$33-$H$33,LOOKUP('Données projet'!$E$11,$A$3:$A$203,BH3:BH203)-LOOKUP('Données projet'!$E$11,$A$3:$A$203,$H$3:$H$203))</f>
        <v>249.73837672556022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0.79560000000000008</v>
      </c>
      <c r="D4" s="12">
        <f>IFERROR(EXP(-1.0587+0.8836*LN(C4)+0.284),0)</f>
        <v>0.37653553429533809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9.0480637735078737</v>
      </c>
      <c r="H4" s="70">
        <f t="shared" ref="H4:H67" si="1">(B4+E4+F4)*44/12+(C4+D4)*0.475*44/12</f>
        <v>295.37480272223104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0.34</v>
      </c>
      <c r="N4" s="14">
        <f>IF('Données projet'!$A$36&gt;35,N3+M4-V3,IF(A4&lt;'Données projet'!$A$36,$K$205^A4,IF(A4='Données projet'!$A$36,'Données projet'!$B$36,N3+M4-V3)))</f>
        <v>1.1261727847346514</v>
      </c>
      <c r="O4" s="14">
        <f>N4*VLOOKUP('Données projet'!$B$9,Paramètres!$A$1:$I$89,3,0)*VLOOKUP('Données projet'!$B$9,Paramètres!$A$1:$I$89,5,0)</f>
        <v>0.57272643140465429</v>
      </c>
      <c r="P4" s="14">
        <f>EXP(-1.0587+0.8836*LN(O4)+0.284)</f>
        <v>0.28162696441640889</v>
      </c>
      <c r="Q4" s="22">
        <f t="shared" ref="Q4:Q34" si="2">(O4+P4)*0.475*44/12</f>
        <v>1.4879988310550185</v>
      </c>
      <c r="R4" s="62">
        <f t="shared" si="0"/>
        <v>294.82133216438831</v>
      </c>
      <c r="S4" s="62">
        <f ca="1">AVERAGE(OFFSET($R$3,0,0,'Données projet'!$E$9+1,1))-AVERAGE(OFFSET($H$3,0,0,'Données projet'!$E$9+1,1))</f>
        <v>57.778110971082867</v>
      </c>
      <c r="T4" s="62">
        <f>$T$3</f>
        <v>144.26475989880868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1.0155020926567102</v>
      </c>
      <c r="AK4" s="14">
        <f>EXP(-1.0587+0.8836*LN(AJ4)+0.284)</f>
        <v>0.46714880239274614</v>
      </c>
      <c r="AL4" s="22">
        <f t="shared" ref="AL4:AL67" si="4">(AJ4+AK4)*0.475*44/12</f>
        <v>2.5822836422111366</v>
      </c>
      <c r="AM4" s="62">
        <f t="shared" ref="AM4:AM67" si="5">AL4+(AD4+AE4)*44/12</f>
        <v>295.91561697554442</v>
      </c>
      <c r="AN4" s="62">
        <f ca="1">AVERAGE(OFFSET($AM$3,0,0,'Données projet'!$E$10+1,1))-AVERAGE(OFFSET($H$3,0,0,'Données projet'!$E$10+1,1))</f>
        <v>237.45928008030023</v>
      </c>
      <c r="AO4" s="62">
        <f>$AO$3</f>
        <v>126.78839015508379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2.4933333333333332</v>
      </c>
      <c r="BD4" s="13">
        <f>IF('Données projet'!$A$88&gt;35,BD3+BC4-BL3,IF(A4&lt;'Données projet'!$A$88,$BA$205^A4,IF(A4='Données projet'!$A$88,'Données projet'!$B$88,BD3+BC4-BL3)))</f>
        <v>1.2730870686066207</v>
      </c>
      <c r="BE4" s="14">
        <f>BD4*VLOOKUP('Données projet'!$B$11,Paramètres!$A$1:$I$89,3,0)*VLOOKUP('Données projet'!$B$11,Paramètres!$A$1:$I$89,5,0)</f>
        <v>1.0128680717834275</v>
      </c>
      <c r="BF4" s="14">
        <f>EXP(-1.0587+0.8836*LN(BE4)+0.284)</f>
        <v>0.46607798613582108</v>
      </c>
      <c r="BG4" s="22">
        <f t="shared" ref="BG4:BG67" si="7">(BE4+BF4)*0.475*44/12</f>
        <v>2.5758310508760247</v>
      </c>
      <c r="BH4" s="62">
        <f t="shared" ref="BH4:BH67" si="8">BG4+(AY4+AZ4)*44/12</f>
        <v>295.90916438420936</v>
      </c>
      <c r="BI4" s="62">
        <f ca="1">AVERAGE(OFFSET($BH$3,0,0,'Données projet'!$E$11+1,1))-AVERAGE(OFFSET($H$3,0,0,'Données projet'!$E$11+1,1))</f>
        <v>210.55867376929405</v>
      </c>
      <c r="BJ4" s="62">
        <f>$BJ$3</f>
        <v>249.73837672556022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1.5912000000000002</v>
      </c>
      <c r="D5" s="12">
        <f t="shared" ref="D5:D68" si="32">IFERROR(EXP(-1.0587+0.8836*LN(C5)+0.284),0)</f>
        <v>0.69469803707847433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17.645528707272437</v>
      </c>
      <c r="H5" s="70">
        <f t="shared" si="1"/>
        <v>297.31460574791168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0.34</v>
      </c>
      <c r="N5" s="14">
        <f>IF('Données projet'!$A$36&gt;35,N4+M5-V4,IF(A5&lt;'Données projet'!$A$36,$K$205^A5,IF(A5='Données projet'!$A$36,'Données projet'!$B$36,N4+M5-V4)))</f>
        <v>1.2682651410769996</v>
      </c>
      <c r="O5" s="14">
        <f>N5*VLOOKUP('Données projet'!$B$9,Paramètres!$A$1:$I$89,3,0)*VLOOKUP('Données projet'!$B$9,Paramètres!$A$1:$I$89,5,0)</f>
        <v>0.64498892014611897</v>
      </c>
      <c r="P5" s="14">
        <f t="shared" ref="P5:P68" si="33">EXP(-1.0587+0.8836*LN(O5)+0.284)</f>
        <v>0.31280409991267982</v>
      </c>
      <c r="Q5" s="22">
        <f t="shared" si="2"/>
        <v>1.6681561766024078</v>
      </c>
      <c r="R5" s="62">
        <f t="shared" si="0"/>
        <v>295.00148950993571</v>
      </c>
      <c r="S5" s="62">
        <f ca="1">AVERAGE(OFFSET($R$3,0,0,'Données projet'!$E$9+1,1))-AVERAGE(OFFSET($H$3,0,0,'Données projet'!$E$9+1,1))</f>
        <v>57.778110971082867</v>
      </c>
      <c r="T5" s="62">
        <f t="shared" ref="T5:T68" si="34">$T$3</f>
        <v>144.26475989880868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1.2241743829417828</v>
      </c>
      <c r="AK5" s="14">
        <f t="shared" ref="AK5:AK68" si="35">EXP(-1.0587+0.8836*LN(AJ5)+0.284)</f>
        <v>0.55102384568700224</v>
      </c>
      <c r="AL5" s="22">
        <f t="shared" si="4"/>
        <v>3.0918035815284672</v>
      </c>
      <c r="AM5" s="62">
        <f t="shared" si="5"/>
        <v>296.42513691486181</v>
      </c>
      <c r="AN5" s="62">
        <f ca="1">AVERAGE(OFFSET($AM$3,0,0,'Données projet'!$E$10+1,1))-AVERAGE(OFFSET($H$3,0,0,'Données projet'!$E$10+1,1))</f>
        <v>237.45928008030023</v>
      </c>
      <c r="AO5" s="62">
        <f t="shared" ref="AO5:AO68" si="36">$AO$3</f>
        <v>126.78839015508379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2.4933333333333332</v>
      </c>
      <c r="BD5" s="13">
        <f>IF('Données projet'!$A$88&gt;35,BD4+BC5-BL4,IF(A5&lt;'Données projet'!$A$88,$BA$205^A5,IF(A5='Données projet'!$A$88,'Données projet'!$B$88,BD4+BC5-BL4)))</f>
        <v>1.6207506842533985</v>
      </c>
      <c r="BE5" s="14">
        <f>BD5*VLOOKUP('Données projet'!$B$11,Paramètres!$A$1:$I$89,3,0)*VLOOKUP('Données projet'!$B$11,Paramètres!$A$1:$I$89,5,0)</f>
        <v>1.2894692443920039</v>
      </c>
      <c r="BF5" s="14">
        <f t="shared" ref="BF5:BF68" si="37">EXP(-1.0587+0.8836*LN(BE5)+0.284)</f>
        <v>0.57691418040252707</v>
      </c>
      <c r="BG5" s="22">
        <f t="shared" si="7"/>
        <v>3.2506177981838085</v>
      </c>
      <c r="BH5" s="62">
        <f t="shared" si="8"/>
        <v>296.5839511315171</v>
      </c>
      <c r="BI5" s="62">
        <f ca="1">AVERAGE(OFFSET($BH$3,0,0,'Données projet'!$E$11+1,1))-AVERAGE(OFFSET($H$3,0,0,'Données projet'!$E$11+1,1))</f>
        <v>210.55867376929405</v>
      </c>
      <c r="BJ5" s="62">
        <f t="shared" ref="BJ5:BJ68" si="38">$BJ$3</f>
        <v>249.73837672556022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2.3868</v>
      </c>
      <c r="D6" s="12">
        <f t="shared" si="32"/>
        <v>0.99400898082605293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26.097472834446723</v>
      </c>
      <c r="H6" s="70">
        <f t="shared" si="1"/>
        <v>299.22157564160534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0.34</v>
      </c>
      <c r="N6" s="14">
        <f>IF('Données projet'!$A$36&gt;35,N5+M6-V5,IF(A6&lt;'Données projet'!$A$36,$K$205^A6,IF(A6='Données projet'!$A$36,'Données projet'!$B$36,N5+M6-V5)))</f>
        <v>1.4282856857085702</v>
      </c>
      <c r="O6" s="14">
        <f>N6*VLOOKUP('Données projet'!$B$9,Paramètres!$A$1:$I$89,3,0)*VLOOKUP('Données projet'!$B$9,Paramètres!$A$1:$I$89,5,0)</f>
        <v>0.72636896832395048</v>
      </c>
      <c r="P6" s="14">
        <f t="shared" si="33"/>
        <v>0.34743265839242454</v>
      </c>
      <c r="Q6" s="22">
        <f t="shared" si="2"/>
        <v>1.870204499864353</v>
      </c>
      <c r="R6" s="62">
        <f t="shared" si="0"/>
        <v>295.20353783319769</v>
      </c>
      <c r="S6" s="62">
        <f ca="1">AVERAGE(OFFSET($R$3,0,0,'Données projet'!$E$9+1,1))-AVERAGE(OFFSET($H$3,0,0,'Données projet'!$E$9+1,1))</f>
        <v>57.778110971082867</v>
      </c>
      <c r="T6" s="62">
        <f t="shared" si="34"/>
        <v>144.26475989880868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1.4757260774621526</v>
      </c>
      <c r="AK6" s="14">
        <f t="shared" si="35"/>
        <v>0.64995837934402878</v>
      </c>
      <c r="AL6" s="22">
        <f t="shared" si="4"/>
        <v>3.7022337622707653</v>
      </c>
      <c r="AM6" s="62">
        <f t="shared" si="5"/>
        <v>297.03556709560405</v>
      </c>
      <c r="AN6" s="62">
        <f ca="1">AVERAGE(OFFSET($AM$3,0,0,'Données projet'!$E$10+1,1))-AVERAGE(OFFSET($H$3,0,0,'Données projet'!$E$10+1,1))</f>
        <v>237.45928008030023</v>
      </c>
      <c r="AO6" s="62">
        <f t="shared" si="36"/>
        <v>126.78839015508379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2.4933333333333332</v>
      </c>
      <c r="BD6" s="13">
        <f>IF('Données projet'!$A$88&gt;35,BD5+BC6-BL5,IF(A6&lt;'Données projet'!$A$88,$BA$205^A6,IF(A6='Données projet'!$A$88,'Données projet'!$B$88,BD5+BC6-BL5)))</f>
        <v>2.0633567375583337</v>
      </c>
      <c r="BE6" s="14">
        <f>BD6*VLOOKUP('Données projet'!$B$11,Paramètres!$A$1:$I$89,3,0)*VLOOKUP('Données projet'!$B$11,Paramètres!$A$1:$I$89,5,0)</f>
        <v>1.6416066204014104</v>
      </c>
      <c r="BF6" s="14">
        <f t="shared" si="37"/>
        <v>0.71410789921437878</v>
      </c>
      <c r="BG6" s="22">
        <f t="shared" si="7"/>
        <v>4.1028694549974993</v>
      </c>
      <c r="BH6" s="62">
        <f t="shared" si="8"/>
        <v>297.43620278833083</v>
      </c>
      <c r="BI6" s="62">
        <f ca="1">AVERAGE(OFFSET($BH$3,0,0,'Données projet'!$E$11+1,1))-AVERAGE(OFFSET($H$3,0,0,'Données projet'!$E$11+1,1))</f>
        <v>210.55867376929405</v>
      </c>
      <c r="BJ6" s="62">
        <f t="shared" si="38"/>
        <v>249.73837672556022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3.1824000000000003</v>
      </c>
      <c r="D7" s="12">
        <f t="shared" si="32"/>
        <v>1.2816993849567213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34.459714550543119</v>
      </c>
      <c r="H7" s="70">
        <f t="shared" si="1"/>
        <v>301.10830642879961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0.34</v>
      </c>
      <c r="N7" s="14">
        <f>IF('Données projet'!$A$36&gt;35,N6+M7-V6,IF(A7&lt;'Données projet'!$A$36,$K$205^A7,IF(A7='Données projet'!$A$36,'Données projet'!$B$36,N6+M7-V6)))</f>
        <v>1.6084964680710618</v>
      </c>
      <c r="O7" s="14">
        <f>N7*VLOOKUP('Données projet'!$B$9,Paramètres!$A$1:$I$89,3,0)*VLOOKUP('Données projet'!$B$9,Paramètres!$A$1:$I$89,5,0)</f>
        <v>0.81801696380221933</v>
      </c>
      <c r="P7" s="14">
        <f t="shared" si="33"/>
        <v>0.38589472500943456</v>
      </c>
      <c r="Q7" s="22">
        <f t="shared" si="2"/>
        <v>2.0968128580136303</v>
      </c>
      <c r="R7" s="62">
        <f t="shared" si="0"/>
        <v>295.43014619134692</v>
      </c>
      <c r="S7" s="62">
        <f ca="1">AVERAGE(OFFSET($R$3,0,0,'Données projet'!$E$9+1,1))-AVERAGE(OFFSET($H$3,0,0,'Données projet'!$E$9+1,1))</f>
        <v>57.778110971082867</v>
      </c>
      <c r="T7" s="62">
        <f t="shared" si="34"/>
        <v>144.26475989880868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1.7789683284079942</v>
      </c>
      <c r="AK7" s="14">
        <f t="shared" si="35"/>
        <v>0.76665628572357314</v>
      </c>
      <c r="AL7" s="22">
        <f t="shared" si="4"/>
        <v>4.4336295362791462</v>
      </c>
      <c r="AM7" s="62">
        <f t="shared" si="5"/>
        <v>297.76696286961248</v>
      </c>
      <c r="AN7" s="62">
        <f ca="1">AVERAGE(OFFSET($AM$3,0,0,'Données projet'!$E$10+1,1))-AVERAGE(OFFSET($H$3,0,0,'Données projet'!$E$10+1,1))</f>
        <v>237.45928008030023</v>
      </c>
      <c r="AO7" s="62">
        <f t="shared" si="36"/>
        <v>126.78839015508379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2.4933333333333332</v>
      </c>
      <c r="BD7" s="13">
        <f>IF('Données projet'!$A$88&gt;35,BD6+BC7-BL6,IF(A7&lt;'Données projet'!$A$88,$BA$205^A7,IF(A7='Données projet'!$A$88,'Données projet'!$B$88,BD6+BC7-BL6)))</f>
        <v>2.6268327805078595</v>
      </c>
      <c r="BE7" s="14">
        <f>BD7*VLOOKUP('Données projet'!$B$11,Paramètres!$A$1:$I$89,3,0)*VLOOKUP('Données projet'!$B$11,Paramètres!$A$1:$I$89,5,0)</f>
        <v>2.0899081601720533</v>
      </c>
      <c r="BF7" s="14">
        <f t="shared" si="37"/>
        <v>0.88392712303339283</v>
      </c>
      <c r="BG7" s="22">
        <f t="shared" si="7"/>
        <v>5.1794297849161515</v>
      </c>
      <c r="BH7" s="62">
        <f t="shared" si="8"/>
        <v>298.51276311824944</v>
      </c>
      <c r="BI7" s="62">
        <f ca="1">AVERAGE(OFFSET($BH$3,0,0,'Données projet'!$E$11+1,1))-AVERAGE(OFFSET($H$3,0,0,'Données projet'!$E$11+1,1))</f>
        <v>210.55867376929405</v>
      </c>
      <c r="BJ7" s="62">
        <f t="shared" si="38"/>
        <v>249.73837672556022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3.9780000000000006</v>
      </c>
      <c r="D8" s="12">
        <f t="shared" si="32"/>
        <v>1.5610465845195003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42.757552582255805</v>
      </c>
      <c r="H8" s="70">
        <f t="shared" si="1"/>
        <v>302.9805061347048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0.34</v>
      </c>
      <c r="N8" s="14">
        <f>IF('Données projet'!$A$36&gt;35,N7+M8-V7,IF(A8&lt;'Données projet'!$A$36,$K$205^A8,IF(A8='Données projet'!$A$36,'Données projet'!$B$36,N7+M8-V7)))</f>
        <v>1.811444946683439</v>
      </c>
      <c r="O8" s="14">
        <f>N8*VLOOKUP('Données projet'!$B$9,Paramètres!$A$1:$I$89,3,0)*VLOOKUP('Données projet'!$B$9,Paramètres!$A$1:$I$89,5,0)</f>
        <v>0.92122844208532984</v>
      </c>
      <c r="P8" s="14">
        <f t="shared" si="33"/>
        <v>0.42861468314215911</v>
      </c>
      <c r="Q8" s="22">
        <f t="shared" si="2"/>
        <v>2.3509767764378764</v>
      </c>
      <c r="R8" s="62">
        <f t="shared" si="0"/>
        <v>295.68431010977122</v>
      </c>
      <c r="S8" s="62">
        <f ca="1">AVERAGE(OFFSET($R$3,0,0,'Données projet'!$E$9+1,1))-AVERAGE(OFFSET($H$3,0,0,'Données projet'!$E$9+1,1))</f>
        <v>57.778110971082867</v>
      </c>
      <c r="T8" s="62">
        <f t="shared" si="34"/>
        <v>144.26475989880868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2.1445228635663907</v>
      </c>
      <c r="AK8" s="14">
        <f t="shared" si="35"/>
        <v>0.90430692044106609</v>
      </c>
      <c r="AL8" s="22">
        <f t="shared" si="4"/>
        <v>5.3100452071463202</v>
      </c>
      <c r="AM8" s="62">
        <f t="shared" si="5"/>
        <v>298.64337854047966</v>
      </c>
      <c r="AN8" s="62">
        <f ca="1">AVERAGE(OFFSET($AM$3,0,0,'Données projet'!$E$10+1,1))-AVERAGE(OFFSET($H$3,0,0,'Données projet'!$E$10+1,1))</f>
        <v>237.45928008030023</v>
      </c>
      <c r="AO8" s="62">
        <f t="shared" si="36"/>
        <v>126.78839015508379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2.4933333333333332</v>
      </c>
      <c r="BD8" s="13">
        <f>IF('Données projet'!$A$88&gt;35,BD7+BC8-BL7,IF(A8&lt;'Données projet'!$A$88,$BA$205^A8,IF(A8='Données projet'!$A$88,'Données projet'!$B$88,BD7+BC8-BL7)))</f>
        <v>3.3441868442565297</v>
      </c>
      <c r="BE8" s="14">
        <f>BD8*VLOOKUP('Données projet'!$B$11,Paramètres!$A$1:$I$89,3,0)*VLOOKUP('Données projet'!$B$11,Paramètres!$A$1:$I$89,5,0)</f>
        <v>2.6606350532904952</v>
      </c>
      <c r="BF8" s="14">
        <f t="shared" si="37"/>
        <v>1.0941303963920053</v>
      </c>
      <c r="BG8" s="22">
        <f t="shared" si="7"/>
        <v>6.5395498248636885</v>
      </c>
      <c r="BH8" s="62">
        <f t="shared" si="8"/>
        <v>299.872883158197</v>
      </c>
      <c r="BI8" s="62">
        <f ca="1">AVERAGE(OFFSET($BH$3,0,0,'Données projet'!$E$11+1,1))-AVERAGE(OFFSET($H$3,0,0,'Données projet'!$E$11+1,1))</f>
        <v>210.55867376929405</v>
      </c>
      <c r="BJ8" s="62">
        <f t="shared" si="38"/>
        <v>249.73837672556022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4.773600000000001</v>
      </c>
      <c r="D9" s="12">
        <f t="shared" si="32"/>
        <v>1.8339201082589129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51.005418379542498</v>
      </c>
      <c r="H9" s="70">
        <f t="shared" si="1"/>
        <v>304.8414308552176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>
        <f>VLOOKUP(A9,'Données projet'!$A$35:$I$55,2,0)</f>
        <v>2.04</v>
      </c>
      <c r="L9" s="13">
        <f>VLOOKUP(A9,'Données projet'!$A$35:$I$55,9,0)</f>
        <v>0.34</v>
      </c>
      <c r="M9" s="13">
        <f t="array" ref="M9">INDEX(L:L,MIN(IF(ISNUMBER(L9:L205),ROW(L9:L205),"")))</f>
        <v>0.34</v>
      </c>
      <c r="N9" s="14">
        <f>IF('Données projet'!$A$36&gt;35,N8+M9-V8,IF(A9&lt;'Données projet'!$A$36,$K$205^A9,IF(A9='Données projet'!$A$36,'Données projet'!$B$36,N8+M9-V8)))</f>
        <v>2.04</v>
      </c>
      <c r="O9" s="14">
        <f>N9*VLOOKUP('Données projet'!$B$9,Paramètres!$A$1:$I$89,3,0)*VLOOKUP('Données projet'!$B$9,Paramètres!$A$1:$I$89,5,0)</f>
        <v>1.0374624000000001</v>
      </c>
      <c r="P9" s="14">
        <f t="shared" si="33"/>
        <v>0.47606389696195495</v>
      </c>
      <c r="Q9" s="22">
        <f t="shared" si="2"/>
        <v>2.6360583005420719</v>
      </c>
      <c r="R9" s="62">
        <f t="shared" si="0"/>
        <v>295.96939163387538</v>
      </c>
      <c r="S9" s="62">
        <f ca="1">AVERAGE(OFFSET($R$3,0,0,'Données projet'!$E$9+1,1))-AVERAGE(OFFSET($H$3,0,0,'Données projet'!$E$9+1,1))</f>
        <v>57.778110971082867</v>
      </c>
      <c r="T9" s="62">
        <f t="shared" si="34"/>
        <v>144.26475989880868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2.5851940357334171</v>
      </c>
      <c r="AK9" s="14">
        <f t="shared" si="35"/>
        <v>1.0666722775067177</v>
      </c>
      <c r="AL9" s="22">
        <f t="shared" si="4"/>
        <v>6.3603338288932347</v>
      </c>
      <c r="AM9" s="62">
        <f t="shared" si="5"/>
        <v>299.69366716222657</v>
      </c>
      <c r="AN9" s="62">
        <f ca="1">AVERAGE(OFFSET($AM$3,0,0,'Données projet'!$E$10+1,1))-AVERAGE(OFFSET($H$3,0,0,'Données projet'!$E$10+1,1))</f>
        <v>237.45928008030023</v>
      </c>
      <c r="AO9" s="62">
        <f t="shared" si="36"/>
        <v>126.78839015508379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2.4933333333333332</v>
      </c>
      <c r="BD9" s="13">
        <f>IF('Données projet'!$A$88&gt;35,BD8+BC9-BL8,IF(A9&lt;'Données projet'!$A$88,$BA$205^A9,IF(A9='Données projet'!$A$88,'Données projet'!$B$88,BD8+BC9-BL8)))</f>
        <v>4.2574410264273705</v>
      </c>
      <c r="BE9" s="14">
        <f>BD9*VLOOKUP('Données projet'!$B$11,Paramètres!$A$1:$I$89,3,0)*VLOOKUP('Données projet'!$B$11,Paramètres!$A$1:$I$89,5,0)</f>
        <v>3.3872200806256161</v>
      </c>
      <c r="BF9" s="14">
        <f t="shared" si="37"/>
        <v>1.3543212931409303</v>
      </c>
      <c r="BG9" s="22">
        <f t="shared" si="7"/>
        <v>8.2581845593100685</v>
      </c>
      <c r="BH9" s="62">
        <f t="shared" si="8"/>
        <v>301.59151789264337</v>
      </c>
      <c r="BI9" s="62">
        <f ca="1">AVERAGE(OFFSET($BH$3,0,0,'Données projet'!$E$11+1,1))-AVERAGE(OFFSET($H$3,0,0,'Données projet'!$E$11+1,1))</f>
        <v>210.55867376929405</v>
      </c>
      <c r="BJ9" s="62">
        <f t="shared" si="38"/>
        <v>249.73837672556022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5.5692000000000013</v>
      </c>
      <c r="D10" s="12">
        <f t="shared" si="32"/>
        <v>2.1015251690701686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59.212615340190787</v>
      </c>
      <c r="H10" s="70">
        <f t="shared" si="1"/>
        <v>306.69317966946386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>
        <f>VLOOKUP(A10,'Données projet'!$A$35:$I$55,2,0)</f>
        <v>20.399999999999999</v>
      </c>
      <c r="L10" s="13">
        <f>VLOOKUP(A10,'Données projet'!$A$35:$I$55,9,0)</f>
        <v>18.36</v>
      </c>
      <c r="M10" s="13">
        <f t="array" ref="M10">INDEX(L:L,MIN(IF(ISNUMBER(L10:L206),ROW(L10:L206),"")))</f>
        <v>18.36</v>
      </c>
      <c r="N10" s="14">
        <f>IF('Données projet'!$A$36&gt;35,N9+M10-V9,IF(A10&lt;'Données projet'!$A$36,$K$205^A10,IF(A10='Données projet'!$A$36,'Données projet'!$B$36,N9+M10-V9)))</f>
        <v>20.399999999999999</v>
      </c>
      <c r="O10" s="14">
        <f>N10*VLOOKUP('Données projet'!$B$9,Paramètres!$A$1:$I$89,3,0)*VLOOKUP('Données projet'!$B$9,Paramètres!$A$1:$I$89,5,0)</f>
        <v>10.374623999999999</v>
      </c>
      <c r="P10" s="14">
        <f t="shared" si="33"/>
        <v>3.6413736678103574</v>
      </c>
      <c r="Q10" s="22">
        <f t="shared" si="2"/>
        <v>24.411195938103038</v>
      </c>
      <c r="R10" s="62">
        <f t="shared" si="0"/>
        <v>317.74452927143636</v>
      </c>
      <c r="S10" s="62">
        <f ca="1">AVERAGE(OFFSET($R$3,0,0,'Données projet'!$E$9+1,1))-AVERAGE(OFFSET($H$3,0,0,'Données projet'!$E$9+1,1))</f>
        <v>57.778110971082867</v>
      </c>
      <c r="T10" s="62">
        <f t="shared" si="34"/>
        <v>144.26475989880868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3.1164173233748005</v>
      </c>
      <c r="AK10" s="14">
        <f t="shared" si="35"/>
        <v>1.2581898046809412</v>
      </c>
      <c r="AL10" s="22">
        <f t="shared" si="4"/>
        <v>7.6191074146970825</v>
      </c>
      <c r="AM10" s="62">
        <f t="shared" si="5"/>
        <v>300.95244074803037</v>
      </c>
      <c r="AN10" s="62">
        <f ca="1">AVERAGE(OFFSET($AM$3,0,0,'Données projet'!$E$10+1,1))-AVERAGE(OFFSET($H$3,0,0,'Données projet'!$E$10+1,1))</f>
        <v>237.45928008030023</v>
      </c>
      <c r="AO10" s="62">
        <f t="shared" si="36"/>
        <v>126.78839015508379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2.4933333333333332</v>
      </c>
      <c r="BD10" s="13">
        <f>IF('Données projet'!$A$88&gt;35,BD9+BC10-BL9,IF(A10&lt;'Données projet'!$A$88,$BA$205^A10,IF(A10='Données projet'!$A$88,'Données projet'!$B$88,BD9+BC10-BL9)))</f>
        <v>5.4200931160999835</v>
      </c>
      <c r="BE10" s="14">
        <f>BD10*VLOOKUP('Données projet'!$B$11,Paramètres!$A$1:$I$89,3,0)*VLOOKUP('Données projet'!$B$11,Paramètres!$A$1:$I$89,5,0)</f>
        <v>4.312226083169147</v>
      </c>
      <c r="BF10" s="14">
        <f t="shared" si="37"/>
        <v>1.6763871756998234</v>
      </c>
      <c r="BG10" s="22">
        <f t="shared" si="7"/>
        <v>10.430168092530124</v>
      </c>
      <c r="BH10" s="62">
        <f t="shared" si="8"/>
        <v>303.76350142586341</v>
      </c>
      <c r="BI10" s="62">
        <f ca="1">AVERAGE(OFFSET($BH$3,0,0,'Données projet'!$E$11+1,1))-AVERAGE(OFFSET($H$3,0,0,'Données projet'!$E$11+1,1))</f>
        <v>210.55867376929405</v>
      </c>
      <c r="BJ10" s="62">
        <f t="shared" si="38"/>
        <v>249.73837672556022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6.3648000000000016</v>
      </c>
      <c r="D11" s="12">
        <f t="shared" si="32"/>
        <v>2.3647012453165597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67.38562364805766</v>
      </c>
      <c r="H11" s="70">
        <f t="shared" si="1"/>
        <v>308.53721466892631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>
        <f>VLOOKUP(A11,'Données projet'!$A$35:$I$55,2,0)</f>
        <v>38.76</v>
      </c>
      <c r="L11" s="13">
        <f>VLOOKUP(A11,'Données projet'!$A$35:$I$55,9,0)</f>
        <v>18.36</v>
      </c>
      <c r="M11" s="13">
        <f t="array" ref="M11">INDEX(L:L,MIN(IF(ISNUMBER(L11:L207),ROW(L11:L207),"")))</f>
        <v>18.36</v>
      </c>
      <c r="N11" s="14">
        <f>IF('Données projet'!$A$36&gt;35,N10+M11-V10,IF(A11&lt;'Données projet'!$A$36,$K$205^A11,IF(A11='Données projet'!$A$36,'Données projet'!$B$36,N10+M11-V10)))</f>
        <v>38.76</v>
      </c>
      <c r="O11" s="14">
        <f>N11*VLOOKUP('Données projet'!$B$9,Paramètres!$A$1:$I$89,3,0)*VLOOKUP('Données projet'!$B$9,Paramètres!$A$1:$I$89,5,0)</f>
        <v>19.711785599999999</v>
      </c>
      <c r="P11" s="14">
        <f t="shared" si="33"/>
        <v>6.4205455167395504</v>
      </c>
      <c r="Q11" s="22">
        <f t="shared" si="2"/>
        <v>45.51381002832138</v>
      </c>
      <c r="R11" s="62">
        <f t="shared" si="0"/>
        <v>338.84714336165467</v>
      </c>
      <c r="S11" s="62">
        <f ca="1">AVERAGE(OFFSET($R$3,0,0,'Données projet'!$E$9+1,1))-AVERAGE(OFFSET($H$3,0,0,'Données projet'!$E$9+1,1))</f>
        <v>57.778110971082867</v>
      </c>
      <c r="T11" s="62">
        <f t="shared" si="34"/>
        <v>144.26475989880868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3.7567999922587045</v>
      </c>
      <c r="AK11" s="14">
        <f t="shared" si="35"/>
        <v>1.4840936789913857</v>
      </c>
      <c r="AL11" s="22">
        <f t="shared" si="4"/>
        <v>9.127889810760573</v>
      </c>
      <c r="AM11" s="62">
        <f t="shared" si="5"/>
        <v>302.46122314409388</v>
      </c>
      <c r="AN11" s="62">
        <f ca="1">AVERAGE(OFFSET($AM$3,0,0,'Données projet'!$E$10+1,1))-AVERAGE(OFFSET($H$3,0,0,'Données projet'!$E$10+1,1))</f>
        <v>237.45928008030023</v>
      </c>
      <c r="AO11" s="62">
        <f t="shared" si="36"/>
        <v>126.78839015508379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2.4933333333333332</v>
      </c>
      <c r="BD11" s="13">
        <f>IF('Données projet'!$A$88&gt;35,BD10+BC11-BL10,IF(A11&lt;'Données projet'!$A$88,$BA$205^A11,IF(A11='Données projet'!$A$88,'Données projet'!$B$88,BD10+BC11-BL10)))</f>
        <v>6.9002504567506522</v>
      </c>
      <c r="BE11" s="14">
        <f>BD11*VLOOKUP('Données projet'!$B$11,Paramètres!$A$1:$I$89,3,0)*VLOOKUP('Données projet'!$B$11,Paramètres!$A$1:$I$89,5,0)</f>
        <v>5.4898392633908193</v>
      </c>
      <c r="BF11" s="14">
        <f t="shared" si="37"/>
        <v>2.0750422939399171</v>
      </c>
      <c r="BG11" s="22">
        <f t="shared" si="7"/>
        <v>13.175502045684366</v>
      </c>
      <c r="BH11" s="62">
        <f t="shared" si="8"/>
        <v>306.50883537901768</v>
      </c>
      <c r="BI11" s="62">
        <f ca="1">AVERAGE(OFFSET($BH$3,0,0,'Données projet'!$E$11+1,1))-AVERAGE(OFFSET($H$3,0,0,'Données projet'!$E$11+1,1))</f>
        <v>210.55867376929405</v>
      </c>
      <c r="BJ11" s="62">
        <f t="shared" si="38"/>
        <v>249.73837672556022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7.1604000000000019</v>
      </c>
      <c r="D12" s="12">
        <f t="shared" si="32"/>
        <v>2.6240653642741258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75.529206320712561</v>
      </c>
      <c r="H12" s="70">
        <f t="shared" si="1"/>
        <v>310.3746105094441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>
        <f>VLOOKUP(A12,'Données projet'!$A$35:$I$55,2,0)</f>
        <v>57.12</v>
      </c>
      <c r="L12" s="13">
        <f>VLOOKUP(A12,'Données projet'!$A$35:$I$55,9,0)</f>
        <v>18.36</v>
      </c>
      <c r="M12" s="13">
        <f t="array" ref="M12">INDEX(L:L,MIN(IF(ISNUMBER(L12:L208),ROW(L12:L208),"")))</f>
        <v>18.36</v>
      </c>
      <c r="N12" s="14">
        <f>IF('Données projet'!$A$36&gt;35,N11+M12-V11,IF(A12&lt;'Données projet'!$A$36,$K$205^A12,IF(A12='Données projet'!$A$36,'Données projet'!$B$36,N11+M12-V11)))</f>
        <v>57.12</v>
      </c>
      <c r="O12" s="14">
        <f>N12*VLOOKUP('Données projet'!$B$9,Paramètres!$A$1:$I$89,3,0)*VLOOKUP('Données projet'!$B$9,Paramètres!$A$1:$I$89,5,0)</f>
        <v>29.048947200000004</v>
      </c>
      <c r="P12" s="14">
        <f t="shared" si="33"/>
        <v>9.0442817641530073</v>
      </c>
      <c r="Q12" s="22">
        <f t="shared" si="2"/>
        <v>66.345707112566487</v>
      </c>
      <c r="R12" s="62">
        <f t="shared" si="0"/>
        <v>359.67904044589977</v>
      </c>
      <c r="S12" s="62">
        <f ca="1">AVERAGE(OFFSET($R$3,0,0,'Données projet'!$E$9+1,1))-AVERAGE(OFFSET($H$3,0,0,'Données projet'!$E$9+1,1))</f>
        <v>57.778110971082867</v>
      </c>
      <c r="T12" s="62">
        <f t="shared" si="34"/>
        <v>144.26475989880868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4.5287728559252471</v>
      </c>
      <c r="AK12" s="14">
        <f t="shared" si="35"/>
        <v>1.7505578568733651</v>
      </c>
      <c r="AL12" s="22">
        <f t="shared" si="4"/>
        <v>10.93650099145758</v>
      </c>
      <c r="AM12" s="62">
        <f t="shared" si="5"/>
        <v>304.26983432479091</v>
      </c>
      <c r="AN12" s="62">
        <f ca="1">AVERAGE(OFFSET($AM$3,0,0,'Données projet'!$E$10+1,1))-AVERAGE(OFFSET($H$3,0,0,'Données projet'!$E$10+1,1))</f>
        <v>237.45928008030023</v>
      </c>
      <c r="AO12" s="62">
        <f t="shared" si="36"/>
        <v>126.78839015508379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2.4933333333333332</v>
      </c>
      <c r="BD12" s="13">
        <f>IF('Données projet'!$A$88&gt;35,BD11+BC12-BL11,IF(A12&lt;'Données projet'!$A$88,$BA$205^A12,IF(A12='Données projet'!$A$88,'Données projet'!$B$88,BD11+BC12-BL11)))</f>
        <v>8.784619626636184</v>
      </c>
      <c r="BE12" s="14">
        <f>BD12*VLOOKUP('Données projet'!$B$11,Paramètres!$A$1:$I$89,3,0)*VLOOKUP('Données projet'!$B$11,Paramètres!$A$1:$I$89,5,0)</f>
        <v>6.9890433749517484</v>
      </c>
      <c r="BF12" s="14">
        <f t="shared" si="37"/>
        <v>2.5685000363009434</v>
      </c>
      <c r="BG12" s="22">
        <f t="shared" si="7"/>
        <v>16.646054774598436</v>
      </c>
      <c r="BH12" s="62">
        <f t="shared" si="8"/>
        <v>309.97938810793175</v>
      </c>
      <c r="BI12" s="62">
        <f ca="1">AVERAGE(OFFSET($BH$3,0,0,'Données projet'!$E$11+1,1))-AVERAGE(OFFSET($H$3,0,0,'Données projet'!$E$11+1,1))</f>
        <v>210.55867376929405</v>
      </c>
      <c r="BJ12" s="62">
        <f t="shared" si="38"/>
        <v>249.73837672556022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7.9560000000000022</v>
      </c>
      <c r="D13" s="12">
        <f t="shared" si="32"/>
        <v>2.8800893920496589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83.64700583336581</v>
      </c>
      <c r="H13" s="70">
        <f t="shared" si="1"/>
        <v>312.20618902448649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>
        <f>VLOOKUP(A13,'Données projet'!$A$35:$I$55,2,0)</f>
        <v>75.48</v>
      </c>
      <c r="L13" s="13">
        <f>VLOOKUP(A13,'Données projet'!$A$35:$I$55,9,0)</f>
        <v>18.360000000000007</v>
      </c>
      <c r="M13" s="13">
        <f t="array" ref="M13">INDEX(L:L,MIN(IF(ISNUMBER(L13:L209),ROW(L13:L209),"")))</f>
        <v>18.360000000000007</v>
      </c>
      <c r="N13" s="14">
        <f>IF('Données projet'!$A$36&gt;35,N12+M13-V12,IF(A13&lt;'Données projet'!$A$36,$K$205^A13,IF(A13='Données projet'!$A$36,'Données projet'!$B$36,N12+M13-V12)))</f>
        <v>75.48</v>
      </c>
      <c r="O13" s="14">
        <f>N13*VLOOKUP('Données projet'!$B$9,Paramètres!$A$1:$I$89,3,0)*VLOOKUP('Données projet'!$B$9,Paramètres!$A$1:$I$89,5,0)</f>
        <v>38.386108800000002</v>
      </c>
      <c r="P13" s="14">
        <f t="shared" si="33"/>
        <v>11.569864978449859</v>
      </c>
      <c r="Q13" s="22">
        <f t="shared" si="2"/>
        <v>87.006654330800174</v>
      </c>
      <c r="R13" s="62">
        <f t="shared" si="0"/>
        <v>380.3399876641335</v>
      </c>
      <c r="S13" s="62">
        <f ca="1">AVERAGE(OFFSET($R$3,0,0,'Données projet'!$E$9+1,1))-AVERAGE(OFFSET($H$3,0,0,'Données projet'!$E$9+1,1))</f>
        <v>57.778110971082867</v>
      </c>
      <c r="T13" s="62">
        <f t="shared" si="34"/>
        <v>144.26475989880868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5.4593759643387862</v>
      </c>
      <c r="AK13" s="14">
        <f t="shared" si="35"/>
        <v>2.0648648084962673</v>
      </c>
      <c r="AL13" s="22">
        <f t="shared" si="4"/>
        <v>13.104719346021051</v>
      </c>
      <c r="AM13" s="62">
        <f t="shared" si="5"/>
        <v>306.43805267935437</v>
      </c>
      <c r="AN13" s="62">
        <f ca="1">AVERAGE(OFFSET($AM$3,0,0,'Données projet'!$E$10+1,1))-AVERAGE(OFFSET($H$3,0,0,'Données projet'!$E$10+1,1))</f>
        <v>237.45928008030023</v>
      </c>
      <c r="AO13" s="62">
        <f t="shared" si="36"/>
        <v>126.78839015508379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2.4933333333333332</v>
      </c>
      <c r="BD13" s="13">
        <f>IF('Données projet'!$A$88&gt;35,BD12+BC13-BL12,IF(A13&lt;'Données projet'!$A$88,$BA$205^A13,IF(A13='Données projet'!$A$88,'Données projet'!$B$88,BD12+BC13-BL12)))</f>
        <v>11.183585649298445</v>
      </c>
      <c r="BE13" s="14">
        <f>BD13*VLOOKUP('Données projet'!$B$11,Paramètres!$A$1:$I$89,3,0)*VLOOKUP('Données projet'!$B$11,Paramètres!$A$1:$I$89,5,0)</f>
        <v>8.8976607425818433</v>
      </c>
      <c r="BF13" s="14">
        <f t="shared" si="37"/>
        <v>3.1793050463331762</v>
      </c>
      <c r="BG13" s="22">
        <f t="shared" si="7"/>
        <v>21.03404874902699</v>
      </c>
      <c r="BH13" s="62">
        <f t="shared" si="8"/>
        <v>314.36738208236028</v>
      </c>
      <c r="BI13" s="62">
        <f ca="1">AVERAGE(OFFSET($BH$3,0,0,'Données projet'!$E$11+1,1))-AVERAGE(OFFSET($H$3,0,0,'Données projet'!$E$11+1,1))</f>
        <v>210.55867376929405</v>
      </c>
      <c r="BJ13" s="62">
        <f t="shared" si="38"/>
        <v>249.73837672556022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8.7516000000000016</v>
      </c>
      <c r="D14" s="12">
        <f t="shared" si="32"/>
        <v>3.1331453604025001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91.741894010124568</v>
      </c>
      <c r="H14" s="70">
        <f t="shared" si="1"/>
        <v>314.03259816936765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>
        <f>VLOOKUP(A14,'Données projet'!$A$35:$I$55,2,0)</f>
        <v>91.8</v>
      </c>
      <c r="L14" s="13">
        <f>VLOOKUP(A14,'Données projet'!$A$35:$I$55,9,0)</f>
        <v>16.319999999999993</v>
      </c>
      <c r="M14" s="13">
        <f t="array" ref="M14">INDEX(L:L,MIN(IF(ISNUMBER(L14:L210),ROW(L14:L210),"")))</f>
        <v>16.319999999999993</v>
      </c>
      <c r="N14" s="14">
        <f>IF('Données projet'!$A$36&gt;35,N13+M14-V13,IF(A14&lt;'Données projet'!$A$36,$K$205^A14,IF(A14='Données projet'!$A$36,'Données projet'!$B$36,N13+M14-V13)))</f>
        <v>91.8</v>
      </c>
      <c r="O14" s="14">
        <f>N14*VLOOKUP('Données projet'!$B$9,Paramètres!$A$1:$I$89,3,0)*VLOOKUP('Données projet'!$B$9,Paramètres!$A$1:$I$89,5,0)</f>
        <v>46.685808000000002</v>
      </c>
      <c r="P14" s="14">
        <f t="shared" si="33"/>
        <v>13.754468862853029</v>
      </c>
      <c r="Q14" s="22">
        <f t="shared" si="2"/>
        <v>105.2668155361357</v>
      </c>
      <c r="R14" s="62">
        <f t="shared" si="0"/>
        <v>398.60014886946902</v>
      </c>
      <c r="S14" s="62">
        <f ca="1">AVERAGE(OFFSET($R$3,0,0,'Données projet'!$E$9+1,1))-AVERAGE(OFFSET($H$3,0,0,'Données projet'!$E$9+1,1))</f>
        <v>57.778110971082867</v>
      </c>
      <c r="T14" s="62">
        <f t="shared" si="34"/>
        <v>144.26475989880868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6.5812057411986977</v>
      </c>
      <c r="AK14" s="14">
        <f t="shared" si="35"/>
        <v>2.4356045477877388</v>
      </c>
      <c r="AL14" s="22">
        <f t="shared" si="4"/>
        <v>15.70427791998471</v>
      </c>
      <c r="AM14" s="62">
        <f t="shared" si="5"/>
        <v>309.037611253318</v>
      </c>
      <c r="AN14" s="62">
        <f ca="1">AVERAGE(OFFSET($AM$3,0,0,'Données projet'!$E$10+1,1))-AVERAGE(OFFSET($H$3,0,0,'Données projet'!$E$10+1,1))</f>
        <v>237.45928008030023</v>
      </c>
      <c r="AO14" s="62">
        <f t="shared" si="36"/>
        <v>126.78839015508379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2.4933333333333332</v>
      </c>
      <c r="BD14" s="13">
        <f>IF('Données projet'!$A$88&gt;35,BD13+BC14-BL13,IF(A14&lt;'Données projet'!$A$88,$BA$205^A14,IF(A14='Données projet'!$A$88,'Données projet'!$B$88,BD13+BC14-BL13)))</f>
        <v>14.237678270776428</v>
      </c>
      <c r="BE14" s="14">
        <f>BD14*VLOOKUP('Données projet'!$B$11,Paramètres!$A$1:$I$89,3,0)*VLOOKUP('Données projet'!$B$11,Paramètres!$A$1:$I$89,5,0)</f>
        <v>11.327496832229725</v>
      </c>
      <c r="BF14" s="14">
        <f t="shared" si="37"/>
        <v>3.9353632216399443</v>
      </c>
      <c r="BG14" s="22">
        <f t="shared" si="7"/>
        <v>26.582814593823006</v>
      </c>
      <c r="BH14" s="62">
        <f t="shared" si="8"/>
        <v>319.91614792715632</v>
      </c>
      <c r="BI14" s="62">
        <f ca="1">AVERAGE(OFFSET($BH$3,0,0,'Données projet'!$E$11+1,1))-AVERAGE(OFFSET($H$3,0,0,'Données projet'!$E$11+1,1))</f>
        <v>210.55867376929405</v>
      </c>
      <c r="BJ14" s="62">
        <f t="shared" si="38"/>
        <v>249.73837672556022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9.5472000000000019</v>
      </c>
      <c r="D15" s="12">
        <f t="shared" si="32"/>
        <v>3.3835337792234061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99.816190576461395</v>
      </c>
      <c r="H15" s="70">
        <f t="shared" si="1"/>
        <v>315.85436133214739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106.08</v>
      </c>
      <c r="L15" s="13">
        <f>VLOOKUP(A15,'Données projet'!$A$35:$I$55,9,0)</f>
        <v>14.280000000000001</v>
      </c>
      <c r="M15" s="13">
        <f t="array" ref="M15">INDEX(L:L,MIN(IF(ISNUMBER(L15:L211),ROW(L15:L211),"")))</f>
        <v>14.280000000000001</v>
      </c>
      <c r="N15" s="14">
        <f>IF('Données projet'!$A$36&gt;35,N14+M15-V14,IF(A15&lt;'Données projet'!$A$36,$K$205^A15,IF(A15='Données projet'!$A$36,'Données projet'!$B$36,N14+M15-V14)))</f>
        <v>106.08</v>
      </c>
      <c r="O15" s="14">
        <f>N15*VLOOKUP('Données projet'!$B$9,Paramètres!$A$1:$I$89,3,0)*VLOOKUP('Données projet'!$B$9,Paramètres!$A$1:$I$89,5,0)</f>
        <v>53.948044799999998</v>
      </c>
      <c r="P15" s="14">
        <f t="shared" si="33"/>
        <v>15.628806052093029</v>
      </c>
      <c r="Q15" s="22">
        <f t="shared" si="2"/>
        <v>121.17968190072868</v>
      </c>
      <c r="R15" s="62">
        <f t="shared" si="0"/>
        <v>414.51301523406198</v>
      </c>
      <c r="S15" s="62">
        <f ca="1">AVERAGE(OFFSET($R$3,0,0,'Données projet'!$E$9+1,1))-AVERAGE(OFFSET($H$3,0,0,'Données projet'!$E$9+1,1))</f>
        <v>57.778110971082867</v>
      </c>
      <c r="T15" s="62">
        <f t="shared" si="34"/>
        <v>144.26475989880868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7.9335567454791462</v>
      </c>
      <c r="AK15" s="14">
        <f t="shared" si="35"/>
        <v>2.8729093976493338</v>
      </c>
      <c r="AL15" s="22">
        <f t="shared" si="4"/>
        <v>18.82126186594877</v>
      </c>
      <c r="AM15" s="62">
        <f t="shared" si="5"/>
        <v>312.15459519928208</v>
      </c>
      <c r="AN15" s="62">
        <f ca="1">AVERAGE(OFFSET($AM$3,0,0,'Données projet'!$E$10+1,1))-AVERAGE(OFFSET($H$3,0,0,'Données projet'!$E$10+1,1))</f>
        <v>237.45928008030023</v>
      </c>
      <c r="AO15" s="62">
        <f t="shared" si="36"/>
        <v>126.78839015508379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2.4933333333333332</v>
      </c>
      <c r="BD15" s="13">
        <f>IF('Données projet'!$A$88&gt;35,BD14+BC15-BL14,IF(A15&lt;'Données projet'!$A$88,$BA$205^A15,IF(A15='Données projet'!$A$88,'Données projet'!$B$88,BD14+BC15-BL14)))</f>
        <v>18.125804093506943</v>
      </c>
      <c r="BE15" s="14">
        <f>BD15*VLOOKUP('Données projet'!$B$11,Paramètres!$A$1:$I$89,3,0)*VLOOKUP('Données projet'!$B$11,Paramètres!$A$1:$I$89,5,0)</f>
        <v>14.420889736794125</v>
      </c>
      <c r="BF15" s="14">
        <f t="shared" si="37"/>
        <v>4.8712166528651375</v>
      </c>
      <c r="BG15" s="22">
        <f t="shared" si="7"/>
        <v>33.600418628656548</v>
      </c>
      <c r="BH15" s="62">
        <f t="shared" si="8"/>
        <v>326.93375196198986</v>
      </c>
      <c r="BI15" s="62">
        <f ca="1">AVERAGE(OFFSET($BH$3,0,0,'Données projet'!$E$11+1,1))-AVERAGE(OFFSET($H$3,0,0,'Données projet'!$E$11+1,1))</f>
        <v>210.55867376929405</v>
      </c>
      <c r="BJ15" s="62">
        <f t="shared" si="38"/>
        <v>249.73837672556022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10.342800000000002</v>
      </c>
      <c r="D16" s="12">
        <f t="shared" si="32"/>
        <v>3.6315022173643574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107.87180659018101</v>
      </c>
      <c r="H16" s="70">
        <f t="shared" si="1"/>
        <v>317.6719096952429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118.32</v>
      </c>
      <c r="L16" s="13">
        <f>VLOOKUP(A16,'Données projet'!$A$35:$I$55,9,0)</f>
        <v>12.239999999999995</v>
      </c>
      <c r="M16" s="13">
        <f t="array" ref="M16">INDEX(L:L,MIN(IF(ISNUMBER(L16:L212),ROW(L16:L212),"")))</f>
        <v>12.239999999999995</v>
      </c>
      <c r="N16" s="14">
        <f>IF('Données projet'!$A$36&gt;35,N15+M16-V15,IF(A16&lt;'Données projet'!$A$36,$K$205^A16,IF(A16='Données projet'!$A$36,'Données projet'!$B$36,N15+M16-V15)))</f>
        <v>118.32</v>
      </c>
      <c r="O16" s="14">
        <f>N16*VLOOKUP('Données projet'!$B$9,Paramètres!$A$1:$I$89,3,0)*VLOOKUP('Données projet'!$B$9,Paramètres!$A$1:$I$89,5,0)</f>
        <v>60.172819199999999</v>
      </c>
      <c r="P16" s="14">
        <f t="shared" si="33"/>
        <v>17.21195581165048</v>
      </c>
      <c r="Q16" s="22">
        <f t="shared" si="2"/>
        <v>134.77848314529123</v>
      </c>
      <c r="R16" s="62">
        <f t="shared" si="0"/>
        <v>428.11181647862452</v>
      </c>
      <c r="S16" s="62">
        <f ca="1">AVERAGE(OFFSET($R$3,0,0,'Données projet'!$E$9+1,1))-AVERAGE(OFFSET($H$3,0,0,'Données projet'!$E$9+1,1))</f>
        <v>57.778110971082867</v>
      </c>
      <c r="T16" s="62">
        <f t="shared" si="34"/>
        <v>144.26475989880868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9.5637980499107691</v>
      </c>
      <c r="AK16" s="14">
        <f t="shared" si="35"/>
        <v>3.3887309065006521</v>
      </c>
      <c r="AL16" s="22">
        <f t="shared" si="4"/>
        <v>22.558987932416557</v>
      </c>
      <c r="AM16" s="62">
        <f t="shared" si="5"/>
        <v>315.89232126574984</v>
      </c>
      <c r="AN16" s="62">
        <f ca="1">AVERAGE(OFFSET($AM$3,0,0,'Données projet'!$E$10+1,1))-AVERAGE(OFFSET($H$3,0,0,'Données projet'!$E$10+1,1))</f>
        <v>237.45928008030023</v>
      </c>
      <c r="AO16" s="62">
        <f t="shared" si="36"/>
        <v>126.78839015508379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2.4933333333333332</v>
      </c>
      <c r="BD16" s="13">
        <f>IF('Données projet'!$A$88&gt;35,BD15+BC16-BL15,IF(A16&lt;'Données projet'!$A$88,$BA$205^A16,IF(A16='Données projet'!$A$88,'Données projet'!$B$88,BD15+BC16-BL15)))</f>
        <v>23.075726799540639</v>
      </c>
      <c r="BE16" s="14">
        <f>BD16*VLOOKUP('Données projet'!$B$11,Paramètres!$A$1:$I$89,3,0)*VLOOKUP('Données projet'!$B$11,Paramètres!$A$1:$I$89,5,0)</f>
        <v>18.359048241714532</v>
      </c>
      <c r="BF16" s="14">
        <f t="shared" si="37"/>
        <v>6.0296217509656884</v>
      </c>
      <c r="BG16" s="22">
        <f t="shared" si="7"/>
        <v>42.47693357058472</v>
      </c>
      <c r="BH16" s="62">
        <f t="shared" si="8"/>
        <v>335.81026690391803</v>
      </c>
      <c r="BI16" s="62">
        <f ca="1">AVERAGE(OFFSET($BH$3,0,0,'Données projet'!$E$11+1,1))-AVERAGE(OFFSET($H$3,0,0,'Données projet'!$E$11+1,1))</f>
        <v>210.55867376929405</v>
      </c>
      <c r="BJ16" s="62">
        <f t="shared" si="38"/>
        <v>249.73837672556022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11.138400000000003</v>
      </c>
      <c r="D17" s="12">
        <f t="shared" si="32"/>
        <v>3.8772579925456743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115.91034239859822</v>
      </c>
      <c r="H17" s="70">
        <f t="shared" si="1"/>
        <v>319.48560433701704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130.56</v>
      </c>
      <c r="L17" s="13">
        <f>VLOOKUP(A17,'Données projet'!$A$35:$I$55,9,0)</f>
        <v>12.240000000000009</v>
      </c>
      <c r="M17" s="13">
        <f t="array" ref="M17">INDEX(L:L,MIN(IF(ISNUMBER(L17:L213),ROW(L17:L213),"")))</f>
        <v>12.240000000000009</v>
      </c>
      <c r="N17" s="14">
        <f>IF('Données projet'!$A$36&gt;35,N16+M17-V16,IF(A17&lt;'Données projet'!$A$36,$K$205^A17,IF(A17='Données projet'!$A$36,'Données projet'!$B$36,N16+M17-V16)))</f>
        <v>130.56</v>
      </c>
      <c r="O17" s="14">
        <f>N17*VLOOKUP('Données projet'!$B$9,Paramètres!$A$1:$I$89,3,0)*VLOOKUP('Données projet'!$B$9,Paramètres!$A$1:$I$89,5,0)</f>
        <v>66.397593600000008</v>
      </c>
      <c r="P17" s="14">
        <f t="shared" si="33"/>
        <v>18.776120870197634</v>
      </c>
      <c r="Q17" s="22">
        <f t="shared" si="2"/>
        <v>148.34421936892755</v>
      </c>
      <c r="R17" s="62">
        <f t="shared" si="0"/>
        <v>441.67755270226087</v>
      </c>
      <c r="S17" s="62">
        <f ca="1">AVERAGE(OFFSET($R$3,0,0,'Données projet'!$E$9+1,1))-AVERAGE(OFFSET($H$3,0,0,'Données projet'!$E$9+1,1))</f>
        <v>57.778110971082867</v>
      </c>
      <c r="T17" s="62">
        <f t="shared" si="34"/>
        <v>144.26475989880868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11.529032447092296</v>
      </c>
      <c r="AK17" s="14">
        <f t="shared" si="35"/>
        <v>3.9971664842854926</v>
      </c>
      <c r="AL17" s="22">
        <f t="shared" si="4"/>
        <v>27.041463138816312</v>
      </c>
      <c r="AM17" s="62">
        <f t="shared" si="5"/>
        <v>320.37479647214963</v>
      </c>
      <c r="AN17" s="62">
        <f ca="1">AVERAGE(OFFSET($AM$3,0,0,'Données projet'!$E$10+1,1))-AVERAGE(OFFSET($H$3,0,0,'Données projet'!$E$10+1,1))</f>
        <v>237.45928008030023</v>
      </c>
      <c r="AO17" s="62">
        <f t="shared" si="36"/>
        <v>126.78839015508379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2.4933333333333332</v>
      </c>
      <c r="BD17" s="13">
        <f>IF('Données projet'!$A$88&gt;35,BD16+BC17-BL16,IF(A17&lt;'Données projet'!$A$88,$BA$205^A17,IF(A17='Données projet'!$A$88,'Données projet'!$B$88,BD16+BC17-BL16)))</f>
        <v>29.37740938719443</v>
      </c>
      <c r="BE17" s="14">
        <f>BD17*VLOOKUP('Données projet'!$B$11,Paramètres!$A$1:$I$89,3,0)*VLOOKUP('Données projet'!$B$11,Paramètres!$A$1:$I$89,5,0)</f>
        <v>23.372666908451887</v>
      </c>
      <c r="BF17" s="14">
        <f t="shared" si="37"/>
        <v>7.4635026627966923</v>
      </c>
      <c r="BG17" s="22">
        <f t="shared" si="7"/>
        <v>53.706328669924602</v>
      </c>
      <c r="BH17" s="62">
        <f t="shared" si="8"/>
        <v>347.03966200325794</v>
      </c>
      <c r="BI17" s="62">
        <f ca="1">AVERAGE(OFFSET($BH$3,0,0,'Données projet'!$E$11+1,1))-AVERAGE(OFFSET($H$3,0,0,'Données projet'!$E$11+1,1))</f>
        <v>210.55867376929405</v>
      </c>
      <c r="BJ17" s="62">
        <f t="shared" si="38"/>
        <v>249.73837672556022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11.934000000000003</v>
      </c>
      <c r="D18" s="12">
        <f t="shared" si="32"/>
        <v>4.1209771274419431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123.93315677323606</v>
      </c>
      <c r="H18" s="70">
        <f t="shared" si="1"/>
        <v>321.29575183029471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138.72</v>
      </c>
      <c r="L18" s="13">
        <f>VLOOKUP(A18,'Données projet'!$A$35:$I$55,9,0)</f>
        <v>8.1599999999999966</v>
      </c>
      <c r="M18" s="13">
        <f t="array" ref="M18">INDEX(L:L,MIN(IF(ISNUMBER(L18:L214),ROW(L18:L214),"")))</f>
        <v>8.1599999999999966</v>
      </c>
      <c r="N18" s="14">
        <f>IF('Données projet'!$A$36&gt;35,N17+M18-V17,IF(A18&lt;'Données projet'!$A$36,$K$205^A18,IF(A18='Données projet'!$A$36,'Données projet'!$B$36,N17+M18-V17)))</f>
        <v>138.72</v>
      </c>
      <c r="O18" s="14">
        <f>N18*VLOOKUP('Données projet'!$B$9,Paramètres!$A$1:$I$89,3,0)*VLOOKUP('Données projet'!$B$9,Paramètres!$A$1:$I$89,5,0)</f>
        <v>70.547443200000004</v>
      </c>
      <c r="P18" s="14">
        <f t="shared" si="33"/>
        <v>19.809345312870903</v>
      </c>
      <c r="Q18" s="22">
        <f t="shared" si="2"/>
        <v>157.37140665991683</v>
      </c>
      <c r="R18" s="62">
        <f t="shared" si="0"/>
        <v>450.70473999325014</v>
      </c>
      <c r="S18" s="62">
        <f ca="1">AVERAGE(OFFSET($R$3,0,0,'Données projet'!$E$9+1,1))-AVERAGE(OFFSET($H$3,0,0,'Données projet'!$E$9+1,1))</f>
        <v>57.778110971082867</v>
      </c>
      <c r="T18" s="62">
        <f t="shared" si="34"/>
        <v>144.26475989880868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13.898096600580887</v>
      </c>
      <c r="AK18" s="14">
        <f t="shared" si="35"/>
        <v>4.7148446849071632</v>
      </c>
      <c r="AL18" s="22">
        <f t="shared" si="4"/>
        <v>32.417539405558351</v>
      </c>
      <c r="AM18" s="62">
        <f t="shared" si="5"/>
        <v>325.75087273889164</v>
      </c>
      <c r="AN18" s="62">
        <f ca="1">AVERAGE(OFFSET($AM$3,0,0,'Données projet'!$E$10+1,1))-AVERAGE(OFFSET($H$3,0,0,'Données projet'!$E$10+1,1))</f>
        <v>237.45928008030023</v>
      </c>
      <c r="AO18" s="62">
        <f t="shared" si="36"/>
        <v>126.78839015508379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37.4</v>
      </c>
      <c r="BB18" s="13">
        <f>VLOOKUP(A18,'Données projet'!$A$87:$I$107,9,0)</f>
        <v>2.4933333333333332</v>
      </c>
      <c r="BC18" s="13">
        <f t="array" ref="BC18">INDEX(BB:BB,MIN(IF(ISNUMBER(BB18:BB214),ROW(BB18:BB214),"")))</f>
        <v>2.4933333333333332</v>
      </c>
      <c r="BD18" s="13">
        <f>IF('Données projet'!$A$88&gt;35,BD17+BC18-BL17,IF(A18&lt;'Données projet'!$A$88,$BA$205^A18,IF(A18='Données projet'!$A$88,'Données projet'!$B$88,BD17+BC18-BL17)))</f>
        <v>37.4</v>
      </c>
      <c r="BE18" s="14">
        <f>BD18*VLOOKUP('Données projet'!$B$11,Paramètres!$A$1:$I$89,3,0)*VLOOKUP('Données projet'!$B$11,Paramètres!$A$1:$I$89,5,0)</f>
        <v>29.755439999999997</v>
      </c>
      <c r="BF18" s="14">
        <f t="shared" si="37"/>
        <v>9.2383692208639729</v>
      </c>
      <c r="BG18" s="22">
        <f t="shared" si="7"/>
        <v>67.91421772633808</v>
      </c>
      <c r="BH18" s="62">
        <f t="shared" si="8"/>
        <v>361.24755105967142</v>
      </c>
      <c r="BI18" s="62">
        <f ca="1">AVERAGE(OFFSET($BH$3,0,0,'Données projet'!$E$11+1,1))-AVERAGE(OFFSET($H$3,0,0,'Données projet'!$E$11+1,1))</f>
        <v>210.55867376929405</v>
      </c>
      <c r="BJ18" s="62">
        <f t="shared" si="38"/>
        <v>249.73837672556022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12.729600000000003</v>
      </c>
      <c r="D19" s="12">
        <f t="shared" si="32"/>
        <v>4.3628108472491052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131.94141706648438</v>
      </c>
      <c r="H19" s="70">
        <f t="shared" si="1"/>
        <v>323.10261555895886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146.88</v>
      </c>
      <c r="L19" s="13">
        <f>VLOOKUP(A19,'Données projet'!$A$35:$I$55,9,0)</f>
        <v>8.1599999999999966</v>
      </c>
      <c r="M19" s="13">
        <f t="array" ref="M19">INDEX(L:L,MIN(IF(ISNUMBER(L19:L215),ROW(L19:L215),"")))</f>
        <v>8.1599999999999966</v>
      </c>
      <c r="N19" s="14">
        <f>IF('Données projet'!$A$36&gt;35,N18+M19-V18,IF(A19&lt;'Données projet'!$A$36,$K$205^A19,IF(A19='Données projet'!$A$36,'Données projet'!$B$36,N18+M19-V18)))</f>
        <v>146.88</v>
      </c>
      <c r="O19" s="14">
        <f>N19*VLOOKUP('Données projet'!$B$9,Paramètres!$A$1:$I$89,3,0)*VLOOKUP('Données projet'!$B$9,Paramètres!$A$1:$I$89,5,0)</f>
        <v>74.6972928</v>
      </c>
      <c r="P19" s="14">
        <f t="shared" si="33"/>
        <v>20.835515077641233</v>
      </c>
      <c r="Q19" s="22">
        <f t="shared" si="2"/>
        <v>166.38630705355848</v>
      </c>
      <c r="R19" s="62">
        <f t="shared" si="0"/>
        <v>459.7196403868918</v>
      </c>
      <c r="S19" s="62">
        <f ca="1">AVERAGE(OFFSET($R$3,0,0,'Données projet'!$E$9+1,1))-AVERAGE(OFFSET($H$3,0,0,'Données projet'!$E$9+1,1))</f>
        <v>57.778110971082867</v>
      </c>
      <c r="T19" s="62">
        <f t="shared" si="34"/>
        <v>144.26475989880868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16.753972200658836</v>
      </c>
      <c r="AK19" s="14">
        <f t="shared" si="35"/>
        <v>5.5613796648680189</v>
      </c>
      <c r="AL19" s="22">
        <f t="shared" si="4"/>
        <v>38.865904499125939</v>
      </c>
      <c r="AM19" s="62">
        <f t="shared" si="5"/>
        <v>332.19923783245923</v>
      </c>
      <c r="AN19" s="62">
        <f ca="1">AVERAGE(OFFSET($AM$3,0,0,'Données projet'!$E$10+1,1))-AVERAGE(OFFSET($H$3,0,0,'Données projet'!$E$10+1,1))</f>
        <v>237.45928008030023</v>
      </c>
      <c r="AO19" s="62">
        <f t="shared" si="36"/>
        <v>126.78839015508379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11.54</v>
      </c>
      <c r="BD19" s="13">
        <f>IF('Données projet'!$A$88&gt;35,BD18+BC19-BL18,IF(A19&lt;'Données projet'!$A$88,$BA$205^A19,IF(A19='Données projet'!$A$88,'Données projet'!$B$88,BD18+BC19-BL18)))</f>
        <v>48.94</v>
      </c>
      <c r="BE19" s="14">
        <f>BD19*VLOOKUP('Données projet'!$B$11,Paramètres!$A$1:$I$89,3,0)*VLOOKUP('Données projet'!$B$11,Paramètres!$A$1:$I$89,5,0)</f>
        <v>38.936664</v>
      </c>
      <c r="BF19" s="14">
        <f t="shared" si="37"/>
        <v>11.71636916173216</v>
      </c>
      <c r="BG19" s="22">
        <f t="shared" si="7"/>
        <v>88.220699423350183</v>
      </c>
      <c r="BH19" s="62">
        <f t="shared" si="8"/>
        <v>381.55403275668351</v>
      </c>
      <c r="BI19" s="62">
        <f ca="1">AVERAGE(OFFSET($BH$3,0,0,'Données projet'!$E$11+1,1))-AVERAGE(OFFSET($H$3,0,0,'Données projet'!$E$11+1,1))</f>
        <v>210.55867376929405</v>
      </c>
      <c r="BJ19" s="62">
        <f t="shared" si="38"/>
        <v>249.73837672556022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13.525200000000003</v>
      </c>
      <c r="D20" s="12">
        <f t="shared" si="32"/>
        <v>4.6028904056041382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139.93613646431268</v>
      </c>
      <c r="H20" s="70">
        <f t="shared" si="1"/>
        <v>324.90642412309387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153</v>
      </c>
      <c r="L20" s="13">
        <f>VLOOKUP(A20,'Données projet'!$A$35:$I$55,9,0)</f>
        <v>6.1200000000000045</v>
      </c>
      <c r="M20" s="13">
        <f t="array" ref="M20">INDEX(L:L,MIN(IF(ISNUMBER(L20:L216),ROW(L20:L216),"")))</f>
        <v>6.1200000000000045</v>
      </c>
      <c r="N20" s="14">
        <f>IF('Données projet'!$A$36&gt;35,N19+M20-V19,IF(A20&lt;'Données projet'!$A$36,$K$205^A20,IF(A20='Données projet'!$A$36,'Données projet'!$B$36,N19+M20-V19)))</f>
        <v>153</v>
      </c>
      <c r="O20" s="14">
        <f>N20*VLOOKUP('Données projet'!$B$9,Paramètres!$A$1:$I$89,3,0)*VLOOKUP('Données projet'!$B$9,Paramètres!$A$1:$I$89,5,0)</f>
        <v>77.80968</v>
      </c>
      <c r="P20" s="14">
        <f t="shared" si="33"/>
        <v>21.600777311280577</v>
      </c>
      <c r="Q20" s="22">
        <f t="shared" si="2"/>
        <v>173.13987981714698</v>
      </c>
      <c r="R20" s="62">
        <f t="shared" si="0"/>
        <v>466.47321315048032</v>
      </c>
      <c r="S20" s="62">
        <f ca="1">AVERAGE(OFFSET($R$3,0,0,'Données projet'!$E$9+1,1))-AVERAGE(OFFSET($H$3,0,0,'Données projet'!$E$9+1,1))</f>
        <v>57.778110971082867</v>
      </c>
      <c r="T20" s="62">
        <f t="shared" si="34"/>
        <v>144.26475989880868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20.196692580818372</v>
      </c>
      <c r="AK20" s="14">
        <f t="shared" si="35"/>
        <v>6.5599072384749233</v>
      </c>
      <c r="AL20" s="22">
        <f t="shared" si="4"/>
        <v>46.601078018602493</v>
      </c>
      <c r="AM20" s="62">
        <f t="shared" si="5"/>
        <v>339.93441135193581</v>
      </c>
      <c r="AN20" s="62">
        <f ca="1">AVERAGE(OFFSET($AM$3,0,0,'Données projet'!$E$10+1,1))-AVERAGE(OFFSET($H$3,0,0,'Données projet'!$E$10+1,1))</f>
        <v>237.45928008030023</v>
      </c>
      <c r="AO20" s="62">
        <f t="shared" si="36"/>
        <v>126.78839015508379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11.54</v>
      </c>
      <c r="BD20" s="13">
        <f>IF('Données projet'!$A$88&gt;35,BD19+BC20-BL19,IF(A20&lt;'Données projet'!$A$88,$BA$205^A20,IF(A20='Données projet'!$A$88,'Données projet'!$B$88,BD19+BC20-BL19)))</f>
        <v>60.48</v>
      </c>
      <c r="BE20" s="14">
        <f>BD20*VLOOKUP('Données projet'!$B$11,Paramètres!$A$1:$I$89,3,0)*VLOOKUP('Données projet'!$B$11,Paramètres!$A$1:$I$89,5,0)</f>
        <v>48.117888000000001</v>
      </c>
      <c r="BF20" s="14">
        <f t="shared" si="37"/>
        <v>14.126615953608919</v>
      </c>
      <c r="BG20" s="22">
        <f t="shared" si="7"/>
        <v>108.40917771920219</v>
      </c>
      <c r="BH20" s="62">
        <f t="shared" si="8"/>
        <v>401.74251105253552</v>
      </c>
      <c r="BI20" s="62">
        <f ca="1">AVERAGE(OFFSET($BH$3,0,0,'Données projet'!$E$11+1,1))-AVERAGE(OFFSET($H$3,0,0,'Données projet'!$E$11+1,1))</f>
        <v>210.55867376929405</v>
      </c>
      <c r="BJ20" s="62">
        <f t="shared" si="38"/>
        <v>249.73837672556022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14.320800000000004</v>
      </c>
      <c r="D21" s="12">
        <f t="shared" si="32"/>
        <v>4.8413307422321994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147.91820222073983</v>
      </c>
      <c r="H21" s="70">
        <f t="shared" si="1"/>
        <v>326.70737770938774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157.08000000000001</v>
      </c>
      <c r="L21" s="13">
        <f>VLOOKUP(A21,'Données projet'!$A$35:$I$55,9,0)</f>
        <v>4.0800000000000125</v>
      </c>
      <c r="M21" s="13">
        <f t="array" ref="M21">INDEX(L:L,MIN(IF(ISNUMBER(L21:L217),ROW(L21:L217),"")))</f>
        <v>4.0800000000000125</v>
      </c>
      <c r="N21" s="14">
        <f>IF('Données projet'!$A$36&gt;35,N20+M21-V20,IF(A21&lt;'Données projet'!$A$36,$K$205^A21,IF(A21='Données projet'!$A$36,'Données projet'!$B$36,N20+M21-V20)))</f>
        <v>157.08000000000001</v>
      </c>
      <c r="O21" s="14">
        <f>N21*VLOOKUP('Données projet'!$B$9,Paramètres!$A$1:$I$89,3,0)*VLOOKUP('Données projet'!$B$9,Paramètres!$A$1:$I$89,5,0)</f>
        <v>79.884604800000005</v>
      </c>
      <c r="P21" s="14">
        <f t="shared" si="33"/>
        <v>22.108967032457297</v>
      </c>
      <c r="Q21" s="22">
        <f t="shared" si="2"/>
        <v>177.63880427486311</v>
      </c>
      <c r="R21" s="62">
        <f t="shared" si="0"/>
        <v>470.97213760819642</v>
      </c>
      <c r="S21" s="62">
        <f ca="1">AVERAGE(OFFSET($R$3,0,0,'Données projet'!$E$9+1,1))-AVERAGE(OFFSET($H$3,0,0,'Données projet'!$E$9+1,1))</f>
        <v>57.778110971082867</v>
      </c>
      <c r="T21" s="62">
        <f t="shared" si="34"/>
        <v>144.26475989880868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157</v>
      </c>
      <c r="W21" s="17">
        <f>IF(ISNA(VLOOKUP(A21,'Données projet'!$A$35:$I$55,5,0)),0%,VLOOKUP(A21,'Données projet'!$A$35:$I$55,5,0)*VLOOKUP('Données projet'!$B$9,Paramètres!$A$1:$I$89,7,0))</f>
        <v>0.46199999999999997</v>
      </c>
      <c r="X21" s="17">
        <f>IF(ISNA(VLOOKUP(A21,'Données projet'!$A$35:$I$55,6,0)),0%,VLOOKUP(A21,'Données projet'!$A$35:$I$55,6,0)*VLOOKUP('Données projet'!$B$9,Paramètres!$A$1:$I$89,7,0))</f>
        <v>6.6000000000000003E-2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40.778470908158909</v>
      </c>
      <c r="AA21" s="23">
        <f>EXP(-LN(2)/25)*AA20+(1-EXP(-LN(2)/25))/(LN(2)/25)*Calculateur!V21*Calculateur!X21*VLOOKUP('Données projet'!$B$9,Paramètres!$A$1:$I$89,3,0)*0.475*44/12</f>
        <v>5.8025586471968476</v>
      </c>
      <c r="AB21" s="23">
        <f>EXP(-LN(2)/2)*AB20+(1-EXP(-LN(2)/2))/(LN(2)/2)*V21*Y21*VLOOKUP('Données projet'!$B$9,Paramètres!$A$1:$I$89,3,0)*0.475*44/12</f>
        <v>0</v>
      </c>
      <c r="AC21" s="24">
        <f t="shared" si="3"/>
        <v>46.581029555355755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24.346846605609343</v>
      </c>
      <c r="AK21" s="14">
        <f t="shared" si="35"/>
        <v>7.7377171800078735</v>
      </c>
      <c r="AL21" s="22">
        <f t="shared" si="4"/>
        <v>55.880615259949991</v>
      </c>
      <c r="AM21" s="62">
        <f t="shared" si="5"/>
        <v>349.21394859328331</v>
      </c>
      <c r="AN21" s="62">
        <f ca="1">AVERAGE(OFFSET($AM$3,0,0,'Données projet'!$E$10+1,1))-AVERAGE(OFFSET($H$3,0,0,'Données projet'!$E$10+1,1))</f>
        <v>237.45928008030023</v>
      </c>
      <c r="AO21" s="62">
        <f t="shared" si="36"/>
        <v>126.78839015508379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11.54</v>
      </c>
      <c r="BD21" s="13">
        <f>IF('Données projet'!$A$88&gt;35,BD20+BC21-BL20,IF(A21&lt;'Données projet'!$A$88,$BA$205^A21,IF(A21='Données projet'!$A$88,'Données projet'!$B$88,BD20+BC21-BL20)))</f>
        <v>72.02</v>
      </c>
      <c r="BE21" s="14">
        <f>BD21*VLOOKUP('Données projet'!$B$11,Paramètres!$A$1:$I$89,3,0)*VLOOKUP('Données projet'!$B$11,Paramètres!$A$1:$I$89,5,0)</f>
        <v>57.299111999999994</v>
      </c>
      <c r="BF21" s="14">
        <f t="shared" si="37"/>
        <v>16.483580059789663</v>
      </c>
      <c r="BG21" s="22">
        <f t="shared" si="7"/>
        <v>128.50485533746698</v>
      </c>
      <c r="BH21" s="62">
        <f t="shared" si="8"/>
        <v>421.83818867080026</v>
      </c>
      <c r="BI21" s="62">
        <f ca="1">AVERAGE(OFFSET($BH$3,0,0,'Données projet'!$E$11+1,1))-AVERAGE(OFFSET($H$3,0,0,'Données projet'!$E$11+1,1))</f>
        <v>210.55867376929405</v>
      </c>
      <c r="BJ21" s="62">
        <f t="shared" si="38"/>
        <v>249.73837672556022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2" s="12">
        <f t="shared" si="32"/>
        <v>5.0782333044806931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155.8883974380966</v>
      </c>
      <c r="H22" s="70">
        <f t="shared" si="1"/>
        <v>328.50565300530388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8.0000000000012506E-2</v>
      </c>
      <c r="O22" s="14">
        <f>N22*VLOOKUP('Données projet'!$B$9,Paramètres!$A$1:$I$89,3,0)*VLOOKUP('Données projet'!$B$9,Paramètres!$A$1:$I$89,5,0)</f>
        <v>4.0684800000006363E-2</v>
      </c>
      <c r="P22" s="14">
        <f t="shared" si="33"/>
        <v>2.7217381697540451E-2</v>
      </c>
      <c r="Q22" s="22">
        <f t="shared" si="2"/>
        <v>0.11826296645656069</v>
      </c>
      <c r="R22" s="62">
        <f t="shared" si="0"/>
        <v>293.45159629978986</v>
      </c>
      <c r="S22" s="62">
        <f ca="1">AVERAGE(OFFSET($R$3,0,0,'Données projet'!$E$9+1,1))-AVERAGE(OFFSET($H$3,0,0,'Données projet'!$E$9+1,1))</f>
        <v>57.778110971082867</v>
      </c>
      <c r="T22" s="62">
        <f t="shared" si="34"/>
        <v>144.26475989880868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39.97882996606122</v>
      </c>
      <c r="AA22" s="23">
        <f>EXP(-LN(2)/25)*AA21+(1-EXP(-LN(2)/25))/(LN(2)/25)*Calculateur!V22*Calculateur!X22*VLOOKUP('Données projet'!$B$9,Paramètres!$A$1:$I$89,3,0)*0.475*44/12</f>
        <v>5.643887375845952</v>
      </c>
      <c r="AB22" s="23">
        <f>EXP(-LN(2)/2)*AB21+(1-EXP(-LN(2)/2))/(LN(2)/2)*V22*Y22*VLOOKUP('Données projet'!$B$9,Paramètres!$A$1:$I$89,3,0)*0.475*44/12</f>
        <v>0</v>
      </c>
      <c r="AC22" s="24">
        <f t="shared" si="3"/>
        <v>45.622717341907169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29.349802561239567</v>
      </c>
      <c r="AK22" s="14">
        <f t="shared" si="35"/>
        <v>9.1269990536799668</v>
      </c>
      <c r="AL22" s="22">
        <f t="shared" si="4"/>
        <v>67.013762812651535</v>
      </c>
      <c r="AM22" s="62">
        <f t="shared" si="5"/>
        <v>360.34709614598484</v>
      </c>
      <c r="AN22" s="62">
        <f ca="1">AVERAGE(OFFSET($AM$3,0,0,'Données projet'!$E$10+1,1))-AVERAGE(OFFSET($H$3,0,0,'Données projet'!$E$10+1,1))</f>
        <v>237.45928008030023</v>
      </c>
      <c r="AO22" s="62">
        <f t="shared" si="36"/>
        <v>126.78839015508379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11.54</v>
      </c>
      <c r="BD22" s="13">
        <f>IF('Données projet'!$A$88&gt;35,BD21+BC22-BL21,IF(A22&lt;'Données projet'!$A$88,$BA$205^A22,IF(A22='Données projet'!$A$88,'Données projet'!$B$88,BD21+BC22-BL21)))</f>
        <v>83.56</v>
      </c>
      <c r="BE22" s="14">
        <f>BD22*VLOOKUP('Données projet'!$B$11,Paramètres!$A$1:$I$89,3,0)*VLOOKUP('Données projet'!$B$11,Paramètres!$A$1:$I$89,5,0)</f>
        <v>66.480336000000008</v>
      </c>
      <c r="BF22" s="14">
        <f t="shared" si="37"/>
        <v>18.796793982740784</v>
      </c>
      <c r="BG22" s="22">
        <f t="shared" si="7"/>
        <v>148.52433471994019</v>
      </c>
      <c r="BH22" s="62">
        <f t="shared" si="8"/>
        <v>441.85766805327353</v>
      </c>
      <c r="BI22" s="62">
        <f ca="1">AVERAGE(OFFSET($BH$3,0,0,'Données projet'!$E$11+1,1))-AVERAGE(OFFSET($H$3,0,0,'Données projet'!$E$11+1,1))</f>
        <v>210.55867376929405</v>
      </c>
      <c r="BJ22" s="62">
        <f t="shared" si="38"/>
        <v>249.73837672556022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15.912000000000004</v>
      </c>
      <c r="D23" s="12">
        <f t="shared" si="32"/>
        <v>5.3136882579005142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163.8474181311619</v>
      </c>
      <c r="H23" s="70">
        <f t="shared" si="1"/>
        <v>330.3014070491767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8.0000000000012506E-2</v>
      </c>
      <c r="O23" s="14">
        <f>N23*VLOOKUP('Données projet'!$B$9,Paramètres!$A$1:$I$89,3,0)*VLOOKUP('Données projet'!$B$9,Paramètres!$A$1:$I$89,5,0)</f>
        <v>4.0684800000006363E-2</v>
      </c>
      <c r="P23" s="14">
        <f t="shared" si="33"/>
        <v>2.7217381697540451E-2</v>
      </c>
      <c r="Q23" s="22">
        <f t="shared" si="2"/>
        <v>0.11826296645656069</v>
      </c>
      <c r="R23" s="62">
        <f t="shared" si="0"/>
        <v>293.45159629978986</v>
      </c>
      <c r="S23" s="62">
        <f ca="1">AVERAGE(OFFSET($R$3,0,0,'Données projet'!$E$9+1,1))-AVERAGE(OFFSET($H$3,0,0,'Données projet'!$E$9+1,1))</f>
        <v>57.778110971082867</v>
      </c>
      <c r="T23" s="62">
        <f t="shared" si="34"/>
        <v>144.26475989880868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39.194869495105252</v>
      </c>
      <c r="AA23" s="23">
        <f>EXP(-LN(2)/25)*AA22+(1-EXP(-LN(2)/25))/(LN(2)/25)*Calculateur!V23*Calculateur!X23*VLOOKUP('Données projet'!$B$9,Paramètres!$A$1:$I$89,3,0)*0.475*44/12</f>
        <v>5.489554978754307</v>
      </c>
      <c r="AB23" s="23">
        <f>EXP(-LN(2)/2)*AB22+(1-EXP(-LN(2)/2))/(LN(2)/2)*V23*Y23*VLOOKUP('Données projet'!$B$9,Paramètres!$A$1:$I$89,3,0)*0.475*44/12</f>
        <v>0</v>
      </c>
      <c r="AC23" s="24">
        <f t="shared" si="3"/>
        <v>44.684424473859558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35.380800000000001</v>
      </c>
      <c r="AK23" s="14">
        <f t="shared" si="35"/>
        <v>10.765721954933243</v>
      </c>
      <c r="AL23" s="22">
        <f t="shared" si="4"/>
        <v>80.371859071508723</v>
      </c>
      <c r="AM23" s="62">
        <f t="shared" si="5"/>
        <v>373.70519240484202</v>
      </c>
      <c r="AN23" s="62">
        <f ca="1">AVERAGE(OFFSET($AM$3,0,0,'Données projet'!$E$10+1,1))-AVERAGE(OFFSET($H$3,0,0,'Données projet'!$E$10+1,1))</f>
        <v>237.45928008030023</v>
      </c>
      <c r="AO23" s="62">
        <f t="shared" si="36"/>
        <v>126.78839015508379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95.1</v>
      </c>
      <c r="BB23" s="13">
        <f>VLOOKUP(A23,'Données projet'!$A$87:$I$107,9,0)</f>
        <v>11.54</v>
      </c>
      <c r="BC23" s="13">
        <f t="array" ref="BC23">INDEX(BB:BB,MIN(IF(ISNUMBER(BB23:BB219),ROW(BB23:BB219),"")))</f>
        <v>11.54</v>
      </c>
      <c r="BD23" s="13">
        <f>IF('Données projet'!$A$88&gt;35,BD22+BC23-BL22,IF(A23&lt;'Données projet'!$A$88,$BA$205^A23,IF(A23='Données projet'!$A$88,'Données projet'!$B$88,BD22+BC23-BL22)))</f>
        <v>95.1</v>
      </c>
      <c r="BE23" s="14">
        <f>BD23*VLOOKUP('Données projet'!$B$11,Paramètres!$A$1:$I$89,3,0)*VLOOKUP('Données projet'!$B$11,Paramètres!$A$1:$I$89,5,0)</f>
        <v>75.661559999999994</v>
      </c>
      <c r="BF23" s="14">
        <f t="shared" si="37"/>
        <v>21.072995399411479</v>
      </c>
      <c r="BG23" s="22">
        <f t="shared" si="7"/>
        <v>168.47935065397499</v>
      </c>
      <c r="BH23" s="62">
        <f t="shared" si="8"/>
        <v>461.81268398730833</v>
      </c>
      <c r="BI23" s="62">
        <f ca="1">AVERAGE(OFFSET($BH$3,0,0,'Données projet'!$E$11+1,1))-AVERAGE(OFFSET($H$3,0,0,'Données projet'!$E$11+1,1))</f>
        <v>210.55867376929405</v>
      </c>
      <c r="BJ23" s="62">
        <f t="shared" si="38"/>
        <v>249.73837672556022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43.1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16.707600000000003</v>
      </c>
      <c r="D24" s="12">
        <f t="shared" si="32"/>
        <v>5.5477762421468224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171.79588678148426</v>
      </c>
      <c r="H24" s="70">
        <f t="shared" si="1"/>
        <v>332.09478028840567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8.0000000000012506E-2</v>
      </c>
      <c r="O24" s="14">
        <f>N24*VLOOKUP('Données projet'!$B$9,Paramètres!$A$1:$I$89,3,0)*VLOOKUP('Données projet'!$B$9,Paramètres!$A$1:$I$89,5,0)</f>
        <v>4.0684800000006363E-2</v>
      </c>
      <c r="P24" s="14">
        <f t="shared" si="33"/>
        <v>2.7217381697540451E-2</v>
      </c>
      <c r="Q24" s="22">
        <f t="shared" si="2"/>
        <v>0.11826296645656069</v>
      </c>
      <c r="R24" s="62">
        <f t="shared" si="0"/>
        <v>293.45159629978986</v>
      </c>
      <c r="S24" s="62">
        <f ca="1">AVERAGE(OFFSET($R$3,0,0,'Données projet'!$E$9+1,1))-AVERAGE(OFFSET($H$3,0,0,'Données projet'!$E$9+1,1))</f>
        <v>57.778110971082867</v>
      </c>
      <c r="T24" s="62">
        <f t="shared" si="34"/>
        <v>144.26475989880868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38.42628201081606</v>
      </c>
      <c r="AA24" s="23">
        <f>EXP(-LN(2)/25)*AA23+(1-EXP(-LN(2)/25))/(LN(2)/25)*Calculateur!V24*Calculateur!X24*VLOOKUP('Données projet'!$B$9,Paramètres!$A$1:$I$89,3,0)*0.475*44/12</f>
        <v>5.3394428091771209</v>
      </c>
      <c r="AB24" s="23">
        <f>EXP(-LN(2)/2)*AB23+(1-EXP(-LN(2)/2))/(LN(2)/2)*V24*Y24*VLOOKUP('Données projet'!$B$9,Paramètres!$A$1:$I$89,3,0)*0.475*44/12</f>
        <v>0</v>
      </c>
      <c r="AC24" s="24">
        <f t="shared" si="3"/>
        <v>43.765724819993181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40.098240000000011</v>
      </c>
      <c r="AK24" s="14">
        <f t="shared" si="35"/>
        <v>12.024681710991171</v>
      </c>
      <c r="AL24" s="22">
        <f t="shared" si="4"/>
        <v>90.780755313309626</v>
      </c>
      <c r="AM24" s="62">
        <f t="shared" si="5"/>
        <v>384.11408864664293</v>
      </c>
      <c r="AN24" s="62">
        <f ca="1">AVERAGE(OFFSET($AM$3,0,0,'Données projet'!$E$10+1,1))-AVERAGE(OFFSET($H$3,0,0,'Données projet'!$E$10+1,1))</f>
        <v>237.45928008030023</v>
      </c>
      <c r="AO24" s="62">
        <f t="shared" si="36"/>
        <v>126.78839015508379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12.500000000000002</v>
      </c>
      <c r="BD24" s="13">
        <f>IF('Données projet'!$A$88&gt;35,BD23+BC24-BL23,IF(A24&lt;'Données projet'!$A$88,$BA$205^A24,IF(A24='Données projet'!$A$88,'Données projet'!$B$88,BD23+BC24-BL23)))</f>
        <v>64.5</v>
      </c>
      <c r="BE24" s="14">
        <f>BD24*VLOOKUP('Données projet'!$B$11,Paramètres!$A$1:$I$89,3,0)*VLOOKUP('Données projet'!$B$11,Paramètres!$A$1:$I$89,5,0)</f>
        <v>51.316200000000009</v>
      </c>
      <c r="BF24" s="14">
        <f t="shared" si="37"/>
        <v>14.953158316506878</v>
      </c>
      <c r="BG24" s="22">
        <f t="shared" si="7"/>
        <v>115.41913240124948</v>
      </c>
      <c r="BH24" s="62">
        <f t="shared" si="8"/>
        <v>408.75246573458281</v>
      </c>
      <c r="BI24" s="62">
        <f ca="1">AVERAGE(OFFSET($BH$3,0,0,'Données projet'!$E$11+1,1))-AVERAGE(OFFSET($H$3,0,0,'Données projet'!$E$11+1,1))</f>
        <v>210.55867376929405</v>
      </c>
      <c r="BJ24" s="62">
        <f t="shared" si="38"/>
        <v>249.73837672556022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17.503200000000003</v>
      </c>
      <c r="D25" s="12">
        <f t="shared" si="32"/>
        <v>5.7805697829462304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179.73436323677797</v>
      </c>
      <c r="H25" s="70">
        <f t="shared" si="1"/>
        <v>333.88589903863135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8.0000000000012506E-2</v>
      </c>
      <c r="O25" s="14">
        <f>N25*VLOOKUP('Données projet'!$B$9,Paramètres!$A$1:$I$89,3,0)*VLOOKUP('Données projet'!$B$9,Paramètres!$A$1:$I$89,5,0)</f>
        <v>4.0684800000006363E-2</v>
      </c>
      <c r="P25" s="14">
        <f t="shared" si="33"/>
        <v>2.7217381697540451E-2</v>
      </c>
      <c r="Q25" s="22">
        <f t="shared" si="2"/>
        <v>0.11826296645656069</v>
      </c>
      <c r="R25" s="62">
        <f t="shared" si="0"/>
        <v>293.45159629978986</v>
      </c>
      <c r="S25" s="62">
        <f ca="1">AVERAGE(OFFSET($R$3,0,0,'Données projet'!$E$9+1,1))-AVERAGE(OFFSET($H$3,0,0,'Données projet'!$E$9+1,1))</f>
        <v>57.778110971082867</v>
      </c>
      <c r="T25" s="62">
        <f t="shared" si="34"/>
        <v>144.26475989880868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37.672766058301704</v>
      </c>
      <c r="AA25" s="23">
        <f>EXP(-LN(2)/25)*AA24+(1-EXP(-LN(2)/25))/(LN(2)/25)*Calculateur!V25*Calculateur!X25*VLOOKUP('Données projet'!$B$9,Paramètres!$A$1:$I$89,3,0)*0.475*44/12</f>
        <v>5.1934354647710785</v>
      </c>
      <c r="AB25" s="23">
        <f>EXP(-LN(2)/2)*AB24+(1-EXP(-LN(2)/2))/(LN(2)/2)*V25*Y25*VLOOKUP('Données projet'!$B$9,Paramètres!$A$1:$I$89,3,0)*0.475*44/12</f>
        <v>0</v>
      </c>
      <c r="AC25" s="24">
        <f t="shared" si="3"/>
        <v>42.866201523072782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44.815680000000008</v>
      </c>
      <c r="AK25" s="14">
        <f t="shared" si="35"/>
        <v>13.266476878569183</v>
      </c>
      <c r="AL25" s="22">
        <f t="shared" si="4"/>
        <v>101.159756563508</v>
      </c>
      <c r="AM25" s="62">
        <f t="shared" si="5"/>
        <v>394.4930898968413</v>
      </c>
      <c r="AN25" s="62">
        <f ca="1">AVERAGE(OFFSET($AM$3,0,0,'Données projet'!$E$10+1,1))-AVERAGE(OFFSET($H$3,0,0,'Données projet'!$E$10+1,1))</f>
        <v>237.45928008030023</v>
      </c>
      <c r="AO25" s="62">
        <f t="shared" si="36"/>
        <v>126.78839015508379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12.500000000000002</v>
      </c>
      <c r="BD25" s="13">
        <f>IF('Données projet'!$A$88&gt;35,BD24+BC25-BL24,IF(A25&lt;'Données projet'!$A$88,$BA$205^A25,IF(A25='Données projet'!$A$88,'Données projet'!$B$88,BD24+BC25-BL24)))</f>
        <v>77</v>
      </c>
      <c r="BE25" s="14">
        <f>BD25*VLOOKUP('Données projet'!$B$11,Paramètres!$A$1:$I$89,3,0)*VLOOKUP('Données projet'!$B$11,Paramètres!$A$1:$I$89,5,0)</f>
        <v>61.261200000000009</v>
      </c>
      <c r="BF25" s="14">
        <f t="shared" si="37"/>
        <v>17.486752865339852</v>
      </c>
      <c r="BG25" s="22">
        <f t="shared" si="7"/>
        <v>137.15268457380026</v>
      </c>
      <c r="BH25" s="62">
        <f t="shared" si="8"/>
        <v>430.4860179071336</v>
      </c>
      <c r="BI25" s="62">
        <f ca="1">AVERAGE(OFFSET($BH$3,0,0,'Données projet'!$E$11+1,1))-AVERAGE(OFFSET($H$3,0,0,'Données projet'!$E$11+1,1))</f>
        <v>210.55867376929405</v>
      </c>
      <c r="BJ25" s="62">
        <f t="shared" si="38"/>
        <v>249.73837672556022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18.298800000000004</v>
      </c>
      <c r="D26" s="12">
        <f t="shared" si="32"/>
        <v>6.0121344400857462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187.66335357259175</v>
      </c>
      <c r="H26" s="70">
        <f t="shared" si="1"/>
        <v>335.67487748314932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8.0000000000012506E-2</v>
      </c>
      <c r="O26" s="14">
        <f>N26*VLOOKUP('Données projet'!$B$9,Paramètres!$A$1:$I$89,3,0)*VLOOKUP('Données projet'!$B$9,Paramètres!$A$1:$I$89,5,0)</f>
        <v>4.0684800000006363E-2</v>
      </c>
      <c r="P26" s="14">
        <f t="shared" si="33"/>
        <v>2.7217381697540451E-2</v>
      </c>
      <c r="Q26" s="22">
        <f t="shared" si="2"/>
        <v>0.11826296645656069</v>
      </c>
      <c r="R26" s="62">
        <f t="shared" si="0"/>
        <v>293.45159629978986</v>
      </c>
      <c r="S26" s="62">
        <f ca="1">AVERAGE(OFFSET($R$3,0,0,'Données projet'!$E$9+1,1))-AVERAGE(OFFSET($H$3,0,0,'Données projet'!$E$9+1,1))</f>
        <v>57.778110971082867</v>
      </c>
      <c r="T26" s="62">
        <f t="shared" si="34"/>
        <v>144.26475989880868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36.934026094016801</v>
      </c>
      <c r="AA26" s="23">
        <f>EXP(-LN(2)/25)*AA25+(1-EXP(-LN(2)/25))/(LN(2)/25)*Calculateur!V26*Calculateur!X26*VLOOKUP('Données projet'!$B$9,Paramètres!$A$1:$I$89,3,0)*0.475*44/12</f>
        <v>5.0514206988760124</v>
      </c>
      <c r="AB26" s="23">
        <f>EXP(-LN(2)/2)*AB25+(1-EXP(-LN(2)/2))/(LN(2)/2)*V26*Y26*VLOOKUP('Données projet'!$B$9,Paramètres!$A$1:$I$89,3,0)*0.475*44/12</f>
        <v>0</v>
      </c>
      <c r="AC26" s="24">
        <f t="shared" si="3"/>
        <v>41.985446792892816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49.533120000000011</v>
      </c>
      <c r="AK26" s="14">
        <f t="shared" si="35"/>
        <v>14.493120113047395</v>
      </c>
      <c r="AL26" s="22">
        <f t="shared" si="4"/>
        <v>111.5123681968909</v>
      </c>
      <c r="AM26" s="62">
        <f t="shared" si="5"/>
        <v>404.84570153022423</v>
      </c>
      <c r="AN26" s="62">
        <f ca="1">AVERAGE(OFFSET($AM$3,0,0,'Données projet'!$E$10+1,1))-AVERAGE(OFFSET($H$3,0,0,'Données projet'!$E$10+1,1))</f>
        <v>237.45928008030023</v>
      </c>
      <c r="AO26" s="62">
        <f t="shared" si="36"/>
        <v>126.78839015508379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12.500000000000002</v>
      </c>
      <c r="BD26" s="13">
        <f>IF('Données projet'!$A$88&gt;35,BD25+BC26-BL25,IF(A26&lt;'Données projet'!$A$88,$BA$205^A26,IF(A26='Données projet'!$A$88,'Données projet'!$B$88,BD25+BC26-BL25)))</f>
        <v>89.5</v>
      </c>
      <c r="BE26" s="14">
        <f>BD26*VLOOKUP('Données projet'!$B$11,Paramètres!$A$1:$I$89,3,0)*VLOOKUP('Données projet'!$B$11,Paramètres!$A$1:$I$89,5,0)</f>
        <v>71.20620000000001</v>
      </c>
      <c r="BF26" s="14">
        <f t="shared" si="37"/>
        <v>19.972701050724211</v>
      </c>
      <c r="BG26" s="22">
        <f t="shared" si="7"/>
        <v>158.80325266334467</v>
      </c>
      <c r="BH26" s="62">
        <f t="shared" si="8"/>
        <v>452.13658599667798</v>
      </c>
      <c r="BI26" s="62">
        <f ca="1">AVERAGE(OFFSET($BH$3,0,0,'Données projet'!$E$11+1,1))-AVERAGE(OFFSET($H$3,0,0,'Données projet'!$E$11+1,1))</f>
        <v>210.55867376929405</v>
      </c>
      <c r="BJ26" s="62">
        <f t="shared" si="38"/>
        <v>249.73837672556022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19.094400000000004</v>
      </c>
      <c r="D27" s="12">
        <f t="shared" si="32"/>
        <v>6.2425297501179688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195.58331736933175</v>
      </c>
      <c r="H27" s="70">
        <f t="shared" si="1"/>
        <v>337.46181931478878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8.0000000000012506E-2</v>
      </c>
      <c r="O27" s="14">
        <f>N27*VLOOKUP('Données projet'!$B$9,Paramètres!$A$1:$I$89,3,0)*VLOOKUP('Données projet'!$B$9,Paramètres!$A$1:$I$89,5,0)</f>
        <v>4.0684800000006363E-2</v>
      </c>
      <c r="P27" s="14">
        <f t="shared" si="33"/>
        <v>2.7217381697540451E-2</v>
      </c>
      <c r="Q27" s="22">
        <f t="shared" si="2"/>
        <v>0.11826296645656069</v>
      </c>
      <c r="R27" s="62">
        <f t="shared" si="0"/>
        <v>293.45159629978986</v>
      </c>
      <c r="S27" s="62">
        <f ca="1">AVERAGE(OFFSET($R$3,0,0,'Données projet'!$E$9+1,1))-AVERAGE(OFFSET($H$3,0,0,'Données projet'!$E$9+1,1))</f>
        <v>57.778110971082867</v>
      </c>
      <c r="T27" s="62">
        <f t="shared" si="34"/>
        <v>144.26475989880868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36.209772369844643</v>
      </c>
      <c r="AA27" s="23">
        <f>EXP(-LN(2)/25)*AA26+(1-EXP(-LN(2)/25))/(LN(2)/25)*Calculateur!V27*Calculateur!X27*VLOOKUP('Données projet'!$B$9,Paramètres!$A$1:$I$89,3,0)*0.475*44/12</f>
        <v>4.9132893342225783</v>
      </c>
      <c r="AB27" s="23">
        <f>EXP(-LN(2)/2)*AB26+(1-EXP(-LN(2)/2))/(LN(2)/2)*V27*Y27*VLOOKUP('Données projet'!$B$9,Paramètres!$A$1:$I$89,3,0)*0.475*44/12</f>
        <v>0</v>
      </c>
      <c r="AC27" s="24">
        <f t="shared" si="3"/>
        <v>41.123061704067219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54.250560000000007</v>
      </c>
      <c r="AK27" s="14">
        <f t="shared" si="35"/>
        <v>15.706218631166928</v>
      </c>
      <c r="AL27" s="22">
        <f t="shared" si="4"/>
        <v>121.84138944928242</v>
      </c>
      <c r="AM27" s="62">
        <f t="shared" si="5"/>
        <v>415.17472278261573</v>
      </c>
      <c r="AN27" s="62">
        <f ca="1">AVERAGE(OFFSET($AM$3,0,0,'Données projet'!$E$10+1,1))-AVERAGE(OFFSET($H$3,0,0,'Données projet'!$E$10+1,1))</f>
        <v>237.45928008030023</v>
      </c>
      <c r="AO27" s="62">
        <f t="shared" si="36"/>
        <v>126.78839015508379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12.500000000000002</v>
      </c>
      <c r="BD27" s="13">
        <f>IF('Données projet'!$A$88&gt;35,BD26+BC27-BL26,IF(A27&lt;'Données projet'!$A$88,$BA$205^A27,IF(A27='Données projet'!$A$88,'Données projet'!$B$88,BD26+BC27-BL26)))</f>
        <v>102</v>
      </c>
      <c r="BE27" s="14">
        <f>BD27*VLOOKUP('Données projet'!$B$11,Paramètres!$A$1:$I$89,3,0)*VLOOKUP('Données projet'!$B$11,Paramètres!$A$1:$I$89,5,0)</f>
        <v>81.151200000000003</v>
      </c>
      <c r="BF27" s="14">
        <f t="shared" si="37"/>
        <v>22.418424032002342</v>
      </c>
      <c r="BG27" s="22">
        <f t="shared" si="7"/>
        <v>180.38376185573739</v>
      </c>
      <c r="BH27" s="62">
        <f t="shared" si="8"/>
        <v>473.71709518907073</v>
      </c>
      <c r="BI27" s="62">
        <f ca="1">AVERAGE(OFFSET($BH$3,0,0,'Données projet'!$E$11+1,1))-AVERAGE(OFFSET($H$3,0,0,'Données projet'!$E$11+1,1))</f>
        <v>210.55867376929405</v>
      </c>
      <c r="BJ27" s="62">
        <f t="shared" si="38"/>
        <v>249.73837672556022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19.890000000000004</v>
      </c>
      <c r="D28" s="12">
        <f t="shared" si="32"/>
        <v>6.471810007521432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203.49467374227072</v>
      </c>
      <c r="H28" s="70">
        <f t="shared" si="1"/>
        <v>339.24681909643311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8.0000000000012506E-2</v>
      </c>
      <c r="O28" s="14">
        <f>N28*VLOOKUP('Données projet'!$B$9,Paramètres!$A$1:$I$89,3,0)*VLOOKUP('Données projet'!$B$9,Paramètres!$A$1:$I$89,5,0)</f>
        <v>4.0684800000006363E-2</v>
      </c>
      <c r="P28" s="14">
        <f t="shared" si="33"/>
        <v>2.7217381697540451E-2</v>
      </c>
      <c r="Q28" s="22">
        <f t="shared" si="2"/>
        <v>0.11826296645656069</v>
      </c>
      <c r="R28" s="62">
        <f t="shared" si="0"/>
        <v>293.45159629978986</v>
      </c>
      <c r="S28" s="62">
        <f ca="1">AVERAGE(OFFSET($R$3,0,0,'Données projet'!$E$9+1,1))-AVERAGE(OFFSET($H$3,0,0,'Données projet'!$E$9+1,1))</f>
        <v>57.778110971082867</v>
      </c>
      <c r="T28" s="62">
        <f t="shared" si="34"/>
        <v>144.26475989880868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35.499720819452342</v>
      </c>
      <c r="AA28" s="23">
        <f>EXP(-LN(2)/25)*AA27+(1-EXP(-LN(2)/25))/(LN(2)/25)*Calculateur!V28*Calculateur!X28*VLOOKUP('Données projet'!$B$9,Paramètres!$A$1:$I$89,3,0)*0.475*44/12</f>
        <v>4.7789351789996051</v>
      </c>
      <c r="AB28" s="23">
        <f>EXP(-LN(2)/2)*AB27+(1-EXP(-LN(2)/2))/(LN(2)/2)*V28*Y28*VLOOKUP('Données projet'!$B$9,Paramètres!$A$1:$I$89,3,0)*0.475*44/12</f>
        <v>0</v>
      </c>
      <c r="AC28" s="24">
        <f t="shared" si="3"/>
        <v>40.278655998451946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58.968000000000011</v>
      </c>
      <c r="AK28" s="14">
        <f t="shared" si="35"/>
        <v>16.907084152971134</v>
      </c>
      <c r="AL28" s="22">
        <f t="shared" si="4"/>
        <v>132.14910489975807</v>
      </c>
      <c r="AM28" s="62">
        <f t="shared" si="5"/>
        <v>425.48243823309139</v>
      </c>
      <c r="AN28" s="62">
        <f ca="1">AVERAGE(OFFSET($AM$3,0,0,'Données projet'!$E$10+1,1))-AVERAGE(OFFSET($H$3,0,0,'Données projet'!$E$10+1,1))</f>
        <v>237.45928008030023</v>
      </c>
      <c r="AO28" s="62">
        <f t="shared" si="36"/>
        <v>126.78839015508379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114.5</v>
      </c>
      <c r="BB28" s="13">
        <f>VLOOKUP(A28,'Données projet'!$A$87:$I$107,9,0)</f>
        <v>12.500000000000002</v>
      </c>
      <c r="BC28" s="13">
        <f t="array" ref="BC28">INDEX(BB:BB,MIN(IF(ISNUMBER(BB28:BB224),ROW(BB28:BB224),"")))</f>
        <v>12.500000000000002</v>
      </c>
      <c r="BD28" s="13">
        <f>IF('Données projet'!$A$88&gt;35,BD27+BC28-BL27,IF(A28&lt;'Données projet'!$A$88,$BA$205^A28,IF(A28='Données projet'!$A$88,'Données projet'!$B$88,BD27+BC28-BL27)))</f>
        <v>114.5</v>
      </c>
      <c r="BE28" s="14">
        <f>BD28*VLOOKUP('Données projet'!$B$11,Paramètres!$A$1:$I$89,3,0)*VLOOKUP('Données projet'!$B$11,Paramètres!$A$1:$I$89,5,0)</f>
        <v>91.09620000000001</v>
      </c>
      <c r="BF28" s="14">
        <f t="shared" si="37"/>
        <v>24.829415470949538</v>
      </c>
      <c r="BG28" s="22">
        <f t="shared" si="7"/>
        <v>201.90378027857048</v>
      </c>
      <c r="BH28" s="62">
        <f t="shared" si="8"/>
        <v>495.23711361190379</v>
      </c>
      <c r="BI28" s="62">
        <f ca="1">AVERAGE(OFFSET($BH$3,0,0,'Données projet'!$E$11+1,1))-AVERAGE(OFFSET($H$3,0,0,'Données projet'!$E$11+1,1))</f>
        <v>210.55867376929405</v>
      </c>
      <c r="BJ28" s="62">
        <f t="shared" si="38"/>
        <v>249.73837672556022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20.685600000000004</v>
      </c>
      <c r="D29" s="12">
        <f t="shared" si="32"/>
        <v>6.7000249173571316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211.39780637959893</v>
      </c>
      <c r="H29" s="70">
        <f t="shared" si="1"/>
        <v>341.02996339773034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8.0000000000012506E-2</v>
      </c>
      <c r="O29" s="14">
        <f>N29*VLOOKUP('Données projet'!$B$9,Paramètres!$A$1:$I$89,3,0)*VLOOKUP('Données projet'!$B$9,Paramètres!$A$1:$I$89,5,0)</f>
        <v>4.0684800000006363E-2</v>
      </c>
      <c r="P29" s="14">
        <f t="shared" si="33"/>
        <v>2.7217381697540451E-2</v>
      </c>
      <c r="Q29" s="22">
        <f t="shared" si="2"/>
        <v>0.11826296645656069</v>
      </c>
      <c r="R29" s="62">
        <f t="shared" si="0"/>
        <v>293.45159629978986</v>
      </c>
      <c r="S29" s="62">
        <f ca="1">AVERAGE(OFFSET($R$3,0,0,'Données projet'!$E$9+1,1))-AVERAGE(OFFSET($H$3,0,0,'Données projet'!$E$9+1,1))</f>
        <v>57.778110971082867</v>
      </c>
      <c r="T29" s="62">
        <f t="shared" si="34"/>
        <v>144.26475989880868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34.803592946874559</v>
      </c>
      <c r="AA29" s="23">
        <f>EXP(-LN(2)/25)*AA28+(1-EXP(-LN(2)/25))/(LN(2)/25)*Calculateur!V29*Calculateur!X29*VLOOKUP('Données projet'!$B$9,Paramètres!$A$1:$I$89,3,0)*0.475*44/12</f>
        <v>4.648254945216582</v>
      </c>
      <c r="AB29" s="23">
        <f>EXP(-LN(2)/2)*AB28+(1-EXP(-LN(2)/2))/(LN(2)/2)*V29*Y29*VLOOKUP('Données projet'!$B$9,Paramètres!$A$1:$I$89,3,0)*0.475*44/12</f>
        <v>0</v>
      </c>
      <c r="AC29" s="24">
        <f t="shared" si="3"/>
        <v>39.451847892091138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58.125600000000013</v>
      </c>
      <c r="AK29" s="14">
        <f t="shared" si="35"/>
        <v>16.693490054590175</v>
      </c>
      <c r="AL29" s="22">
        <f t="shared" si="4"/>
        <v>130.30991517841125</v>
      </c>
      <c r="AM29" s="62">
        <f t="shared" si="5"/>
        <v>423.64324851174456</v>
      </c>
      <c r="AN29" s="62">
        <f ca="1">AVERAGE(OFFSET($AM$3,0,0,'Données projet'!$E$10+1,1))-AVERAGE(OFFSET($H$3,0,0,'Données projet'!$E$10+1,1))</f>
        <v>237.45928008030023</v>
      </c>
      <c r="AO29" s="62">
        <f t="shared" si="36"/>
        <v>126.78839015508379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126.5</v>
      </c>
      <c r="BE29" s="14">
        <f>BD29*VLOOKUP('Données projet'!$B$11,Paramètres!$A$1:$I$89,3,0)*VLOOKUP('Données projet'!$B$11,Paramètres!$A$1:$I$89,5,0)</f>
        <v>100.6434</v>
      </c>
      <c r="BF29" s="14">
        <f t="shared" si="37"/>
        <v>27.115221465557241</v>
      </c>
      <c r="BG29" s="22">
        <f t="shared" si="7"/>
        <v>222.51293238584552</v>
      </c>
      <c r="BH29" s="62">
        <f t="shared" si="8"/>
        <v>515.84626571917886</v>
      </c>
      <c r="BI29" s="62">
        <f ca="1">AVERAGE(OFFSET($BH$3,0,0,'Données projet'!$E$11+1,1))-AVERAGE(OFFSET($H$3,0,0,'Données projet'!$E$11+1,1))</f>
        <v>210.55867376929405</v>
      </c>
      <c r="BJ29" s="62">
        <f t="shared" si="38"/>
        <v>249.73837672556022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21.481200000000005</v>
      </c>
      <c r="D30" s="12">
        <f t="shared" si="32"/>
        <v>6.9272201446921002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219.29306778358819</v>
      </c>
      <c r="H30" s="70">
        <f t="shared" si="1"/>
        <v>342.8113317520054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8.0000000000012506E-2</v>
      </c>
      <c r="O30" s="14">
        <f>N30*VLOOKUP('Données projet'!$B$9,Paramètres!$A$1:$I$89,3,0)*VLOOKUP('Données projet'!$B$9,Paramètres!$A$1:$I$89,5,0)</f>
        <v>4.0684800000006363E-2</v>
      </c>
      <c r="P30" s="14">
        <f t="shared" si="33"/>
        <v>2.7217381697540451E-2</v>
      </c>
      <c r="Q30" s="22">
        <f t="shared" si="2"/>
        <v>0.11826296645656069</v>
      </c>
      <c r="R30" s="62">
        <f t="shared" si="0"/>
        <v>293.45159629978986</v>
      </c>
      <c r="S30" s="62">
        <f ca="1">AVERAGE(OFFSET($R$3,0,0,'Données projet'!$E$9+1,1))-AVERAGE(OFFSET($H$3,0,0,'Données projet'!$E$9+1,1))</f>
        <v>57.778110971082867</v>
      </c>
      <c r="T30" s="62">
        <f t="shared" si="34"/>
        <v>144.26475989880868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34.121115717281945</v>
      </c>
      <c r="AA30" s="23">
        <f>EXP(-LN(2)/25)*AA29+(1-EXP(-LN(2)/25))/(LN(2)/25)*Calculateur!V30*Calculateur!X30*VLOOKUP('Données projet'!$B$9,Paramètres!$A$1:$I$89,3,0)*0.475*44/12</f>
        <v>4.5211481692985309</v>
      </c>
      <c r="AB30" s="23">
        <f>EXP(-LN(2)/2)*AB29+(1-EXP(-LN(2)/2))/(LN(2)/2)*V30*Y30*VLOOKUP('Données projet'!$B$9,Paramètres!$A$1:$I$89,3,0)*0.475*44/12</f>
        <v>0</v>
      </c>
      <c r="AC30" s="24">
        <f t="shared" si="3"/>
        <v>38.64226388658048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64.022400000000019</v>
      </c>
      <c r="AK30" s="14">
        <f t="shared" si="35"/>
        <v>18.181385543312242</v>
      </c>
      <c r="AL30" s="22">
        <f t="shared" si="4"/>
        <v>143.17159315460219</v>
      </c>
      <c r="AM30" s="62">
        <f t="shared" si="5"/>
        <v>436.50492648793551</v>
      </c>
      <c r="AN30" s="62">
        <f ca="1">AVERAGE(OFFSET($AM$3,0,0,'Données projet'!$E$10+1,1))-AVERAGE(OFFSET($H$3,0,0,'Données projet'!$E$10+1,1))</f>
        <v>237.45928008030023</v>
      </c>
      <c r="AO30" s="62">
        <f t="shared" si="36"/>
        <v>126.78839015508379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138.5</v>
      </c>
      <c r="BE30" s="14">
        <f>BD30*VLOOKUP('Données projet'!$B$11,Paramètres!$A$1:$I$89,3,0)*VLOOKUP('Données projet'!$B$11,Paramètres!$A$1:$I$89,5,0)</f>
        <v>110.19060000000002</v>
      </c>
      <c r="BF30" s="14">
        <f t="shared" si="37"/>
        <v>29.375886893482836</v>
      </c>
      <c r="BG30" s="22">
        <f t="shared" si="7"/>
        <v>243.07829800614925</v>
      </c>
      <c r="BH30" s="62">
        <f t="shared" si="8"/>
        <v>536.4116313394826</v>
      </c>
      <c r="BI30" s="62">
        <f ca="1">AVERAGE(OFFSET($BH$3,0,0,'Données projet'!$E$11+1,1))-AVERAGE(OFFSET($H$3,0,0,'Données projet'!$E$11+1,1))</f>
        <v>210.55867376929405</v>
      </c>
      <c r="BJ30" s="62">
        <f t="shared" si="38"/>
        <v>249.73837672556022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22.276800000000005</v>
      </c>
      <c r="D31" s="12">
        <f t="shared" si="32"/>
        <v>7.1534377803387423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227.18078286577281</v>
      </c>
      <c r="H31" s="70">
        <f t="shared" si="1"/>
        <v>344.59099746742328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8.0000000000012506E-2</v>
      </c>
      <c r="O31" s="14">
        <f>N31*VLOOKUP('Données projet'!$B$9,Paramètres!$A$1:$I$89,3,0)*VLOOKUP('Données projet'!$B$9,Paramètres!$A$1:$I$89,5,0)</f>
        <v>4.0684800000006363E-2</v>
      </c>
      <c r="P31" s="14">
        <f t="shared" si="33"/>
        <v>2.7217381697540451E-2</v>
      </c>
      <c r="Q31" s="22">
        <f t="shared" si="2"/>
        <v>0.11826296645656069</v>
      </c>
      <c r="R31" s="62">
        <f t="shared" si="0"/>
        <v>293.45159629978986</v>
      </c>
      <c r="S31" s="62">
        <f ca="1">AVERAGE(OFFSET($R$3,0,0,'Données projet'!$E$9+1,1))-AVERAGE(OFFSET($H$3,0,0,'Données projet'!$E$9+1,1))</f>
        <v>57.778110971082867</v>
      </c>
      <c r="T31" s="62">
        <f t="shared" si="34"/>
        <v>144.26475989880868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33.452021449891639</v>
      </c>
      <c r="AA31" s="23">
        <f>EXP(-LN(2)/25)*AA30+(1-EXP(-LN(2)/25))/(LN(2)/25)*Calculateur!V31*Calculateur!X31*VLOOKUP('Données projet'!$B$9,Paramètres!$A$1:$I$89,3,0)*0.475*44/12</f>
        <v>4.3975171348522135</v>
      </c>
      <c r="AB31" s="23">
        <f>EXP(-LN(2)/2)*AB30+(1-EXP(-LN(2)/2))/(LN(2)/2)*V31*Y31*VLOOKUP('Données projet'!$B$9,Paramètres!$A$1:$I$89,3,0)*0.475*44/12</f>
        <v>0</v>
      </c>
      <c r="AC31" s="24">
        <f t="shared" si="3"/>
        <v>37.849538584743854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69.919200000000004</v>
      </c>
      <c r="AK31" s="14">
        <f t="shared" si="35"/>
        <v>19.653390735061731</v>
      </c>
      <c r="AL31" s="22">
        <f t="shared" si="4"/>
        <v>156.00559553023251</v>
      </c>
      <c r="AM31" s="62">
        <f t="shared" si="5"/>
        <v>449.3389288635658</v>
      </c>
      <c r="AN31" s="62">
        <f ca="1">AVERAGE(OFFSET($AM$3,0,0,'Données projet'!$E$10+1,1))-AVERAGE(OFFSET($H$3,0,0,'Données projet'!$E$10+1,1))</f>
        <v>237.45928008030023</v>
      </c>
      <c r="AO31" s="62">
        <f t="shared" si="36"/>
        <v>126.78839015508379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150.5</v>
      </c>
      <c r="BE31" s="14">
        <f>BD31*VLOOKUP('Données projet'!$B$11,Paramètres!$A$1:$I$89,3,0)*VLOOKUP('Données projet'!$B$11,Paramètres!$A$1:$I$89,5,0)</f>
        <v>119.73779999999999</v>
      </c>
      <c r="BF31" s="14">
        <f t="shared" si="37"/>
        <v>31.61383766685427</v>
      </c>
      <c r="BG31" s="22">
        <f t="shared" si="7"/>
        <v>263.6041022697712</v>
      </c>
      <c r="BH31" s="62">
        <f t="shared" si="8"/>
        <v>556.93743560310452</v>
      </c>
      <c r="BI31" s="62">
        <f ca="1">AVERAGE(OFFSET($BH$3,0,0,'Données projet'!$E$11+1,1))-AVERAGE(OFFSET($H$3,0,0,'Données projet'!$E$11+1,1))</f>
        <v>210.55867376929405</v>
      </c>
      <c r="BJ31" s="62">
        <f t="shared" si="38"/>
        <v>249.73837672556022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23.072400000000005</v>
      </c>
      <c r="D32" s="12">
        <f t="shared" si="32"/>
        <v>7.3787167381902634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235.06125201410032</v>
      </c>
      <c r="H32" s="70">
        <f t="shared" si="1"/>
        <v>346.36902831901472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8.0000000000012506E-2</v>
      </c>
      <c r="O32" s="14">
        <f>N32*VLOOKUP('Données projet'!$B$9,Paramètres!$A$1:$I$89,3,0)*VLOOKUP('Données projet'!$B$9,Paramètres!$A$1:$I$89,5,0)</f>
        <v>4.0684800000006363E-2</v>
      </c>
      <c r="P32" s="14">
        <f t="shared" si="33"/>
        <v>2.7217381697540451E-2</v>
      </c>
      <c r="Q32" s="22">
        <f t="shared" si="2"/>
        <v>0.11826296645656069</v>
      </c>
      <c r="R32" s="62">
        <f t="shared" si="0"/>
        <v>293.45159629978986</v>
      </c>
      <c r="S32" s="62">
        <f ca="1">AVERAGE(OFFSET($R$3,0,0,'Données projet'!$E$9+1,1))-AVERAGE(OFFSET($H$3,0,0,'Données projet'!$E$9+1,1))</f>
        <v>57.778110971082867</v>
      </c>
      <c r="T32" s="62">
        <f t="shared" si="34"/>
        <v>144.26475989880868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32.796047712977646</v>
      </c>
      <c r="AA32" s="23">
        <f>EXP(-LN(2)/25)*AA31+(1-EXP(-LN(2)/25))/(LN(2)/25)*Calculateur!V32*Calculateur!X32*VLOOKUP('Données projet'!$B$9,Paramètres!$A$1:$I$89,3,0)*0.475*44/12</f>
        <v>4.2772667975443044</v>
      </c>
      <c r="AB32" s="23">
        <f>EXP(-LN(2)/2)*AB31+(1-EXP(-LN(2)/2))/(LN(2)/2)*V32*Y32*VLOOKUP('Données projet'!$B$9,Paramètres!$A$1:$I$89,3,0)*0.475*44/12</f>
        <v>0</v>
      </c>
      <c r="AC32" s="24">
        <f t="shared" si="3"/>
        <v>37.073314510521953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75.816000000000003</v>
      </c>
      <c r="AK32" s="14">
        <f t="shared" si="35"/>
        <v>21.110998140607162</v>
      </c>
      <c r="AL32" s="22">
        <f t="shared" si="4"/>
        <v>168.81452176155747</v>
      </c>
      <c r="AM32" s="62">
        <f t="shared" si="5"/>
        <v>462.14785509489082</v>
      </c>
      <c r="AN32" s="62">
        <f ca="1">AVERAGE(OFFSET($AM$3,0,0,'Données projet'!$E$10+1,1))-AVERAGE(OFFSET($H$3,0,0,'Données projet'!$E$10+1,1))</f>
        <v>237.45928008030023</v>
      </c>
      <c r="AO32" s="62">
        <f t="shared" si="36"/>
        <v>126.78839015508379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162.5</v>
      </c>
      <c r="BE32" s="14">
        <f>BD32*VLOOKUP('Données projet'!$B$11,Paramètres!$A$1:$I$89,3,0)*VLOOKUP('Données projet'!$B$11,Paramètres!$A$1:$I$89,5,0)</f>
        <v>129.285</v>
      </c>
      <c r="BF32" s="14">
        <f t="shared" si="37"/>
        <v>33.831090831224039</v>
      </c>
      <c r="BG32" s="22">
        <f t="shared" si="7"/>
        <v>284.09385819771518</v>
      </c>
      <c r="BH32" s="62">
        <f t="shared" si="8"/>
        <v>577.42719153104849</v>
      </c>
      <c r="BI32" s="62">
        <f ca="1">AVERAGE(OFFSET($BH$3,0,0,'Données projet'!$E$11+1,1))-AVERAGE(OFFSET($H$3,0,0,'Données projet'!$E$11+1,1))</f>
        <v>210.55867376929405</v>
      </c>
      <c r="BJ32" s="62">
        <f t="shared" si="38"/>
        <v>249.73837672556022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23.868000000000006</v>
      </c>
      <c r="D33" s="12">
        <f t="shared" si="32"/>
        <v>7.6030930962115368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242.93475372514172</v>
      </c>
      <c r="H33" s="70">
        <f t="shared" si="1"/>
        <v>348.14548714256841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8.0000000000012506E-2</v>
      </c>
      <c r="O33" s="14">
        <f>N33*VLOOKUP('Données projet'!$B$9,Paramètres!$A$1:$I$89,3,0)*VLOOKUP('Données projet'!$B$9,Paramètres!$A$1:$I$89,5,0)</f>
        <v>4.0684800000006363E-2</v>
      </c>
      <c r="P33" s="14">
        <f t="shared" si="33"/>
        <v>2.7217381697540451E-2</v>
      </c>
      <c r="Q33" s="22">
        <f t="shared" si="2"/>
        <v>0.11826296645656069</v>
      </c>
      <c r="R33" s="62">
        <f t="shared" si="0"/>
        <v>293.45159629978986</v>
      </c>
      <c r="S33" s="62">
        <f ca="1">AVERAGE(OFFSET($R$3,0,0,'Données projet'!$E$9+1,1))-AVERAGE(OFFSET($H$3,0,0,'Données projet'!$E$9+1,1))</f>
        <v>57.778110971082867</v>
      </c>
      <c r="T33" s="62">
        <f t="shared" si="34"/>
        <v>144.26475989880868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32.152937220940068</v>
      </c>
      <c r="AA33" s="23">
        <f>EXP(-LN(2)/25)*AA32+(1-EXP(-LN(2)/25))/(LN(2)/25)*Calculateur!V33*Calculateur!X33*VLOOKUP('Données projet'!$B$9,Paramètres!$A$1:$I$89,3,0)*0.475*44/12</f>
        <v>4.1603047120337706</v>
      </c>
      <c r="AB33" s="23">
        <f>EXP(-LN(2)/2)*AB32+(1-EXP(-LN(2)/2))/(LN(2)/2)*V33*Y33*VLOOKUP('Données projet'!$B$9,Paramètres!$A$1:$I$89,3,0)*0.475*44/12</f>
        <v>0</v>
      </c>
      <c r="AC33" s="24">
        <f t="shared" si="3"/>
        <v>36.313241932973838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81.712800000000001</v>
      </c>
      <c r="AK33" s="14">
        <f t="shared" si="35"/>
        <v>22.55545490774292</v>
      </c>
      <c r="AL33" s="22">
        <f t="shared" si="4"/>
        <v>181.60054396431892</v>
      </c>
      <c r="AM33" s="62">
        <f t="shared" si="5"/>
        <v>474.9338772976522</v>
      </c>
      <c r="AN33" s="62">
        <f ca="1">AVERAGE(OFFSET($AM$3,0,0,'Données projet'!$E$10+1,1))-AVERAGE(OFFSET($H$3,0,0,'Données projet'!$E$10+1,1))</f>
        <v>237.45928008030023</v>
      </c>
      <c r="AO33" s="62">
        <f t="shared" si="36"/>
        <v>126.78839015508379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174.5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174.5</v>
      </c>
      <c r="BE33" s="14">
        <f>BD33*VLOOKUP('Données projet'!$B$11,Paramètres!$A$1:$I$89,3,0)*VLOOKUP('Données projet'!$B$11,Paramètres!$A$1:$I$89,5,0)</f>
        <v>138.8322</v>
      </c>
      <c r="BF33" s="14">
        <f t="shared" si="37"/>
        <v>36.029348632418326</v>
      </c>
      <c r="BG33" s="22">
        <f t="shared" si="7"/>
        <v>304.55053053479526</v>
      </c>
      <c r="BH33" s="62">
        <f t="shared" si="8"/>
        <v>597.88386386812863</v>
      </c>
      <c r="BI33" s="62">
        <f ca="1">AVERAGE(OFFSET($BH$3,0,0,'Données projet'!$E$11+1,1))-AVERAGE(OFFSET($H$3,0,0,'Données projet'!$E$11+1,1))</f>
        <v>210.55867376929405</v>
      </c>
      <c r="BJ33" s="62">
        <f t="shared" si="38"/>
        <v>249.73837672556022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24.663600000000006</v>
      </c>
      <c r="D34" s="12">
        <f t="shared" si="32"/>
        <v>7.8266003906872941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250.80154687548091</v>
      </c>
      <c r="H34" s="70">
        <f t="shared" si="1"/>
        <v>349.92043234711366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8.0000000000012506E-2</v>
      </c>
      <c r="O34" s="14">
        <f>N34*VLOOKUP('Données projet'!$B$9,Paramètres!$A$1:$I$89,3,0)*VLOOKUP('Données projet'!$B$9,Paramètres!$A$1:$I$89,5,0)</f>
        <v>4.0684800000006363E-2</v>
      </c>
      <c r="P34" s="14">
        <f t="shared" si="33"/>
        <v>2.7217381697540451E-2</v>
      </c>
      <c r="Q34" s="22">
        <f t="shared" si="2"/>
        <v>0.11826296645656069</v>
      </c>
      <c r="R34" s="62">
        <f t="shared" si="0"/>
        <v>293.45159629978986</v>
      </c>
      <c r="S34" s="62">
        <f ca="1">AVERAGE(OFFSET($R$3,0,0,'Données projet'!$E$9+1,1))-AVERAGE(OFFSET($H$3,0,0,'Données projet'!$E$9+1,1))</f>
        <v>57.778110971082867</v>
      </c>
      <c r="T34" s="62">
        <f t="shared" si="34"/>
        <v>144.26475989880868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31.522437733392678</v>
      </c>
      <c r="AA34" s="23">
        <f>EXP(-LN(2)/25)*AA33+(1-EXP(-LN(2)/25))/(LN(2)/25)*Calculateur!V34*Calculateur!X34*VLOOKUP('Données projet'!$B$9,Paramètres!$A$1:$I$89,3,0)*0.475*44/12</f>
        <v>4.0465409609022904</v>
      </c>
      <c r="AB34" s="23">
        <f>EXP(-LN(2)/2)*AB33+(1-EXP(-LN(2)/2))/(LN(2)/2)*V34*Y34*VLOOKUP('Données projet'!$B$9,Paramètres!$A$1:$I$89,3,0)*0.475*44/12</f>
        <v>0</v>
      </c>
      <c r="AC34" s="24">
        <f t="shared" si="3"/>
        <v>35.56897869429497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105</v>
      </c>
      <c r="AJ34" s="14">
        <f>AI34*VLOOKUP('Données projet'!$B$10,Paramètres!$A$1:$I$89,3,0)*VLOOKUP('Données projet'!$B$10,Paramètres!$A$1:$I$89,5,0)</f>
        <v>88.452000000000012</v>
      </c>
      <c r="AK34" s="14">
        <f t="shared" si="35"/>
        <v>24.191508526943956</v>
      </c>
      <c r="AL34" s="22">
        <f t="shared" si="4"/>
        <v>196.18744401776075</v>
      </c>
      <c r="AM34" s="62">
        <f t="shared" si="5"/>
        <v>489.52077735109407</v>
      </c>
      <c r="AN34" s="62">
        <f ca="1">AVERAGE(OFFSET($AM$3,0,0,'Données projet'!$E$10+1,1))-AVERAGE(OFFSET($H$3,0,0,'Données projet'!$E$10+1,1))</f>
        <v>237.45928008030023</v>
      </c>
      <c r="AO34" s="62">
        <f t="shared" si="36"/>
        <v>126.78839015508379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10.780000000000001</v>
      </c>
      <c r="BD34" s="13">
        <f>IF('Données projet'!$A$88&gt;35,BD33+BC34-BL33,IF(A34&lt;'Données projet'!$A$88,$BA$205^A34,IF(A34='Données projet'!$A$88,'Données projet'!$B$88,BD33+BC34-BL33)))</f>
        <v>129.28</v>
      </c>
      <c r="BE34" s="14">
        <f>BD34*VLOOKUP('Données projet'!$B$11,Paramètres!$A$1:$I$89,3,0)*VLOOKUP('Données projet'!$B$11,Paramètres!$A$1:$I$89,5,0)</f>
        <v>102.85516800000001</v>
      </c>
      <c r="BF34" s="14">
        <f t="shared" si="37"/>
        <v>27.641083482825984</v>
      </c>
      <c r="BG34" s="22">
        <f t="shared" si="7"/>
        <v>227.28097133258856</v>
      </c>
      <c r="BH34" s="62">
        <f t="shared" si="8"/>
        <v>520.61430466592185</v>
      </c>
      <c r="BI34" s="62">
        <f ca="1">AVERAGE(OFFSET($BH$3,0,0,'Données projet'!$E$11+1,1))-AVERAGE(OFFSET($H$3,0,0,'Données projet'!$E$11+1,1))</f>
        <v>210.55867376929405</v>
      </c>
      <c r="BJ34" s="62">
        <f t="shared" si="38"/>
        <v>249.73837672556022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25.459200000000006</v>
      </c>
      <c r="D35" s="12">
        <f t="shared" si="32"/>
        <v>8.049269871436282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258.66187269178891</v>
      </c>
      <c r="H35" s="70">
        <f t="shared" si="1"/>
        <v>351.69391835941821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8.0000000000012506E-2</v>
      </c>
      <c r="O35" s="14">
        <f>N35*VLOOKUP('Données projet'!$B$9,Paramètres!$A$1:$I$89,3,0)*VLOOKUP('Données projet'!$B$9,Paramètres!$A$1:$I$89,5,0)</f>
        <v>4.0684800000006363E-2</v>
      </c>
      <c r="P35" s="14">
        <f t="shared" si="33"/>
        <v>2.7217381697540451E-2</v>
      </c>
      <c r="Q35" s="22">
        <f t="shared" ref="Q35:Q66" si="53">(O35+P35)*0.475*44/12</f>
        <v>0.11826296645656069</v>
      </c>
      <c r="R35" s="62">
        <f t="shared" si="0"/>
        <v>293.45159629978986</v>
      </c>
      <c r="S35" s="62">
        <f ca="1">AVERAGE(OFFSET($R$3,0,0,'Données projet'!$E$9+1,1))-AVERAGE(OFFSET($H$3,0,0,'Données projet'!$E$9+1,1))</f>
        <v>57.778110971082867</v>
      </c>
      <c r="T35" s="62">
        <f t="shared" si="34"/>
        <v>144.26475989880868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30.904301956229379</v>
      </c>
      <c r="AA35" s="23">
        <f>EXP(-LN(2)/25)*AA34+(1-EXP(-LN(2)/25))/(LN(2)/25)*Calculateur!V35*Calculateur!X35*VLOOKUP('Données projet'!$B$9,Paramètres!$A$1:$I$89,3,0)*0.475*44/12</f>
        <v>3.9358880855280765</v>
      </c>
      <c r="AB35" s="23">
        <f>EXP(-LN(2)/2)*AB34+(1-EXP(-LN(2)/2))/(LN(2)/2)*V35*Y35*VLOOKUP('Données projet'!$B$9,Paramètres!$A$1:$I$89,3,0)*0.475*44/12</f>
        <v>0</v>
      </c>
      <c r="AC35" s="24">
        <f t="shared" si="3"/>
        <v>34.840190041757452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113</v>
      </c>
      <c r="AJ35" s="14">
        <f>AI35*VLOOKUP('Données projet'!$B$10,Paramètres!$A$1:$I$89,3,0)*VLOOKUP('Données projet'!$B$10,Paramètres!$A$1:$I$89,5,0)</f>
        <v>95.191200000000009</v>
      </c>
      <c r="AK35" s="14">
        <f t="shared" si="35"/>
        <v>25.8131020775105</v>
      </c>
      <c r="AL35" s="22">
        <f t="shared" si="4"/>
        <v>210.74915945166413</v>
      </c>
      <c r="AM35" s="62">
        <f t="shared" si="5"/>
        <v>504.08249278499744</v>
      </c>
      <c r="AN35" s="62">
        <f ca="1">AVERAGE(OFFSET($AM$3,0,0,'Données projet'!$E$10+1,1))-AVERAGE(OFFSET($H$3,0,0,'Données projet'!$E$10+1,1))</f>
        <v>237.45928008030023</v>
      </c>
      <c r="AO35" s="62">
        <f t="shared" si="36"/>
        <v>126.78839015508379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10.780000000000001</v>
      </c>
      <c r="BD35" s="13">
        <f>IF('Données projet'!$A$88&gt;35,BD34+BC35-BL34,IF(A35&lt;'Données projet'!$A$88,$BA$205^A35,IF(A35='Données projet'!$A$88,'Données projet'!$B$88,BD34+BC35-BL34)))</f>
        <v>140.06</v>
      </c>
      <c r="BE35" s="14">
        <f>BD35*VLOOKUP('Données projet'!$B$11,Paramètres!$A$1:$I$89,3,0)*VLOOKUP('Données projet'!$B$11,Paramètres!$A$1:$I$89,5,0)</f>
        <v>111.431736</v>
      </c>
      <c r="BF35" s="14">
        <f t="shared" si="37"/>
        <v>29.668058438201339</v>
      </c>
      <c r="BG35" s="22">
        <f t="shared" si="7"/>
        <v>245.74880864653403</v>
      </c>
      <c r="BH35" s="62">
        <f t="shared" si="8"/>
        <v>539.0821419798674</v>
      </c>
      <c r="BI35" s="62">
        <f ca="1">AVERAGE(OFFSET($BH$3,0,0,'Données projet'!$E$11+1,1))-AVERAGE(OFFSET($H$3,0,0,'Données projet'!$E$11+1,1))</f>
        <v>210.55867376929405</v>
      </c>
      <c r="BJ35" s="62">
        <f t="shared" si="38"/>
        <v>249.73837672556022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26.254800000000007</v>
      </c>
      <c r="D36" s="12">
        <f t="shared" si="32"/>
        <v>8.2711307242274401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266.51595646772068</v>
      </c>
      <c r="H36" s="70">
        <f t="shared" si="1"/>
        <v>353.46599601136279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8.0000000000012506E-2</v>
      </c>
      <c r="O36" s="14">
        <f>N36*VLOOKUP('Données projet'!$B$9,Paramètres!$A$1:$I$89,3,0)*VLOOKUP('Données projet'!$B$9,Paramètres!$A$1:$I$89,5,0)</f>
        <v>4.0684800000006363E-2</v>
      </c>
      <c r="P36" s="14">
        <f t="shared" si="33"/>
        <v>2.7217381697540451E-2</v>
      </c>
      <c r="Q36" s="22">
        <f t="shared" si="53"/>
        <v>0.11826296645656069</v>
      </c>
      <c r="R36" s="62">
        <f t="shared" si="0"/>
        <v>293.45159629978986</v>
      </c>
      <c r="S36" s="62">
        <f ca="1">AVERAGE(OFFSET($R$3,0,0,'Données projet'!$E$9+1,1))-AVERAGE(OFFSET($H$3,0,0,'Données projet'!$E$9+1,1))</f>
        <v>57.778110971082867</v>
      </c>
      <c r="T36" s="62">
        <f t="shared" si="34"/>
        <v>144.26475989880868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30.298287444630656</v>
      </c>
      <c r="AA36" s="23">
        <f>EXP(-LN(2)/25)*AA35+(1-EXP(-LN(2)/25))/(LN(2)/25)*Calculateur!V36*Calculateur!X36*VLOOKUP('Données projet'!$B$9,Paramètres!$A$1:$I$89,3,0)*0.475*44/12</f>
        <v>3.8282610188499522</v>
      </c>
      <c r="AB36" s="23">
        <f>EXP(-LN(2)/2)*AB35+(1-EXP(-LN(2)/2))/(LN(2)/2)*V36*Y36*VLOOKUP('Données projet'!$B$9,Paramètres!$A$1:$I$89,3,0)*0.475*44/12</f>
        <v>0</v>
      </c>
      <c r="AC36" s="24">
        <f t="shared" si="3"/>
        <v>34.12654846348061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121</v>
      </c>
      <c r="AJ36" s="14">
        <f>AI36*VLOOKUP('Données projet'!$B$10,Paramètres!$A$1:$I$89,3,0)*VLOOKUP('Données projet'!$B$10,Paramètres!$A$1:$I$89,5,0)</f>
        <v>101.93040000000001</v>
      </c>
      <c r="AK36" s="14">
        <f t="shared" si="35"/>
        <v>27.421375718582158</v>
      </c>
      <c r="AL36" s="22">
        <f t="shared" si="4"/>
        <v>225.28767604319728</v>
      </c>
      <c r="AM36" s="62">
        <f t="shared" si="5"/>
        <v>518.62100937653054</v>
      </c>
      <c r="AN36" s="62">
        <f ca="1">AVERAGE(OFFSET($AM$3,0,0,'Données projet'!$E$10+1,1))-AVERAGE(OFFSET($H$3,0,0,'Données projet'!$E$10+1,1))</f>
        <v>237.45928008030023</v>
      </c>
      <c r="AO36" s="62">
        <f t="shared" si="36"/>
        <v>126.78839015508379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10.780000000000001</v>
      </c>
      <c r="BD36" s="13">
        <f>IF('Données projet'!$A$88&gt;35,BD35+BC36-BL35,IF(A36&lt;'Données projet'!$A$88,$BA$205^A36,IF(A36='Données projet'!$A$88,'Données projet'!$B$88,BD35+BC36-BL35)))</f>
        <v>150.84</v>
      </c>
      <c r="BE36" s="14">
        <f>BD36*VLOOKUP('Données projet'!$B$11,Paramètres!$A$1:$I$89,3,0)*VLOOKUP('Données projet'!$B$11,Paramètres!$A$1:$I$89,5,0)</f>
        <v>120.008304</v>
      </c>
      <c r="BF36" s="14">
        <f t="shared" si="37"/>
        <v>31.676936057955846</v>
      </c>
      <c r="BG36" s="22">
        <f t="shared" si="7"/>
        <v>264.18512643427306</v>
      </c>
      <c r="BH36" s="62">
        <f t="shared" si="8"/>
        <v>557.51845976760637</v>
      </c>
      <c r="BI36" s="62">
        <f ca="1">AVERAGE(OFFSET($BH$3,0,0,'Données projet'!$E$11+1,1))-AVERAGE(OFFSET($H$3,0,0,'Données projet'!$E$11+1,1))</f>
        <v>210.55867376929405</v>
      </c>
      <c r="BJ36" s="62">
        <f t="shared" si="38"/>
        <v>249.73837672556022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27.050400000000007</v>
      </c>
      <c r="D37" s="12">
        <f t="shared" si="32"/>
        <v>8.4922102654791249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274.36400906685645</v>
      </c>
      <c r="H37" s="70">
        <f t="shared" si="1"/>
        <v>355.23671287904278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8.0000000000012506E-2</v>
      </c>
      <c r="O37" s="14">
        <f>N37*VLOOKUP('Données projet'!$B$9,Paramètres!$A$1:$I$89,3,0)*VLOOKUP('Données projet'!$B$9,Paramètres!$A$1:$I$89,5,0)</f>
        <v>4.0684800000006363E-2</v>
      </c>
      <c r="P37" s="14">
        <f t="shared" si="33"/>
        <v>2.7217381697540451E-2</v>
      </c>
      <c r="Q37" s="22">
        <f t="shared" si="53"/>
        <v>0.11826296645656069</v>
      </c>
      <c r="R37" s="62">
        <f t="shared" si="0"/>
        <v>293.45159629978986</v>
      </c>
      <c r="S37" s="62">
        <f ca="1">AVERAGE(OFFSET($R$3,0,0,'Données projet'!$E$9+1,1))-AVERAGE(OFFSET($H$3,0,0,'Données projet'!$E$9+1,1))</f>
        <v>57.778110971082867</v>
      </c>
      <c r="T37" s="62">
        <f t="shared" si="34"/>
        <v>144.26475989880868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29.70415650797203</v>
      </c>
      <c r="AA37" s="23">
        <f>EXP(-LN(2)/25)*AA36+(1-EXP(-LN(2)/25))/(LN(2)/25)*Calculateur!V37*Calculateur!X37*VLOOKUP('Données projet'!$B$9,Paramètres!$A$1:$I$89,3,0)*0.475*44/12</f>
        <v>3.7235770199700027</v>
      </c>
      <c r="AB37" s="23">
        <f>EXP(-LN(2)/2)*AB36+(1-EXP(-LN(2)/2))/(LN(2)/2)*V37*Y37*VLOOKUP('Données projet'!$B$9,Paramètres!$A$1:$I$89,3,0)*0.475*44/12</f>
        <v>0</v>
      </c>
      <c r="AC37" s="24">
        <f t="shared" si="3"/>
        <v>33.427733527942031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129</v>
      </c>
      <c r="AJ37" s="14">
        <f>AI37*VLOOKUP('Données projet'!$B$10,Paramètres!$A$1:$I$89,3,0)*VLOOKUP('Données projet'!$B$10,Paramètres!$A$1:$I$89,5,0)</f>
        <v>108.66960000000002</v>
      </c>
      <c r="AK37" s="14">
        <f t="shared" si="35"/>
        <v>29.017310316271104</v>
      </c>
      <c r="AL37" s="22">
        <f t="shared" si="4"/>
        <v>239.8047021341722</v>
      </c>
      <c r="AM37" s="62">
        <f t="shared" si="5"/>
        <v>533.13803546750546</v>
      </c>
      <c r="AN37" s="62">
        <f ca="1">AVERAGE(OFFSET($AM$3,0,0,'Données projet'!$E$10+1,1))-AVERAGE(OFFSET($H$3,0,0,'Données projet'!$E$10+1,1))</f>
        <v>237.45928008030023</v>
      </c>
      <c r="AO37" s="62">
        <f t="shared" si="36"/>
        <v>126.78839015508379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10.780000000000001</v>
      </c>
      <c r="BD37" s="13">
        <f>IF('Données projet'!$A$88&gt;35,BD36+BC37-BL36,IF(A37&lt;'Données projet'!$A$88,$BA$205^A37,IF(A37='Données projet'!$A$88,'Données projet'!$B$88,BD36+BC37-BL36)))</f>
        <v>161.62</v>
      </c>
      <c r="BE37" s="14">
        <f>BD37*VLOOKUP('Données projet'!$B$11,Paramètres!$A$1:$I$89,3,0)*VLOOKUP('Données projet'!$B$11,Paramètres!$A$1:$I$89,5,0)</f>
        <v>128.58487200000002</v>
      </c>
      <c r="BF37" s="14">
        <f t="shared" si="37"/>
        <v>33.669156791917978</v>
      </c>
      <c r="BG37" s="22">
        <f t="shared" si="7"/>
        <v>282.59243347925718</v>
      </c>
      <c r="BH37" s="62">
        <f t="shared" si="8"/>
        <v>575.9257668125905</v>
      </c>
      <c r="BI37" s="62">
        <f ca="1">AVERAGE(OFFSET($BH$3,0,0,'Données projet'!$E$11+1,1))-AVERAGE(OFFSET($H$3,0,0,'Données projet'!$E$11+1,1))</f>
        <v>210.55867376929405</v>
      </c>
      <c r="BJ37" s="62">
        <f t="shared" si="38"/>
        <v>249.73837672556022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27.846000000000007</v>
      </c>
      <c r="D38" s="12">
        <f t="shared" si="32"/>
        <v>8.7125341134088252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282.20622824385765</v>
      </c>
      <c r="H38" s="70">
        <f t="shared" si="1"/>
        <v>357.00611358085371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8.0000000000012506E-2</v>
      </c>
      <c r="O38" s="14">
        <f>N38*VLOOKUP('Données projet'!$B$9,Paramètres!$A$1:$I$89,3,0)*VLOOKUP('Données projet'!$B$9,Paramètres!$A$1:$I$89,5,0)</f>
        <v>4.0684800000006363E-2</v>
      </c>
      <c r="P38" s="14">
        <f t="shared" si="33"/>
        <v>2.7217381697540451E-2</v>
      </c>
      <c r="Q38" s="22">
        <f t="shared" si="53"/>
        <v>0.11826296645656069</v>
      </c>
      <c r="R38" s="62">
        <f t="shared" si="0"/>
        <v>293.45159629978986</v>
      </c>
      <c r="S38" s="62">
        <f ca="1">AVERAGE(OFFSET($R$3,0,0,'Données projet'!$E$9+1,1))-AVERAGE(OFFSET($H$3,0,0,'Données projet'!$E$9+1,1))</f>
        <v>57.778110971082867</v>
      </c>
      <c r="T38" s="62">
        <f t="shared" si="34"/>
        <v>144.26475989880868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29.12167611659719</v>
      </c>
      <c r="AA38" s="23">
        <f>EXP(-LN(2)/25)*AA37+(1-EXP(-LN(2)/25))/(LN(2)/25)*Calculateur!V38*Calculateur!X38*VLOOKUP('Données projet'!$B$9,Paramètres!$A$1:$I$89,3,0)*0.475*44/12</f>
        <v>3.6217556105445179</v>
      </c>
      <c r="AB38" s="23">
        <f>EXP(-LN(2)/2)*AB37+(1-EXP(-LN(2)/2))/(LN(2)/2)*V38*Y38*VLOOKUP('Données projet'!$B$9,Paramètres!$A$1:$I$89,3,0)*0.475*44/12</f>
        <v>0</v>
      </c>
      <c r="AC38" s="24">
        <f t="shared" si="3"/>
        <v>32.743431727141704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137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137</v>
      </c>
      <c r="AJ38" s="14">
        <f>AI38*VLOOKUP('Données projet'!$B$10,Paramètres!$A$1:$I$89,3,0)*VLOOKUP('Données projet'!$B$10,Paramètres!$A$1:$I$89,5,0)</f>
        <v>115.40880000000001</v>
      </c>
      <c r="AK38" s="14">
        <f t="shared" si="35"/>
        <v>30.60175820334798</v>
      </c>
      <c r="AL38" s="22">
        <f t="shared" si="4"/>
        <v>254.30172220416441</v>
      </c>
      <c r="AM38" s="62">
        <f t="shared" si="5"/>
        <v>547.63505553749769</v>
      </c>
      <c r="AN38" s="62">
        <f ca="1">AVERAGE(OFFSET($AM$3,0,0,'Données projet'!$E$10+1,1))-AVERAGE(OFFSET($H$3,0,0,'Données projet'!$E$10+1,1))</f>
        <v>237.45928008030023</v>
      </c>
      <c r="AO38" s="62">
        <f t="shared" si="36"/>
        <v>126.78839015508379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172.4</v>
      </c>
      <c r="BB38" s="13">
        <f>VLOOKUP(A38,'Données projet'!$A$87:$I$107,9,0)</f>
        <v>10.780000000000001</v>
      </c>
      <c r="BC38" s="13">
        <f t="array" ref="BC38">INDEX(BB:BB,MIN(IF(ISNUMBER(BB38:BB234),ROW(BB38:BB234),"")))</f>
        <v>10.780000000000001</v>
      </c>
      <c r="BD38" s="13">
        <f>IF('Données projet'!$A$88&gt;35,BD37+BC38-BL37,IF(A38&lt;'Données projet'!$A$88,$BA$205^A38,IF(A38='Données projet'!$A$88,'Données projet'!$B$88,BD37+BC38-BL37)))</f>
        <v>172.4</v>
      </c>
      <c r="BE38" s="14">
        <f>BD38*VLOOKUP('Données projet'!$B$11,Paramètres!$A$1:$I$89,3,0)*VLOOKUP('Données projet'!$B$11,Paramètres!$A$1:$I$89,5,0)</f>
        <v>137.16144000000003</v>
      </c>
      <c r="BF38" s="14">
        <f t="shared" si="37"/>
        <v>35.64595806367339</v>
      </c>
      <c r="BG38" s="22">
        <f t="shared" si="7"/>
        <v>300.97288496089783</v>
      </c>
      <c r="BH38" s="62">
        <f t="shared" si="8"/>
        <v>594.30621829423114</v>
      </c>
      <c r="BI38" s="62">
        <f ca="1">AVERAGE(OFFSET($BH$3,0,0,'Données projet'!$E$11+1,1))-AVERAGE(OFFSET($H$3,0,0,'Données projet'!$E$11+1,1))</f>
        <v>210.55867376929405</v>
      </c>
      <c r="BJ38" s="62">
        <f t="shared" si="38"/>
        <v>249.73837672556022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28.641600000000007</v>
      </c>
      <c r="D39" s="12">
        <f t="shared" si="32"/>
        <v>8.9321263390731787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290.04279981038957</v>
      </c>
      <c r="H39" s="70">
        <f t="shared" si="1"/>
        <v>358.77424004055246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8.0000000000012506E-2</v>
      </c>
      <c r="O39" s="14">
        <f>N39*VLOOKUP('Données projet'!$B$9,Paramètres!$A$1:$I$89,3,0)*VLOOKUP('Données projet'!$B$9,Paramètres!$A$1:$I$89,5,0)</f>
        <v>4.0684800000006363E-2</v>
      </c>
      <c r="P39" s="14">
        <f t="shared" si="33"/>
        <v>2.7217381697540451E-2</v>
      </c>
      <c r="Q39" s="22">
        <f t="shared" si="53"/>
        <v>0.11826296645656069</v>
      </c>
      <c r="R39" s="62">
        <f t="shared" si="0"/>
        <v>293.45159629978986</v>
      </c>
      <c r="S39" s="62">
        <f ca="1">AVERAGE(OFFSET($R$3,0,0,'Données projet'!$E$9+1,1))-AVERAGE(OFFSET($H$3,0,0,'Données projet'!$E$9+1,1))</f>
        <v>57.778110971082867</v>
      </c>
      <c r="T39" s="62">
        <f t="shared" si="34"/>
        <v>144.26475989880868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28.550617810419251</v>
      </c>
      <c r="AA39" s="23">
        <f>EXP(-LN(2)/25)*AA38+(1-EXP(-LN(2)/25))/(LN(2)/25)*Calculateur!V39*Calculateur!X39*VLOOKUP('Données projet'!$B$9,Paramètres!$A$1:$I$89,3,0)*0.475*44/12</f>
        <v>3.5227185129143281</v>
      </c>
      <c r="AB39" s="23">
        <f>EXP(-LN(2)/2)*AB38+(1-EXP(-LN(2)/2))/(LN(2)/2)*V39*Y39*VLOOKUP('Données projet'!$B$9,Paramètres!$A$1:$I$89,3,0)*0.475*44/12</f>
        <v>0</v>
      </c>
      <c r="AC39" s="24">
        <f t="shared" si="3"/>
        <v>32.073336323333578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87.104160000000007</v>
      </c>
      <c r="AK39" s="14">
        <f t="shared" si="35"/>
        <v>23.865494318543401</v>
      </c>
      <c r="AL39" s="22">
        <f t="shared" si="4"/>
        <v>193.27214793812973</v>
      </c>
      <c r="AM39" s="62">
        <f t="shared" si="5"/>
        <v>486.60548127146308</v>
      </c>
      <c r="AN39" s="62">
        <f ca="1">AVERAGE(OFFSET($AM$3,0,0,'Données projet'!$E$10+1,1))-AVERAGE(OFFSET($H$3,0,0,'Données projet'!$E$10+1,1))</f>
        <v>237.45928008030023</v>
      </c>
      <c r="AO39" s="62">
        <f t="shared" si="36"/>
        <v>126.78839015508379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9.4399999999999977</v>
      </c>
      <c r="BD39" s="13">
        <f>IF('Données projet'!$A$88&gt;35,BD38+BC39-BL38,IF(A39&lt;'Données projet'!$A$88,$BA$205^A39,IF(A39='Données projet'!$A$88,'Données projet'!$B$88,BD38+BC39-BL38)))</f>
        <v>181.84</v>
      </c>
      <c r="BE39" s="14">
        <f>BD39*VLOOKUP('Données projet'!$B$11,Paramètres!$A$1:$I$89,3,0)*VLOOKUP('Données projet'!$B$11,Paramètres!$A$1:$I$89,5,0)</f>
        <v>144.67190400000001</v>
      </c>
      <c r="BF39" s="14">
        <f t="shared" si="37"/>
        <v>37.365219813928285</v>
      </c>
      <c r="BG39" s="22">
        <f t="shared" si="7"/>
        <v>317.04799064259174</v>
      </c>
      <c r="BH39" s="62">
        <f t="shared" si="8"/>
        <v>610.38132397592506</v>
      </c>
      <c r="BI39" s="62">
        <f ca="1">AVERAGE(OFFSET($BH$3,0,0,'Données projet'!$E$11+1,1))-AVERAGE(OFFSET($H$3,0,0,'Données projet'!$E$11+1,1))</f>
        <v>210.55867376929405</v>
      </c>
      <c r="BJ39" s="62">
        <f t="shared" si="38"/>
        <v>249.73837672556022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29.437200000000008</v>
      </c>
      <c r="D40" s="12">
        <f t="shared" si="32"/>
        <v>9.1510096001539249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297.87389866785492</v>
      </c>
      <c r="H40" s="70">
        <f t="shared" si="1"/>
        <v>360.54113172026808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8.0000000000012506E-2</v>
      </c>
      <c r="O40" s="14">
        <f>N40*VLOOKUP('Données projet'!$B$9,Paramètres!$A$1:$I$89,3,0)*VLOOKUP('Données projet'!$B$9,Paramètres!$A$1:$I$89,5,0)</f>
        <v>4.0684800000006363E-2</v>
      </c>
      <c r="P40" s="14">
        <f t="shared" si="33"/>
        <v>2.7217381697540451E-2</v>
      </c>
      <c r="Q40" s="22">
        <f t="shared" si="53"/>
        <v>0.11826296645656069</v>
      </c>
      <c r="R40" s="62">
        <f t="shared" si="0"/>
        <v>293.45159629978986</v>
      </c>
      <c r="S40" s="62">
        <f ca="1">AVERAGE(OFFSET($R$3,0,0,'Données projet'!$E$9+1,1))-AVERAGE(OFFSET($H$3,0,0,'Données projet'!$E$9+1,1))</f>
        <v>57.778110971082867</v>
      </c>
      <c r="T40" s="62">
        <f t="shared" si="34"/>
        <v>144.26475989880868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27.99075760931429</v>
      </c>
      <c r="AA40" s="23">
        <f>EXP(-LN(2)/25)*AA39+(1-EXP(-LN(2)/25))/(LN(2)/25)*Calculateur!V40*Calculateur!X40*VLOOKUP('Données projet'!$B$9,Paramètres!$A$1:$I$89,3,0)*0.475*44/12</f>
        <v>3.4263895899269707</v>
      </c>
      <c r="AB40" s="23">
        <f>EXP(-LN(2)/2)*AB39+(1-EXP(-LN(2)/2))/(LN(2)/2)*V40*Y40*VLOOKUP('Données projet'!$B$9,Paramètres!$A$1:$I$89,3,0)*0.475*44/12</f>
        <v>0</v>
      </c>
      <c r="AC40" s="24">
        <f t="shared" si="3"/>
        <v>31.41714719924126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94.180320000000009</v>
      </c>
      <c r="AK40" s="14">
        <f t="shared" si="35"/>
        <v>25.570738079029208</v>
      </c>
      <c r="AL40" s="22">
        <f t="shared" si="4"/>
        <v>208.5664261543092</v>
      </c>
      <c r="AM40" s="62">
        <f t="shared" si="5"/>
        <v>501.89975948764254</v>
      </c>
      <c r="AN40" s="62">
        <f ca="1">AVERAGE(OFFSET($AM$3,0,0,'Données projet'!$E$10+1,1))-AVERAGE(OFFSET($H$3,0,0,'Données projet'!$E$10+1,1))</f>
        <v>237.45928008030023</v>
      </c>
      <c r="AO40" s="62">
        <f t="shared" si="36"/>
        <v>126.78839015508379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9.4399999999999977</v>
      </c>
      <c r="BD40" s="13">
        <f>IF('Données projet'!$A$88&gt;35,BD39+BC40-BL39,IF(A40&lt;'Données projet'!$A$88,$BA$205^A40,IF(A40='Données projet'!$A$88,'Données projet'!$B$88,BD39+BC40-BL39)))</f>
        <v>191.28</v>
      </c>
      <c r="BE40" s="14">
        <f>BD40*VLOOKUP('Données projet'!$B$11,Paramètres!$A$1:$I$89,3,0)*VLOOKUP('Données projet'!$B$11,Paramètres!$A$1:$I$89,5,0)</f>
        <v>152.18236800000003</v>
      </c>
      <c r="BF40" s="14">
        <f t="shared" si="37"/>
        <v>39.074118885510551</v>
      </c>
      <c r="BG40" s="22">
        <f t="shared" si="7"/>
        <v>333.10504799226425</v>
      </c>
      <c r="BH40" s="62">
        <f t="shared" si="8"/>
        <v>626.43838132559756</v>
      </c>
      <c r="BI40" s="62">
        <f ca="1">AVERAGE(OFFSET($BH$3,0,0,'Données projet'!$E$11+1,1))-AVERAGE(OFFSET($H$3,0,0,'Données projet'!$E$11+1,1))</f>
        <v>210.55867376929405</v>
      </c>
      <c r="BJ40" s="62">
        <f t="shared" si="38"/>
        <v>249.73837672556022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30.232800000000008</v>
      </c>
      <c r="D41" s="12">
        <f t="shared" si="32"/>
        <v>9.3692052598737945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305.69968972534167</v>
      </c>
      <c r="H41" s="70">
        <f t="shared" si="1"/>
        <v>362.30682582761352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8.0000000000012506E-2</v>
      </c>
      <c r="O41" s="14">
        <f>N41*VLOOKUP('Données projet'!$B$9,Paramètres!$A$1:$I$89,3,0)*VLOOKUP('Données projet'!$B$9,Paramètres!$A$1:$I$89,5,0)</f>
        <v>4.0684800000006363E-2</v>
      </c>
      <c r="P41" s="14">
        <f t="shared" si="33"/>
        <v>2.7217381697540451E-2</v>
      </c>
      <c r="Q41" s="22">
        <f t="shared" si="53"/>
        <v>0.11826296645656069</v>
      </c>
      <c r="R41" s="62">
        <f t="shared" si="0"/>
        <v>293.45159629978986</v>
      </c>
      <c r="S41" s="62">
        <f ca="1">AVERAGE(OFFSET($R$3,0,0,'Données projet'!$E$9+1,1))-AVERAGE(OFFSET($H$3,0,0,'Données projet'!$E$9+1,1))</f>
        <v>57.778110971082867</v>
      </c>
      <c r="T41" s="62">
        <f t="shared" si="34"/>
        <v>144.26475989880868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27.44187592527199</v>
      </c>
      <c r="AA41" s="23">
        <f>EXP(-LN(2)/25)*AA40+(1-EXP(-LN(2)/25))/(LN(2)/25)*Calculateur!V41*Calculateur!X41*VLOOKUP('Données projet'!$B$9,Paramètres!$A$1:$I$89,3,0)*0.475*44/12</f>
        <v>3.3326947864044203</v>
      </c>
      <c r="AB41" s="23">
        <f>EXP(-LN(2)/2)*AB40+(1-EXP(-LN(2)/2))/(LN(2)/2)*V41*Y41*VLOOKUP('Données projet'!$B$9,Paramètres!$A$1:$I$89,3,0)*0.475*44/12</f>
        <v>0</v>
      </c>
      <c r="AC41" s="24">
        <f t="shared" si="3"/>
        <v>30.774570711676411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101.25648000000002</v>
      </c>
      <c r="AK41" s="14">
        <f t="shared" si="35"/>
        <v>27.261118700621143</v>
      </c>
      <c r="AL41" s="22">
        <f t="shared" si="4"/>
        <v>223.83481773691517</v>
      </c>
      <c r="AM41" s="62">
        <f t="shared" si="5"/>
        <v>517.16815107024854</v>
      </c>
      <c r="AN41" s="62">
        <f ca="1">AVERAGE(OFFSET($AM$3,0,0,'Données projet'!$E$10+1,1))-AVERAGE(OFFSET($H$3,0,0,'Données projet'!$E$10+1,1))</f>
        <v>237.45928008030023</v>
      </c>
      <c r="AO41" s="62">
        <f t="shared" si="36"/>
        <v>126.78839015508379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9.4399999999999977</v>
      </c>
      <c r="BD41" s="13">
        <f>IF('Données projet'!$A$88&gt;35,BD40+BC41-BL40,IF(A41&lt;'Données projet'!$A$88,$BA$205^A41,IF(A41='Données projet'!$A$88,'Données projet'!$B$88,BD40+BC41-BL40)))</f>
        <v>200.72</v>
      </c>
      <c r="BE41" s="14">
        <f>BD41*VLOOKUP('Données projet'!$B$11,Paramètres!$A$1:$I$89,3,0)*VLOOKUP('Données projet'!$B$11,Paramètres!$A$1:$I$89,5,0)</f>
        <v>159.69283200000001</v>
      </c>
      <c r="BF41" s="14">
        <f t="shared" si="37"/>
        <v>40.773225060243078</v>
      </c>
      <c r="BG41" s="22">
        <f t="shared" si="7"/>
        <v>349.14504937992336</v>
      </c>
      <c r="BH41" s="62">
        <f t="shared" si="8"/>
        <v>642.47838271325668</v>
      </c>
      <c r="BI41" s="62">
        <f ca="1">AVERAGE(OFFSET($BH$3,0,0,'Données projet'!$E$11+1,1))-AVERAGE(OFFSET($H$3,0,0,'Données projet'!$E$11+1,1))</f>
        <v>210.55867376929405</v>
      </c>
      <c r="BJ41" s="62">
        <f t="shared" si="38"/>
        <v>249.73837672556022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31.028400000000008</v>
      </c>
      <c r="D42" s="12">
        <f t="shared" si="32"/>
        <v>9.5867334930428374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313.52032871822547</v>
      </c>
      <c r="H42" s="70">
        <f t="shared" si="1"/>
        <v>364.07135750038293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8.0000000000012506E-2</v>
      </c>
      <c r="O42" s="14">
        <f>N42*VLOOKUP('Données projet'!$B$9,Paramètres!$A$1:$I$89,3,0)*VLOOKUP('Données projet'!$B$9,Paramètres!$A$1:$I$89,5,0)</f>
        <v>4.0684800000006363E-2</v>
      </c>
      <c r="P42" s="14">
        <f t="shared" si="33"/>
        <v>2.7217381697540451E-2</v>
      </c>
      <c r="Q42" s="22">
        <f t="shared" si="53"/>
        <v>0.11826296645656069</v>
      </c>
      <c r="R42" s="62">
        <f t="shared" si="0"/>
        <v>293.45159629978986</v>
      </c>
      <c r="S42" s="62">
        <f ca="1">AVERAGE(OFFSET($R$3,0,0,'Données projet'!$E$9+1,1))-AVERAGE(OFFSET($H$3,0,0,'Données projet'!$E$9+1,1))</f>
        <v>57.778110971082867</v>
      </c>
      <c r="T42" s="62">
        <f t="shared" si="34"/>
        <v>144.26475989880868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26.903757476268993</v>
      </c>
      <c r="AA42" s="23">
        <f>EXP(-LN(2)/25)*AA41+(1-EXP(-LN(2)/25))/(LN(2)/25)*Calculateur!V42*Calculateur!X42*VLOOKUP('Données projet'!$B$9,Paramètres!$A$1:$I$89,3,0)*0.475*44/12</f>
        <v>3.2415620722113894</v>
      </c>
      <c r="AB42" s="23">
        <f>EXP(-LN(2)/2)*AB41+(1-EXP(-LN(2)/2))/(LN(2)/2)*V42*Y42*VLOOKUP('Données projet'!$B$9,Paramètres!$A$1:$I$89,3,0)*0.475*44/12</f>
        <v>0</v>
      </c>
      <c r="AC42" s="24">
        <f t="shared" si="3"/>
        <v>30.145319548480384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108.33264000000003</v>
      </c>
      <c r="AK42" s="14">
        <f t="shared" si="35"/>
        <v>28.937793020723745</v>
      </c>
      <c r="AL42" s="22">
        <f t="shared" si="4"/>
        <v>239.07933751109388</v>
      </c>
      <c r="AM42" s="62">
        <f t="shared" si="5"/>
        <v>532.41267084442723</v>
      </c>
      <c r="AN42" s="62">
        <f ca="1">AVERAGE(OFFSET($AM$3,0,0,'Données projet'!$E$10+1,1))-AVERAGE(OFFSET($H$3,0,0,'Données projet'!$E$10+1,1))</f>
        <v>237.45928008030023</v>
      </c>
      <c r="AO42" s="62">
        <f t="shared" si="36"/>
        <v>126.78839015508379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9.4399999999999977</v>
      </c>
      <c r="BD42" s="13">
        <f>IF('Données projet'!$A$88&gt;35,BD41+BC42-BL41,IF(A42&lt;'Données projet'!$A$88,$BA$205^A42,IF(A42='Données projet'!$A$88,'Données projet'!$B$88,BD41+BC42-BL41)))</f>
        <v>210.16</v>
      </c>
      <c r="BE42" s="14">
        <f>BD42*VLOOKUP('Données projet'!$B$11,Paramètres!$A$1:$I$89,3,0)*VLOOKUP('Données projet'!$B$11,Paramètres!$A$1:$I$89,5,0)</f>
        <v>167.20329600000002</v>
      </c>
      <c r="BF42" s="14">
        <f t="shared" si="37"/>
        <v>42.463051496825123</v>
      </c>
      <c r="BG42" s="22">
        <f t="shared" si="7"/>
        <v>365.16888855697044</v>
      </c>
      <c r="BH42" s="62">
        <f t="shared" si="8"/>
        <v>658.50222189030376</v>
      </c>
      <c r="BI42" s="62">
        <f ca="1">AVERAGE(OFFSET($BH$3,0,0,'Données projet'!$E$11+1,1))-AVERAGE(OFFSET($H$3,0,0,'Données projet'!$E$11+1,1))</f>
        <v>210.55867376929405</v>
      </c>
      <c r="BJ42" s="62">
        <f t="shared" si="38"/>
        <v>249.73837672556022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31.824000000000009</v>
      </c>
      <c r="D43" s="12">
        <f t="shared" si="32"/>
        <v>9.8036133809220889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321.33596294045134</v>
      </c>
      <c r="H43" s="70">
        <f t="shared" si="1"/>
        <v>365.83475997177266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8.0000000000012506E-2</v>
      </c>
      <c r="O43" s="14">
        <f>N43*VLOOKUP('Données projet'!$B$9,Paramètres!$A$1:$I$89,3,0)*VLOOKUP('Données projet'!$B$9,Paramètres!$A$1:$I$89,5,0)</f>
        <v>4.0684800000006363E-2</v>
      </c>
      <c r="P43" s="14">
        <f t="shared" si="33"/>
        <v>2.7217381697540451E-2</v>
      </c>
      <c r="Q43" s="22">
        <f t="shared" si="53"/>
        <v>0.11826296645656069</v>
      </c>
      <c r="R43" s="62">
        <f t="shared" si="0"/>
        <v>293.45159629978986</v>
      </c>
      <c r="S43" s="62">
        <f ca="1">AVERAGE(OFFSET($R$3,0,0,'Données projet'!$E$9+1,1))-AVERAGE(OFFSET($H$3,0,0,'Données projet'!$E$9+1,1))</f>
        <v>57.778110971082867</v>
      </c>
      <c r="T43" s="62">
        <f t="shared" si="34"/>
        <v>144.26475989880868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26.376191201831098</v>
      </c>
      <c r="AA43" s="23">
        <f>EXP(-LN(2)/25)*AA42+(1-EXP(-LN(2)/25))/(LN(2)/25)*Calculateur!V43*Calculateur!X43*VLOOKUP('Données projet'!$B$9,Paramètres!$A$1:$I$89,3,0)*0.475*44/12</f>
        <v>3.1529213868804282</v>
      </c>
      <c r="AB43" s="23">
        <f>EXP(-LN(2)/2)*AB42+(1-EXP(-LN(2)/2))/(LN(2)/2)*V43*Y43*VLOOKUP('Données projet'!$B$9,Paramètres!$A$1:$I$89,3,0)*0.475*44/12</f>
        <v>0</v>
      </c>
      <c r="AC43" s="24">
        <f t="shared" si="3"/>
        <v>29.529112588711527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115.40880000000003</v>
      </c>
      <c r="AK43" s="14">
        <f t="shared" si="35"/>
        <v>30.60175820334798</v>
      </c>
      <c r="AL43" s="22">
        <f t="shared" si="4"/>
        <v>254.30172220416443</v>
      </c>
      <c r="AM43" s="62">
        <f t="shared" si="5"/>
        <v>547.63505553749769</v>
      </c>
      <c r="AN43" s="62">
        <f ca="1">AVERAGE(OFFSET($AM$3,0,0,'Données projet'!$E$10+1,1))-AVERAGE(OFFSET($H$3,0,0,'Données projet'!$E$10+1,1))</f>
        <v>237.45928008030023</v>
      </c>
      <c r="AO43" s="62">
        <f t="shared" si="36"/>
        <v>126.78839015508379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219.6</v>
      </c>
      <c r="BB43" s="13">
        <f>VLOOKUP(A43,'Données projet'!$A$87:$I$107,9,0)</f>
        <v>9.4399999999999977</v>
      </c>
      <c r="BC43" s="13">
        <f t="array" ref="BC43">INDEX(BB:BB,MIN(IF(ISNUMBER(BB43:BB239),ROW(BB43:BB239),"")))</f>
        <v>9.4399999999999977</v>
      </c>
      <c r="BD43" s="13">
        <f>IF('Données projet'!$A$88&gt;35,BD42+BC43-BL42,IF(A43&lt;'Données projet'!$A$88,$BA$205^A43,IF(A43='Données projet'!$A$88,'Données projet'!$B$88,BD42+BC43-BL42)))</f>
        <v>219.6</v>
      </c>
      <c r="BE43" s="14">
        <f>BD43*VLOOKUP('Données projet'!$B$11,Paramètres!$A$1:$I$89,3,0)*VLOOKUP('Données projet'!$B$11,Paramètres!$A$1:$I$89,5,0)</f>
        <v>174.71376000000001</v>
      </c>
      <c r="BF43" s="14">
        <f t="shared" si="37"/>
        <v>44.144062647515817</v>
      </c>
      <c r="BG43" s="22">
        <f t="shared" si="7"/>
        <v>381.17737444442338</v>
      </c>
      <c r="BH43" s="62">
        <f t="shared" si="8"/>
        <v>674.51070777775669</v>
      </c>
      <c r="BI43" s="62">
        <f ca="1">AVERAGE(OFFSET($BH$3,0,0,'Données projet'!$E$11+1,1))-AVERAGE(OFFSET($H$3,0,0,'Données projet'!$E$11+1,1))</f>
        <v>210.55867376929405</v>
      </c>
      <c r="BJ43" s="62">
        <f t="shared" si="38"/>
        <v>249.73837672556022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32.619600000000005</v>
      </c>
      <c r="D44" s="12">
        <f t="shared" si="32"/>
        <v>10.019862996333934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329.14673190152519</v>
      </c>
      <c r="H44" s="70">
        <f t="shared" si="1"/>
        <v>367.59706471861489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8.0000000000012506E-2</v>
      </c>
      <c r="O44" s="14">
        <f>N44*VLOOKUP('Données projet'!$B$9,Paramètres!$A$1:$I$89,3,0)*VLOOKUP('Données projet'!$B$9,Paramètres!$A$1:$I$89,5,0)</f>
        <v>4.0684800000006363E-2</v>
      </c>
      <c r="P44" s="14">
        <f t="shared" si="33"/>
        <v>2.7217381697540451E-2</v>
      </c>
      <c r="Q44" s="22">
        <f t="shared" si="53"/>
        <v>0.11826296645656069</v>
      </c>
      <c r="R44" s="62">
        <f t="shared" si="0"/>
        <v>293.45159629978986</v>
      </c>
      <c r="S44" s="62">
        <f ca="1">AVERAGE(OFFSET($R$3,0,0,'Données projet'!$E$9+1,1))-AVERAGE(OFFSET($H$3,0,0,'Données projet'!$E$9+1,1))</f>
        <v>57.778110971082867</v>
      </c>
      <c r="T44" s="62">
        <f t="shared" si="34"/>
        <v>144.26475989880868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25.858970180251276</v>
      </c>
      <c r="AA44" s="23">
        <f>EXP(-LN(2)/25)*AA43+(1-EXP(-LN(2)/25))/(LN(2)/25)*Calculateur!V44*Calculateur!X44*VLOOKUP('Données projet'!$B$9,Paramètres!$A$1:$I$89,3,0)*0.475*44/12</f>
        <v>3.0667045857512534</v>
      </c>
      <c r="AB44" s="23">
        <f>EXP(-LN(2)/2)*AB43+(1-EXP(-LN(2)/2))/(LN(2)/2)*V44*Y44*VLOOKUP('Données projet'!$B$9,Paramètres!$A$1:$I$89,3,0)*0.475*44/12</f>
        <v>0</v>
      </c>
      <c r="AC44" s="24">
        <f t="shared" si="3"/>
        <v>28.92567476600253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145.40000000000003</v>
      </c>
      <c r="AJ44" s="14">
        <f>AI44*VLOOKUP('Données projet'!$B$10,Paramètres!$A$1:$I$89,3,0)*VLOOKUP('Données projet'!$B$10,Paramètres!$A$1:$I$89,5,0)</f>
        <v>122.48496000000003</v>
      </c>
      <c r="AK44" s="14">
        <f t="shared" si="35"/>
        <v>32.25388222264565</v>
      </c>
      <c r="AL44" s="22">
        <f t="shared" si="4"/>
        <v>269.50348353777451</v>
      </c>
      <c r="AM44" s="62">
        <f t="shared" si="5"/>
        <v>562.83681687110789</v>
      </c>
      <c r="AN44" s="62">
        <f ca="1">AVERAGE(OFFSET($AM$3,0,0,'Données projet'!$E$10+1,1))-AVERAGE(OFFSET($H$3,0,0,'Données projet'!$E$10+1,1))</f>
        <v>237.45928008030023</v>
      </c>
      <c r="AO44" s="62">
        <f t="shared" si="36"/>
        <v>126.78839015508379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8.2000000000000064</v>
      </c>
      <c r="BD44" s="13">
        <f>IF('Données projet'!$A$88&gt;35,BD43+BC44-BL43,IF(A44&lt;'Données projet'!$A$88,$BA$205^A44,IF(A44='Données projet'!$A$88,'Données projet'!$B$88,BD43+BC44-BL43)))</f>
        <v>171.8</v>
      </c>
      <c r="BE44" s="14">
        <f>BD44*VLOOKUP('Données projet'!$B$11,Paramètres!$A$1:$I$89,3,0)*VLOOKUP('Données projet'!$B$11,Paramètres!$A$1:$I$89,5,0)</f>
        <v>136.68408000000002</v>
      </c>
      <c r="BF44" s="14">
        <f t="shared" si="37"/>
        <v>35.536318307654433</v>
      </c>
      <c r="BG44" s="22">
        <f t="shared" si="7"/>
        <v>299.9505270524981</v>
      </c>
      <c r="BH44" s="62">
        <f t="shared" si="8"/>
        <v>593.28386038583142</v>
      </c>
      <c r="BI44" s="62">
        <f ca="1">AVERAGE(OFFSET($BH$3,0,0,'Données projet'!$E$11+1,1))-AVERAGE(OFFSET($H$3,0,0,'Données projet'!$E$11+1,1))</f>
        <v>210.55867376929405</v>
      </c>
      <c r="BJ44" s="62">
        <f t="shared" si="38"/>
        <v>249.73837672556022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33.415200000000006</v>
      </c>
      <c r="D45" s="12">
        <f t="shared" si="32"/>
        <v>10.235499480235138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336.95276791760466</v>
      </c>
      <c r="H45" s="70">
        <f t="shared" si="1"/>
        <v>369.35830159474284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8.0000000000012506E-2</v>
      </c>
      <c r="O45" s="14">
        <f>N45*VLOOKUP('Données projet'!$B$9,Paramètres!$A$1:$I$89,3,0)*VLOOKUP('Données projet'!$B$9,Paramètres!$A$1:$I$89,5,0)</f>
        <v>4.0684800000006363E-2</v>
      </c>
      <c r="P45" s="14">
        <f t="shared" si="33"/>
        <v>2.7217381697540451E-2</v>
      </c>
      <c r="Q45" s="22">
        <f t="shared" si="53"/>
        <v>0.11826296645656069</v>
      </c>
      <c r="R45" s="62">
        <f t="shared" si="0"/>
        <v>293.45159629978986</v>
      </c>
      <c r="S45" s="62">
        <f ca="1">AVERAGE(OFFSET($R$3,0,0,'Données projet'!$E$9+1,1))-AVERAGE(OFFSET($H$3,0,0,'Données projet'!$E$9+1,1))</f>
        <v>57.778110971082867</v>
      </c>
      <c r="T45" s="62">
        <f t="shared" si="34"/>
        <v>144.26475989880868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25.351891547430963</v>
      </c>
      <c r="AA45" s="23">
        <f>EXP(-LN(2)/25)*AA44+(1-EXP(-LN(2)/25))/(LN(2)/25)*Calculateur!V45*Calculateur!X45*VLOOKUP('Données projet'!$B$9,Paramètres!$A$1:$I$89,3,0)*0.475*44/12</f>
        <v>2.9828453875829002</v>
      </c>
      <c r="AB45" s="23">
        <f>EXP(-LN(2)/2)*AB44+(1-EXP(-LN(2)/2))/(LN(2)/2)*V45*Y45*VLOOKUP('Données projet'!$B$9,Paramètres!$A$1:$I$89,3,0)*0.475*44/12</f>
        <v>0</v>
      </c>
      <c r="AC45" s="24">
        <f t="shared" si="3"/>
        <v>28.334736935013865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153.80000000000004</v>
      </c>
      <c r="AJ45" s="14">
        <f>AI45*VLOOKUP('Données projet'!$B$10,Paramètres!$A$1:$I$89,3,0)*VLOOKUP('Données projet'!$B$10,Paramètres!$A$1:$I$89,5,0)</f>
        <v>129.56112000000005</v>
      </c>
      <c r="AK45" s="14">
        <f t="shared" si="35"/>
        <v>33.894927099295955</v>
      </c>
      <c r="AL45" s="22">
        <f t="shared" si="4"/>
        <v>284.68594869794055</v>
      </c>
      <c r="AM45" s="62">
        <f t="shared" si="5"/>
        <v>578.01928203127386</v>
      </c>
      <c r="AN45" s="62">
        <f ca="1">AVERAGE(OFFSET($AM$3,0,0,'Données projet'!$E$10+1,1))-AVERAGE(OFFSET($H$3,0,0,'Données projet'!$E$10+1,1))</f>
        <v>237.45928008030023</v>
      </c>
      <c r="AO45" s="62">
        <f t="shared" si="36"/>
        <v>126.78839015508379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8.2000000000000064</v>
      </c>
      <c r="BD45" s="13">
        <f>IF('Données projet'!$A$88&gt;35,BD44+BC45-BL44,IF(A45&lt;'Données projet'!$A$88,$BA$205^A45,IF(A45='Données projet'!$A$88,'Données projet'!$B$88,BD44+BC45-BL44)))</f>
        <v>180.00000000000003</v>
      </c>
      <c r="BE45" s="14">
        <f>BD45*VLOOKUP('Données projet'!$B$11,Paramètres!$A$1:$I$89,3,0)*VLOOKUP('Données projet'!$B$11,Paramètres!$A$1:$I$89,5,0)</f>
        <v>143.20800000000003</v>
      </c>
      <c r="BF45" s="14">
        <f t="shared" si="37"/>
        <v>37.030941422835831</v>
      </c>
      <c r="BG45" s="22">
        <f t="shared" si="7"/>
        <v>313.91615631143912</v>
      </c>
      <c r="BH45" s="62">
        <f t="shared" si="8"/>
        <v>607.24948964477244</v>
      </c>
      <c r="BI45" s="62">
        <f ca="1">AVERAGE(OFFSET($BH$3,0,0,'Données projet'!$E$11+1,1))-AVERAGE(OFFSET($H$3,0,0,'Données projet'!$E$11+1,1))</f>
        <v>210.55867376929405</v>
      </c>
      <c r="BJ45" s="62">
        <f t="shared" si="38"/>
        <v>249.73837672556022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34.210800000000006</v>
      </c>
      <c r="D46" s="12">
        <f t="shared" si="32"/>
        <v>10.450539110791825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344.75419664470888</v>
      </c>
      <c r="H46" s="70">
        <f t="shared" si="1"/>
        <v>371.11849895129575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8.0000000000012506E-2</v>
      </c>
      <c r="O46" s="14">
        <f>N46*VLOOKUP('Données projet'!$B$9,Paramètres!$A$1:$I$89,3,0)*VLOOKUP('Données projet'!$B$9,Paramètres!$A$1:$I$89,5,0)</f>
        <v>4.0684800000006363E-2</v>
      </c>
      <c r="P46" s="14">
        <f t="shared" si="33"/>
        <v>2.7217381697540451E-2</v>
      </c>
      <c r="Q46" s="22">
        <f t="shared" si="53"/>
        <v>0.11826296645656069</v>
      </c>
      <c r="R46" s="62">
        <f t="shared" si="0"/>
        <v>293.45159629978986</v>
      </c>
      <c r="S46" s="62">
        <f ca="1">AVERAGE(OFFSET($R$3,0,0,'Données projet'!$E$9+1,1))-AVERAGE(OFFSET($H$3,0,0,'Données projet'!$E$9+1,1))</f>
        <v>57.778110971082867</v>
      </c>
      <c r="T46" s="62">
        <f t="shared" si="34"/>
        <v>144.26475989880868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24.854756417312828</v>
      </c>
      <c r="AA46" s="23">
        <f>EXP(-LN(2)/25)*AA45+(1-EXP(-LN(2)/25))/(LN(2)/25)*Calculateur!V46*Calculateur!X46*VLOOKUP('Données projet'!$B$9,Paramètres!$A$1:$I$89,3,0)*0.475*44/12</f>
        <v>2.9012793235984242</v>
      </c>
      <c r="AB46" s="23">
        <f>EXP(-LN(2)/2)*AB45+(1-EXP(-LN(2)/2))/(LN(2)/2)*V46*Y46*VLOOKUP('Données projet'!$B$9,Paramètres!$A$1:$I$89,3,0)*0.475*44/12</f>
        <v>0</v>
      </c>
      <c r="AC46" s="24">
        <f t="shared" si="3"/>
        <v>27.756035740911251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162.20000000000005</v>
      </c>
      <c r="AJ46" s="14">
        <f>AI46*VLOOKUP('Données projet'!$B$10,Paramètres!$A$1:$I$89,3,0)*VLOOKUP('Données projet'!$B$10,Paramètres!$A$1:$I$89,5,0)</f>
        <v>136.63728000000006</v>
      </c>
      <c r="AK46" s="14">
        <f t="shared" si="35"/>
        <v>35.525566915250494</v>
      </c>
      <c r="AL46" s="22">
        <f t="shared" si="4"/>
        <v>299.85029171072807</v>
      </c>
      <c r="AM46" s="62">
        <f t="shared" si="5"/>
        <v>593.18362504406139</v>
      </c>
      <c r="AN46" s="62">
        <f ca="1">AVERAGE(OFFSET($AM$3,0,0,'Données projet'!$E$10+1,1))-AVERAGE(OFFSET($H$3,0,0,'Données projet'!$E$10+1,1))</f>
        <v>237.45928008030023</v>
      </c>
      <c r="AO46" s="62">
        <f t="shared" si="36"/>
        <v>126.78839015508379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8.2000000000000064</v>
      </c>
      <c r="BD46" s="13">
        <f>IF('Données projet'!$A$88&gt;35,BD45+BC46-BL45,IF(A46&lt;'Données projet'!$A$88,$BA$205^A46,IF(A46='Données projet'!$A$88,'Données projet'!$B$88,BD45+BC46-BL45)))</f>
        <v>188.20000000000005</v>
      </c>
      <c r="BE46" s="14">
        <f>BD46*VLOOKUP('Données projet'!$B$11,Paramètres!$A$1:$I$89,3,0)*VLOOKUP('Données projet'!$B$11,Paramètres!$A$1:$I$89,5,0)</f>
        <v>149.73192000000006</v>
      </c>
      <c r="BF46" s="14">
        <f t="shared" si="37"/>
        <v>38.517657137847586</v>
      </c>
      <c r="BG46" s="22">
        <f t="shared" si="7"/>
        <v>327.86801351508461</v>
      </c>
      <c r="BH46" s="62">
        <f t="shared" si="8"/>
        <v>621.20134684841787</v>
      </c>
      <c r="BI46" s="62">
        <f ca="1">AVERAGE(OFFSET($BH$3,0,0,'Données projet'!$E$11+1,1))-AVERAGE(OFFSET($H$3,0,0,'Données projet'!$E$11+1,1))</f>
        <v>210.55867376929405</v>
      </c>
      <c r="BJ46" s="62">
        <f t="shared" si="38"/>
        <v>249.73837672556022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35.006400000000006</v>
      </c>
      <c r="D47" s="12">
        <f t="shared" si="32"/>
        <v>10.664997365847841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352.55113756093078</v>
      </c>
      <c r="H47" s="70">
        <f t="shared" si="1"/>
        <v>372.87768374551831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8.0000000000012506E-2</v>
      </c>
      <c r="O47" s="14">
        <f>N47*VLOOKUP('Données projet'!$B$9,Paramètres!$A$1:$I$89,3,0)*VLOOKUP('Données projet'!$B$9,Paramètres!$A$1:$I$89,5,0)</f>
        <v>4.0684800000006363E-2</v>
      </c>
      <c r="P47" s="14">
        <f t="shared" si="33"/>
        <v>2.7217381697540451E-2</v>
      </c>
      <c r="Q47" s="22">
        <f t="shared" si="53"/>
        <v>0.11826296645656069</v>
      </c>
      <c r="R47" s="62">
        <f t="shared" si="0"/>
        <v>293.45159629978986</v>
      </c>
      <c r="S47" s="62">
        <f ca="1">AVERAGE(OFFSET($R$3,0,0,'Données projet'!$E$9+1,1))-AVERAGE(OFFSET($H$3,0,0,'Données projet'!$E$9+1,1))</f>
        <v>57.778110971082867</v>
      </c>
      <c r="T47" s="62">
        <f t="shared" si="34"/>
        <v>144.26475989880868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24.367369803873821</v>
      </c>
      <c r="AA47" s="23">
        <f>EXP(-LN(2)/25)*AA46+(1-EXP(-LN(2)/25))/(LN(2)/25)*Calculateur!V47*Calculateur!X47*VLOOKUP('Données projet'!$B$9,Paramètres!$A$1:$I$89,3,0)*0.475*44/12</f>
        <v>2.8219436879229765</v>
      </c>
      <c r="AB47" s="23">
        <f>EXP(-LN(2)/2)*AB46+(1-EXP(-LN(2)/2))/(LN(2)/2)*V47*Y47*VLOOKUP('Données projet'!$B$9,Paramètres!$A$1:$I$89,3,0)*0.475*44/12</f>
        <v>0</v>
      </c>
      <c r="AC47" s="24">
        <f t="shared" si="3"/>
        <v>27.189313491796796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170.60000000000005</v>
      </c>
      <c r="AJ47" s="14">
        <f>AI47*VLOOKUP('Données projet'!$B$10,Paramètres!$A$1:$I$89,3,0)*VLOOKUP('Données projet'!$B$10,Paramètres!$A$1:$I$89,5,0)</f>
        <v>143.71344000000008</v>
      </c>
      <c r="AK47" s="14">
        <f t="shared" si="35"/>
        <v>37.146401990372148</v>
      </c>
      <c r="AL47" s="22">
        <f t="shared" si="4"/>
        <v>314.99755813323162</v>
      </c>
      <c r="AM47" s="62">
        <f t="shared" si="5"/>
        <v>608.33089146656494</v>
      </c>
      <c r="AN47" s="62">
        <f ca="1">AVERAGE(OFFSET($AM$3,0,0,'Données projet'!$E$10+1,1))-AVERAGE(OFFSET($H$3,0,0,'Données projet'!$E$10+1,1))</f>
        <v>237.45928008030023</v>
      </c>
      <c r="AO47" s="62">
        <f t="shared" si="36"/>
        <v>126.78839015508379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8.2000000000000064</v>
      </c>
      <c r="BD47" s="13">
        <f>IF('Données projet'!$A$88&gt;35,BD46+BC47-BL46,IF(A47&lt;'Données projet'!$A$88,$BA$205^A47,IF(A47='Données projet'!$A$88,'Données projet'!$B$88,BD46+BC47-BL46)))</f>
        <v>196.40000000000006</v>
      </c>
      <c r="BE47" s="14">
        <f>BD47*VLOOKUP('Données projet'!$B$11,Paramètres!$A$1:$I$89,3,0)*VLOOKUP('Données projet'!$B$11,Paramètres!$A$1:$I$89,5,0)</f>
        <v>156.25584000000006</v>
      </c>
      <c r="BF47" s="14">
        <f t="shared" si="37"/>
        <v>39.996849361050039</v>
      </c>
      <c r="BG47" s="22">
        <f t="shared" si="7"/>
        <v>341.80676730382885</v>
      </c>
      <c r="BH47" s="62">
        <f t="shared" si="8"/>
        <v>635.14010063716216</v>
      </c>
      <c r="BI47" s="62">
        <f ca="1">AVERAGE(OFFSET($BH$3,0,0,'Données projet'!$E$11+1,1))-AVERAGE(OFFSET($H$3,0,0,'Données projet'!$E$11+1,1))</f>
        <v>210.55867376929405</v>
      </c>
      <c r="BJ47" s="62">
        <f t="shared" si="38"/>
        <v>249.73837672556022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35.802000000000007</v>
      </c>
      <c r="D48" s="12">
        <f t="shared" si="32"/>
        <v>10.878888979554032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360.34370440357503</v>
      </c>
      <c r="H48" s="70">
        <f t="shared" si="1"/>
        <v>374.63588163938994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8.0000000000012506E-2</v>
      </c>
      <c r="O48" s="14">
        <f>N48*VLOOKUP('Données projet'!$B$9,Paramètres!$A$1:$I$89,3,0)*VLOOKUP('Données projet'!$B$9,Paramètres!$A$1:$I$89,5,0)</f>
        <v>4.0684800000006363E-2</v>
      </c>
      <c r="P48" s="14">
        <f t="shared" si="33"/>
        <v>2.7217381697540451E-2</v>
      </c>
      <c r="Q48" s="22">
        <f t="shared" si="53"/>
        <v>0.11826296645656069</v>
      </c>
      <c r="R48" s="62">
        <f t="shared" si="0"/>
        <v>293.45159629978986</v>
      </c>
      <c r="S48" s="62">
        <f ca="1">AVERAGE(OFFSET($R$3,0,0,'Données projet'!$E$9+1,1))-AVERAGE(OFFSET($H$3,0,0,'Données projet'!$E$9+1,1))</f>
        <v>57.778110971082867</v>
      </c>
      <c r="T48" s="62">
        <f t="shared" si="34"/>
        <v>144.26475989880868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23.889540544647872</v>
      </c>
      <c r="AA48" s="23">
        <f>EXP(-LN(2)/25)*AA47+(1-EXP(-LN(2)/25))/(LN(2)/25)*Calculateur!V48*Calculateur!X48*VLOOKUP('Données projet'!$B$9,Paramètres!$A$1:$I$89,3,0)*0.475*44/12</f>
        <v>2.7447774893771539</v>
      </c>
      <c r="AB48" s="23">
        <f>EXP(-LN(2)/2)*AB47+(1-EXP(-LN(2)/2))/(LN(2)/2)*V48*Y48*VLOOKUP('Données projet'!$B$9,Paramètres!$A$1:$I$89,3,0)*0.475*44/12</f>
        <v>0</v>
      </c>
      <c r="AC48" s="24">
        <f t="shared" si="3"/>
        <v>26.634318034025025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179.00000000000006</v>
      </c>
      <c r="AJ48" s="14">
        <f>AI48*VLOOKUP('Données projet'!$B$10,Paramètres!$A$1:$I$89,3,0)*VLOOKUP('Données projet'!$B$10,Paramètres!$A$1:$I$89,5,0)</f>
        <v>150.78960000000006</v>
      </c>
      <c r="AK48" s="14">
        <f t="shared" si="35"/>
        <v>38.757970187689722</v>
      </c>
      <c r="AL48" s="22">
        <f t="shared" si="4"/>
        <v>330.12868474355969</v>
      </c>
      <c r="AM48" s="62">
        <f t="shared" si="5"/>
        <v>623.46201807689295</v>
      </c>
      <c r="AN48" s="62">
        <f ca="1">AVERAGE(OFFSET($AM$3,0,0,'Données projet'!$E$10+1,1))-AVERAGE(OFFSET($H$3,0,0,'Données projet'!$E$10+1,1))</f>
        <v>237.45928008030023</v>
      </c>
      <c r="AO48" s="62">
        <f t="shared" si="36"/>
        <v>126.78839015508379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204.60000000000002</v>
      </c>
      <c r="BB48" s="13">
        <f>VLOOKUP(A48,'Données projet'!$A$87:$I$107,9,0)</f>
        <v>8.2000000000000064</v>
      </c>
      <c r="BC48" s="13">
        <f t="array" ref="BC48">INDEX(BB:BB,MIN(IF(ISNUMBER(BB48:BB244),ROW(BB48:BB244),"")))</f>
        <v>8.2000000000000064</v>
      </c>
      <c r="BD48" s="13">
        <f>IF('Données projet'!$A$88&gt;35,BD47+BC48-BL47,IF(A48&lt;'Données projet'!$A$88,$BA$205^A48,IF(A48='Données projet'!$A$88,'Données projet'!$B$88,BD47+BC48-BL47)))</f>
        <v>204.60000000000008</v>
      </c>
      <c r="BE48" s="14">
        <f>BD48*VLOOKUP('Données projet'!$B$11,Paramètres!$A$1:$I$89,3,0)*VLOOKUP('Données projet'!$B$11,Paramètres!$A$1:$I$89,5,0)</f>
        <v>162.77976000000007</v>
      </c>
      <c r="BF48" s="14">
        <f t="shared" si="37"/>
        <v>41.468868129640093</v>
      </c>
      <c r="BG48" s="22">
        <f t="shared" si="7"/>
        <v>355.73302732578992</v>
      </c>
      <c r="BH48" s="62">
        <f t="shared" si="8"/>
        <v>649.06636065912323</v>
      </c>
      <c r="BI48" s="62">
        <f ca="1">AVERAGE(OFFSET($BH$3,0,0,'Données projet'!$E$11+1,1))-AVERAGE(OFFSET($H$3,0,0,'Données projet'!$E$11+1,1))</f>
        <v>210.55867376929405</v>
      </c>
      <c r="BJ48" s="62">
        <f t="shared" si="38"/>
        <v>249.73837672556022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36.597600000000007</v>
      </c>
      <c r="D49" s="12">
        <f t="shared" si="32"/>
        <v>11.092227993821965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368.13200556634507</v>
      </c>
      <c r="H49" s="70">
        <f t="shared" si="1"/>
        <v>376.39311708923992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8.0000000000012506E-2</v>
      </c>
      <c r="O49" s="14">
        <f>N49*VLOOKUP('Données projet'!$B$9,Paramètres!$A$1:$I$89,3,0)*VLOOKUP('Données projet'!$B$9,Paramètres!$A$1:$I$89,5,0)</f>
        <v>4.0684800000006363E-2</v>
      </c>
      <c r="P49" s="14">
        <f t="shared" si="33"/>
        <v>2.7217381697540451E-2</v>
      </c>
      <c r="Q49" s="22">
        <f t="shared" si="53"/>
        <v>0.11826296645656069</v>
      </c>
      <c r="R49" s="62">
        <f t="shared" si="0"/>
        <v>293.45159629978986</v>
      </c>
      <c r="S49" s="62">
        <f ca="1">AVERAGE(OFFSET($R$3,0,0,'Données projet'!$E$9+1,1))-AVERAGE(OFFSET($H$3,0,0,'Données projet'!$E$9+1,1))</f>
        <v>57.778110971082867</v>
      </c>
      <c r="T49" s="62">
        <f t="shared" si="34"/>
        <v>144.26475989880868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23.421081225748274</v>
      </c>
      <c r="AA49" s="23">
        <f>EXP(-LN(2)/25)*AA48+(1-EXP(-LN(2)/25))/(LN(2)/25)*Calculateur!V49*Calculateur!X49*VLOOKUP('Données projet'!$B$9,Paramètres!$A$1:$I$89,3,0)*0.475*44/12</f>
        <v>2.6697214045885609</v>
      </c>
      <c r="AB49" s="23">
        <f>EXP(-LN(2)/2)*AB48+(1-EXP(-LN(2)/2))/(LN(2)/2)*V49*Y49*VLOOKUP('Données projet'!$B$9,Paramètres!$A$1:$I$89,3,0)*0.475*44/12</f>
        <v>0</v>
      </c>
      <c r="AC49" s="24">
        <f t="shared" si="3"/>
        <v>26.090802630336835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122.31648000000006</v>
      </c>
      <c r="AK49" s="14">
        <f t="shared" si="35"/>
        <v>32.214677527967339</v>
      </c>
      <c r="AL49" s="22">
        <f t="shared" si="4"/>
        <v>269.14176602787654</v>
      </c>
      <c r="AM49" s="62">
        <f t="shared" si="5"/>
        <v>562.47509936120991</v>
      </c>
      <c r="AN49" s="62">
        <f ca="1">AVERAGE(OFFSET($AM$3,0,0,'Données projet'!$E$10+1,1))-AVERAGE(OFFSET($H$3,0,0,'Données projet'!$E$10+1,1))</f>
        <v>237.45928008030023</v>
      </c>
      <c r="AO49" s="62">
        <f t="shared" si="36"/>
        <v>126.78839015508379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7.1199999999999992</v>
      </c>
      <c r="BD49" s="13">
        <f>IF('Données projet'!$A$88&gt;35,BD48+BC49-BL48,IF(A49&lt;'Données projet'!$A$88,$BA$205^A49,IF(A49='Données projet'!$A$88,'Données projet'!$B$88,BD48+BC49-BL48)))</f>
        <v>211.72000000000008</v>
      </c>
      <c r="BE49" s="14">
        <f>BD49*VLOOKUP('Données projet'!$B$11,Paramètres!$A$1:$I$89,3,0)*VLOOKUP('Données projet'!$B$11,Paramètres!$A$1:$I$89,5,0)</f>
        <v>168.44443200000006</v>
      </c>
      <c r="BF49" s="14">
        <f t="shared" si="37"/>
        <v>42.741441926261587</v>
      </c>
      <c r="BG49" s="22">
        <f t="shared" si="7"/>
        <v>367.81539708823902</v>
      </c>
      <c r="BH49" s="62">
        <f t="shared" si="8"/>
        <v>661.14873042157228</v>
      </c>
      <c r="BI49" s="62">
        <f ca="1">AVERAGE(OFFSET($BH$3,0,0,'Données projet'!$E$11+1,1))-AVERAGE(OFFSET($H$3,0,0,'Données projet'!$E$11+1,1))</f>
        <v>210.55867376929405</v>
      </c>
      <c r="BJ49" s="62">
        <f t="shared" si="38"/>
        <v>249.73837672556022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37.393200000000007</v>
      </c>
      <c r="D50" s="12">
        <f t="shared" si="32"/>
        <v>11.305027805177136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375.91614446101653</v>
      </c>
      <c r="H50" s="70">
        <f t="shared" si="1"/>
        <v>378.14941342735017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8.0000000000012506E-2</v>
      </c>
      <c r="O50" s="14">
        <f>N50*VLOOKUP('Données projet'!$B$9,Paramètres!$A$1:$I$89,3,0)*VLOOKUP('Données projet'!$B$9,Paramètres!$A$1:$I$89,5,0)</f>
        <v>4.0684800000006363E-2</v>
      </c>
      <c r="P50" s="14">
        <f t="shared" si="33"/>
        <v>2.7217381697540451E-2</v>
      </c>
      <c r="Q50" s="22">
        <f t="shared" si="53"/>
        <v>0.11826296645656069</v>
      </c>
      <c r="R50" s="62">
        <f t="shared" si="0"/>
        <v>293.45159629978986</v>
      </c>
      <c r="S50" s="62">
        <f ca="1">AVERAGE(OFFSET($R$3,0,0,'Données projet'!$E$9+1,1))-AVERAGE(OFFSET($H$3,0,0,'Données projet'!$E$9+1,1))</f>
        <v>57.778110971082867</v>
      </c>
      <c r="T50" s="62">
        <f t="shared" si="34"/>
        <v>144.26475989880868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22.961808108360326</v>
      </c>
      <c r="AA50" s="23">
        <f>EXP(-LN(2)/25)*AA49+(1-EXP(-LN(2)/25))/(LN(2)/25)*Calculateur!V50*Calculateur!X50*VLOOKUP('Données projet'!$B$9,Paramètres!$A$1:$I$89,3,0)*0.475*44/12</f>
        <v>2.5967177323855397</v>
      </c>
      <c r="AB50" s="23">
        <f>EXP(-LN(2)/2)*AB49+(1-EXP(-LN(2)/2))/(LN(2)/2)*V50*Y50*VLOOKUP('Données projet'!$B$9,Paramètres!$A$1:$I$89,3,0)*0.475*44/12</f>
        <v>0</v>
      </c>
      <c r="AC50" s="24">
        <f t="shared" si="3"/>
        <v>25.558525840745865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129.22416000000004</v>
      </c>
      <c r="AK50" s="14">
        <f t="shared" si="35"/>
        <v>33.817023080295762</v>
      </c>
      <c r="AL50" s="22">
        <f t="shared" si="4"/>
        <v>283.96339386484851</v>
      </c>
      <c r="AM50" s="62">
        <f t="shared" si="5"/>
        <v>577.29672719818177</v>
      </c>
      <c r="AN50" s="62">
        <f ca="1">AVERAGE(OFFSET($AM$3,0,0,'Données projet'!$E$10+1,1))-AVERAGE(OFFSET($H$3,0,0,'Données projet'!$E$10+1,1))</f>
        <v>237.45928008030023</v>
      </c>
      <c r="AO50" s="62">
        <f t="shared" si="36"/>
        <v>126.78839015508379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7.1199999999999992</v>
      </c>
      <c r="BD50" s="13">
        <f>IF('Données projet'!$A$88&gt;35,BD49+BC50-BL49,IF(A50&lt;'Données projet'!$A$88,$BA$205^A50,IF(A50='Données projet'!$A$88,'Données projet'!$B$88,BD49+BC50-BL49)))</f>
        <v>218.84000000000009</v>
      </c>
      <c r="BE50" s="14">
        <f>BD50*VLOOKUP('Données projet'!$B$11,Paramètres!$A$1:$I$89,3,0)*VLOOKUP('Données projet'!$B$11,Paramètres!$A$1:$I$89,5,0)</f>
        <v>174.10910400000009</v>
      </c>
      <c r="BF50" s="14">
        <f t="shared" si="37"/>
        <v>44.009043039404553</v>
      </c>
      <c r="BG50" s="22">
        <f t="shared" si="7"/>
        <v>379.88910609362978</v>
      </c>
      <c r="BH50" s="62">
        <f t="shared" si="8"/>
        <v>673.22243942696309</v>
      </c>
      <c r="BI50" s="62">
        <f ca="1">AVERAGE(OFFSET($BH$3,0,0,'Données projet'!$E$11+1,1))-AVERAGE(OFFSET($H$3,0,0,'Données projet'!$E$11+1,1))</f>
        <v>210.55867376929405</v>
      </c>
      <c r="BJ50" s="62">
        <f t="shared" si="38"/>
        <v>249.73837672556022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38.188800000000008</v>
      </c>
      <c r="D51" s="12">
        <f t="shared" si="32"/>
        <v>11.517301207512151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383.69621984746232</v>
      </c>
      <c r="H51" s="70">
        <f t="shared" si="1"/>
        <v>379.90479293641698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8.0000000000012506E-2</v>
      </c>
      <c r="O51" s="14">
        <f>N51*VLOOKUP('Données projet'!$B$9,Paramètres!$A$1:$I$89,3,0)*VLOOKUP('Données projet'!$B$9,Paramètres!$A$1:$I$89,5,0)</f>
        <v>4.0684800000006363E-2</v>
      </c>
      <c r="P51" s="14">
        <f t="shared" si="33"/>
        <v>2.7217381697540451E-2</v>
      </c>
      <c r="Q51" s="22">
        <f t="shared" si="53"/>
        <v>0.11826296645656069</v>
      </c>
      <c r="R51" s="62">
        <f t="shared" si="0"/>
        <v>293.45159629978986</v>
      </c>
      <c r="S51" s="62">
        <f ca="1">AVERAGE(OFFSET($R$3,0,0,'Données projet'!$E$9+1,1))-AVERAGE(OFFSET($H$3,0,0,'Données projet'!$E$9+1,1))</f>
        <v>57.778110971082867</v>
      </c>
      <c r="T51" s="62">
        <f t="shared" si="34"/>
        <v>144.26475989880868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22.511541056675416</v>
      </c>
      <c r="AA51" s="23">
        <f>EXP(-LN(2)/25)*AA50+(1-EXP(-LN(2)/25))/(LN(2)/25)*Calculateur!V51*Calculateur!X51*VLOOKUP('Données projet'!$B$9,Paramètres!$A$1:$I$89,3,0)*0.475*44/12</f>
        <v>2.5257103494380067</v>
      </c>
      <c r="AB51" s="23">
        <f>EXP(-LN(2)/2)*AB50+(1-EXP(-LN(2)/2))/(LN(2)/2)*V51*Y51*VLOOKUP('Données projet'!$B$9,Paramètres!$A$1:$I$89,3,0)*0.475*44/12</f>
        <v>0</v>
      </c>
      <c r="AC51" s="24">
        <f t="shared" si="3"/>
        <v>25.037251406113423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136.13184000000004</v>
      </c>
      <c r="AK51" s="14">
        <f t="shared" si="35"/>
        <v>35.40942452951419</v>
      </c>
      <c r="AL51" s="22">
        <f t="shared" si="4"/>
        <v>298.7677023889039</v>
      </c>
      <c r="AM51" s="62">
        <f t="shared" si="5"/>
        <v>592.10103572223716</v>
      </c>
      <c r="AN51" s="62">
        <f ca="1">AVERAGE(OFFSET($AM$3,0,0,'Données projet'!$E$10+1,1))-AVERAGE(OFFSET($H$3,0,0,'Données projet'!$E$10+1,1))</f>
        <v>237.45928008030023</v>
      </c>
      <c r="AO51" s="62">
        <f t="shared" si="36"/>
        <v>126.78839015508379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7.1199999999999992</v>
      </c>
      <c r="BD51" s="13">
        <f>IF('Données projet'!$A$88&gt;35,BD50+BC51-BL50,IF(A51&lt;'Données projet'!$A$88,$BA$205^A51,IF(A51='Données projet'!$A$88,'Données projet'!$B$88,BD50+BC51-BL50)))</f>
        <v>225.96000000000009</v>
      </c>
      <c r="BE51" s="14">
        <f>BD51*VLOOKUP('Données projet'!$B$11,Paramètres!$A$1:$I$89,3,0)*VLOOKUP('Données projet'!$B$11,Paramètres!$A$1:$I$89,5,0)</f>
        <v>179.77377600000008</v>
      </c>
      <c r="BF51" s="14">
        <f t="shared" si="37"/>
        <v>45.271851811295718</v>
      </c>
      <c r="BG51" s="22">
        <f t="shared" si="7"/>
        <v>391.95446843800681</v>
      </c>
      <c r="BH51" s="62">
        <f t="shared" si="8"/>
        <v>685.28780177134013</v>
      </c>
      <c r="BI51" s="62">
        <f ca="1">AVERAGE(OFFSET($BH$3,0,0,'Données projet'!$E$11+1,1))-AVERAGE(OFFSET($H$3,0,0,'Données projet'!$E$11+1,1))</f>
        <v>210.55867376929405</v>
      </c>
      <c r="BJ51" s="62">
        <f t="shared" si="38"/>
        <v>249.73837672556022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38.984400000000008</v>
      </c>
      <c r="D52" s="12">
        <f t="shared" si="32"/>
        <v>11.729060431176629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391.47232613539859</v>
      </c>
      <c r="H52" s="70">
        <f t="shared" si="1"/>
        <v>381.65927691763261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8.0000000000012506E-2</v>
      </c>
      <c r="O52" s="14">
        <f>N52*VLOOKUP('Données projet'!$B$9,Paramètres!$A$1:$I$89,3,0)*VLOOKUP('Données projet'!$B$9,Paramètres!$A$1:$I$89,5,0)</f>
        <v>4.0684800000006363E-2</v>
      </c>
      <c r="P52" s="14">
        <f t="shared" si="33"/>
        <v>2.7217381697540451E-2</v>
      </c>
      <c r="Q52" s="22">
        <f t="shared" si="53"/>
        <v>0.11826296645656069</v>
      </c>
      <c r="R52" s="62">
        <f t="shared" si="0"/>
        <v>293.45159629978986</v>
      </c>
      <c r="S52" s="62">
        <f ca="1">AVERAGE(OFFSET($R$3,0,0,'Données projet'!$E$9+1,1))-AVERAGE(OFFSET($H$3,0,0,'Données projet'!$E$9+1,1))</f>
        <v>57.778110971082867</v>
      </c>
      <c r="T52" s="62">
        <f t="shared" si="34"/>
        <v>144.26475989880868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22.070103467238262</v>
      </c>
      <c r="AA52" s="23">
        <f>EXP(-LN(2)/25)*AA51+(1-EXP(-LN(2)/25))/(LN(2)/25)*Calculateur!V52*Calculateur!X52*VLOOKUP('Données projet'!$B$9,Paramètres!$A$1:$I$89,3,0)*0.475*44/12</f>
        <v>2.4566446671112896</v>
      </c>
      <c r="AB52" s="23">
        <f>EXP(-LN(2)/2)*AB51+(1-EXP(-LN(2)/2))/(LN(2)/2)*V52*Y52*VLOOKUP('Données projet'!$B$9,Paramètres!$A$1:$I$89,3,0)*0.475*44/12</f>
        <v>0</v>
      </c>
      <c r="AC52" s="24">
        <f t="shared" si="3"/>
        <v>24.526748134349553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143.03952000000001</v>
      </c>
      <c r="AK52" s="14">
        <f t="shared" si="35"/>
        <v>36.992444033168439</v>
      </c>
      <c r="AL52" s="22">
        <f t="shared" si="4"/>
        <v>313.55567069110168</v>
      </c>
      <c r="AM52" s="62">
        <f t="shared" si="5"/>
        <v>606.88900402443505</v>
      </c>
      <c r="AN52" s="62">
        <f ca="1">AVERAGE(OFFSET($AM$3,0,0,'Données projet'!$E$10+1,1))-AVERAGE(OFFSET($H$3,0,0,'Données projet'!$E$10+1,1))</f>
        <v>237.45928008030023</v>
      </c>
      <c r="AO52" s="62">
        <f t="shared" si="36"/>
        <v>126.78839015508379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7.1199999999999992</v>
      </c>
      <c r="BD52" s="13">
        <f>IF('Données projet'!$A$88&gt;35,BD51+BC52-BL51,IF(A52&lt;'Données projet'!$A$88,$BA$205^A52,IF(A52='Données projet'!$A$88,'Données projet'!$B$88,BD51+BC52-BL51)))</f>
        <v>233.0800000000001</v>
      </c>
      <c r="BE52" s="14">
        <f>BD52*VLOOKUP('Données projet'!$B$11,Paramètres!$A$1:$I$89,3,0)*VLOOKUP('Données projet'!$B$11,Paramètres!$A$1:$I$89,5,0)</f>
        <v>185.43844800000008</v>
      </c>
      <c r="BF52" s="14">
        <f t="shared" si="37"/>
        <v>46.530036573537593</v>
      </c>
      <c r="BG52" s="22">
        <f t="shared" si="7"/>
        <v>404.01177729891145</v>
      </c>
      <c r="BH52" s="62">
        <f t="shared" si="8"/>
        <v>697.34511063224477</v>
      </c>
      <c r="BI52" s="62">
        <f ca="1">AVERAGE(OFFSET($BH$3,0,0,'Données projet'!$E$11+1,1))-AVERAGE(OFFSET($H$3,0,0,'Données projet'!$E$11+1,1))</f>
        <v>210.55867376929405</v>
      </c>
      <c r="BJ52" s="62">
        <f t="shared" si="38"/>
        <v>249.73837672556022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39.780000000000008</v>
      </c>
      <c r="D53" s="12">
        <f t="shared" si="32"/>
        <v>11.94031717878593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399.24455366080377</v>
      </c>
      <c r="H53" s="70">
        <f t="shared" si="1"/>
        <v>383.41288575305214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8.0000000000012506E-2</v>
      </c>
      <c r="O53" s="14">
        <f>N53*VLOOKUP('Données projet'!$B$9,Paramètres!$A$1:$I$89,3,0)*VLOOKUP('Données projet'!$B$9,Paramètres!$A$1:$I$89,5,0)</f>
        <v>4.0684800000006363E-2</v>
      </c>
      <c r="P53" s="14">
        <f t="shared" si="33"/>
        <v>2.7217381697540451E-2</v>
      </c>
      <c r="Q53" s="22">
        <f t="shared" si="53"/>
        <v>0.11826296645656069</v>
      </c>
      <c r="R53" s="62">
        <f t="shared" si="0"/>
        <v>293.45159629978986</v>
      </c>
      <c r="S53" s="62">
        <f ca="1">AVERAGE(OFFSET($R$3,0,0,'Données projet'!$E$9+1,1))-AVERAGE(OFFSET($H$3,0,0,'Données projet'!$E$9+1,1))</f>
        <v>57.778110971082867</v>
      </c>
      <c r="T53" s="62">
        <f t="shared" si="34"/>
        <v>144.26475989880868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21.637322199679627</v>
      </c>
      <c r="AA53" s="23">
        <f>EXP(-LN(2)/25)*AA52+(1-EXP(-LN(2)/25))/(LN(2)/25)*Calculateur!V53*Calculateur!X53*VLOOKUP('Données projet'!$B$9,Paramètres!$A$1:$I$89,3,0)*0.475*44/12</f>
        <v>2.389467589499803</v>
      </c>
      <c r="AB53" s="23">
        <f>EXP(-LN(2)/2)*AB52+(1-EXP(-LN(2)/2))/(LN(2)/2)*V53*Y53*VLOOKUP('Données projet'!$B$9,Paramètres!$A$1:$I$89,3,0)*0.475*44/12</f>
        <v>0</v>
      </c>
      <c r="AC53" s="24">
        <f t="shared" si="3"/>
        <v>24.026789789179428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149.94720000000001</v>
      </c>
      <c r="AK53" s="14">
        <f t="shared" si="35"/>
        <v>38.566586385539779</v>
      </c>
      <c r="AL53" s="22">
        <f t="shared" si="4"/>
        <v>328.32817795481515</v>
      </c>
      <c r="AM53" s="62">
        <f t="shared" si="5"/>
        <v>621.6615112881484</v>
      </c>
      <c r="AN53" s="62">
        <f ca="1">AVERAGE(OFFSET($AM$3,0,0,'Données projet'!$E$10+1,1))-AVERAGE(OFFSET($H$3,0,0,'Données projet'!$E$10+1,1))</f>
        <v>237.45928008030023</v>
      </c>
      <c r="AO53" s="62">
        <f t="shared" si="36"/>
        <v>126.78839015508379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240.20000000000002</v>
      </c>
      <c r="BB53" s="13">
        <f>VLOOKUP(A53,'Données projet'!$A$87:$I$107,9,0)</f>
        <v>7.1199999999999992</v>
      </c>
      <c r="BC53" s="13">
        <f t="array" ref="BC53">INDEX(BB:BB,MIN(IF(ISNUMBER(BB53:BB249),ROW(BB53:BB249),"")))</f>
        <v>7.1199999999999992</v>
      </c>
      <c r="BD53" s="13">
        <f>IF('Données projet'!$A$88&gt;35,BD52+BC53-BL52,IF(A53&lt;'Données projet'!$A$88,$BA$205^A53,IF(A53='Données projet'!$A$88,'Données projet'!$B$88,BD52+BC53-BL52)))</f>
        <v>240.2000000000001</v>
      </c>
      <c r="BE53" s="14">
        <f>BD53*VLOOKUP('Données projet'!$B$11,Paramètres!$A$1:$I$89,3,0)*VLOOKUP('Données projet'!$B$11,Paramètres!$A$1:$I$89,5,0)</f>
        <v>191.10312000000008</v>
      </c>
      <c r="BF53" s="14">
        <f t="shared" si="37"/>
        <v>47.783754789189338</v>
      </c>
      <c r="BG53" s="22">
        <f t="shared" si="7"/>
        <v>416.06130692450489</v>
      </c>
      <c r="BH53" s="62">
        <f t="shared" si="8"/>
        <v>709.3946402578382</v>
      </c>
      <c r="BI53" s="62">
        <f ca="1">AVERAGE(OFFSET($BH$3,0,0,'Données projet'!$E$11+1,1))-AVERAGE(OFFSET($H$3,0,0,'Données projet'!$E$11+1,1))</f>
        <v>210.55867376929405</v>
      </c>
      <c r="BJ53" s="62">
        <f t="shared" si="38"/>
        <v>249.73837672556022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38.299999999999997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40.575600000000009</v>
      </c>
      <c r="D54" s="12">
        <f t="shared" si="32"/>
        <v>12.151082658084299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407.01298893959819</v>
      </c>
      <c r="H54" s="70">
        <f t="shared" si="1"/>
        <v>385.16563896283014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8.0000000000012506E-2</v>
      </c>
      <c r="O54" s="14">
        <f>N54*VLOOKUP('Données projet'!$B$9,Paramètres!$A$1:$I$89,3,0)*VLOOKUP('Données projet'!$B$9,Paramètres!$A$1:$I$89,5,0)</f>
        <v>4.0684800000006363E-2</v>
      </c>
      <c r="P54" s="14">
        <f t="shared" si="33"/>
        <v>2.7217381697540451E-2</v>
      </c>
      <c r="Q54" s="22">
        <f t="shared" si="53"/>
        <v>0.11826296645656069</v>
      </c>
      <c r="R54" s="62">
        <f t="shared" si="0"/>
        <v>293.45159629978986</v>
      </c>
      <c r="S54" s="62">
        <f ca="1">AVERAGE(OFFSET($R$3,0,0,'Données projet'!$E$9+1,1))-AVERAGE(OFFSET($H$3,0,0,'Données projet'!$E$9+1,1))</f>
        <v>57.778110971082867</v>
      </c>
      <c r="T54" s="62">
        <f t="shared" si="34"/>
        <v>144.26475989880868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21.213027508807311</v>
      </c>
      <c r="AA54" s="23">
        <f>EXP(-LN(2)/25)*AA53+(1-EXP(-LN(2)/25))/(LN(2)/25)*Calculateur!V54*Calculateur!X54*VLOOKUP('Données projet'!$B$9,Paramètres!$A$1:$I$89,3,0)*0.475*44/12</f>
        <v>2.3241274726082914</v>
      </c>
      <c r="AB54" s="23">
        <f>EXP(-LN(2)/2)*AB53+(1-EXP(-LN(2)/2))/(LN(2)/2)*V54*Y54*VLOOKUP('Données projet'!$B$9,Paramètres!$A$1:$I$89,3,0)*0.475*44/12</f>
        <v>0</v>
      </c>
      <c r="AC54" s="24">
        <f t="shared" si="3"/>
        <v>23.537154981415604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186</v>
      </c>
      <c r="AJ54" s="14">
        <f>AI54*VLOOKUP('Données projet'!$B$10,Paramètres!$A$1:$I$89,3,0)*VLOOKUP('Données projet'!$B$10,Paramètres!$A$1:$I$89,5,0)</f>
        <v>156.68640000000002</v>
      </c>
      <c r="AK54" s="14">
        <f t="shared" si="35"/>
        <v>40.094215809840712</v>
      </c>
      <c r="AL54" s="22">
        <f t="shared" si="4"/>
        <v>342.7262392021392</v>
      </c>
      <c r="AM54" s="62">
        <f t="shared" si="5"/>
        <v>636.05957253547251</v>
      </c>
      <c r="AN54" s="62">
        <f ca="1">AVERAGE(OFFSET($AM$3,0,0,'Données projet'!$E$10+1,1))-AVERAGE(OFFSET($H$3,0,0,'Données projet'!$E$10+1,1))</f>
        <v>237.45928008030023</v>
      </c>
      <c r="AO54" s="62">
        <f t="shared" si="36"/>
        <v>126.78839015508379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6.119999999999993</v>
      </c>
      <c r="BD54" s="13">
        <f>IF('Données projet'!$A$88&gt;35,BD53+BC54-BL53,IF(A54&lt;'Données projet'!$A$88,$BA$205^A54,IF(A54='Données projet'!$A$88,'Données projet'!$B$88,BD53+BC54-BL53)))</f>
        <v>208.0200000000001</v>
      </c>
      <c r="BE54" s="14">
        <f>BD54*VLOOKUP('Données projet'!$B$11,Paramètres!$A$1:$I$89,3,0)*VLOOKUP('Données projet'!$B$11,Paramètres!$A$1:$I$89,5,0)</f>
        <v>165.50071200000008</v>
      </c>
      <c r="BF54" s="14">
        <f t="shared" si="37"/>
        <v>42.080765048766054</v>
      </c>
      <c r="BG54" s="22">
        <f t="shared" si="7"/>
        <v>361.53773919326767</v>
      </c>
      <c r="BH54" s="62">
        <f t="shared" si="8"/>
        <v>654.87107252660098</v>
      </c>
      <c r="BI54" s="62">
        <f ca="1">AVERAGE(OFFSET($BH$3,0,0,'Données projet'!$E$11+1,1))-AVERAGE(OFFSET($H$3,0,0,'Données projet'!$E$11+1,1))</f>
        <v>210.55867376929405</v>
      </c>
      <c r="BJ54" s="62">
        <f t="shared" si="38"/>
        <v>249.73837672556022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41.371200000000009</v>
      </c>
      <c r="D55" s="12">
        <f t="shared" si="32"/>
        <v>12.361367612157643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414.7777149008661</v>
      </c>
      <c r="H55" s="70">
        <f t="shared" si="1"/>
        <v>386.91755525784123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8.0000000000012506E-2</v>
      </c>
      <c r="O55" s="14">
        <f>N55*VLOOKUP('Données projet'!$B$9,Paramètres!$A$1:$I$89,3,0)*VLOOKUP('Données projet'!$B$9,Paramètres!$A$1:$I$89,5,0)</f>
        <v>4.0684800000006363E-2</v>
      </c>
      <c r="P55" s="14">
        <f t="shared" si="33"/>
        <v>2.7217381697540451E-2</v>
      </c>
      <c r="Q55" s="22">
        <f t="shared" si="53"/>
        <v>0.11826296645656069</v>
      </c>
      <c r="R55" s="62">
        <f t="shared" si="0"/>
        <v>293.45159629978986</v>
      </c>
      <c r="S55" s="62">
        <f ca="1">AVERAGE(OFFSET($R$3,0,0,'Données projet'!$E$9+1,1))-AVERAGE(OFFSET($H$3,0,0,'Données projet'!$E$9+1,1))</f>
        <v>57.778110971082867</v>
      </c>
      <c r="T55" s="62">
        <f t="shared" si="34"/>
        <v>144.26475989880868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20.797052978028791</v>
      </c>
      <c r="AA55" s="23">
        <f>EXP(-LN(2)/25)*AA54+(1-EXP(-LN(2)/25))/(LN(2)/25)*Calculateur!V55*Calculateur!X55*VLOOKUP('Données projet'!$B$9,Paramètres!$A$1:$I$89,3,0)*0.475*44/12</f>
        <v>2.2605740846492659</v>
      </c>
      <c r="AB55" s="23">
        <f>EXP(-LN(2)/2)*AB54+(1-EXP(-LN(2)/2))/(LN(2)/2)*V55*Y55*VLOOKUP('Données projet'!$B$9,Paramètres!$A$1:$I$89,3,0)*0.475*44/12</f>
        <v>0</v>
      </c>
      <c r="AC55" s="24">
        <f t="shared" si="3"/>
        <v>23.057627062678058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194</v>
      </c>
      <c r="AJ55" s="14">
        <f>AI55*VLOOKUP('Données projet'!$B$10,Paramètres!$A$1:$I$89,3,0)*VLOOKUP('Données projet'!$B$10,Paramètres!$A$1:$I$89,5,0)</f>
        <v>163.4256</v>
      </c>
      <c r="AK55" s="14">
        <f t="shared" si="35"/>
        <v>41.614213859377173</v>
      </c>
      <c r="AL55" s="22">
        <f t="shared" si="4"/>
        <v>357.11100913841528</v>
      </c>
      <c r="AM55" s="62">
        <f t="shared" si="5"/>
        <v>650.44434247174854</v>
      </c>
      <c r="AN55" s="62">
        <f ca="1">AVERAGE(OFFSET($AM$3,0,0,'Données projet'!$E$10+1,1))-AVERAGE(OFFSET($H$3,0,0,'Données projet'!$E$10+1,1))</f>
        <v>237.45928008030023</v>
      </c>
      <c r="AO55" s="62">
        <f t="shared" si="36"/>
        <v>126.78839015508379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6.119999999999993</v>
      </c>
      <c r="BD55" s="13">
        <f>IF('Données projet'!$A$88&gt;35,BD54+BC55-BL54,IF(A55&lt;'Données projet'!$A$88,$BA$205^A55,IF(A55='Données projet'!$A$88,'Données projet'!$B$88,BD54+BC55-BL54)))</f>
        <v>214.1400000000001</v>
      </c>
      <c r="BE55" s="14">
        <f>BD55*VLOOKUP('Données projet'!$B$11,Paramètres!$A$1:$I$89,3,0)*VLOOKUP('Données projet'!$B$11,Paramètres!$A$1:$I$89,5,0)</f>
        <v>170.3697840000001</v>
      </c>
      <c r="BF55" s="14">
        <f t="shared" si="37"/>
        <v>43.172832424038276</v>
      </c>
      <c r="BG55" s="22">
        <f t="shared" si="7"/>
        <v>371.92005693853349</v>
      </c>
      <c r="BH55" s="62">
        <f t="shared" si="8"/>
        <v>665.25339027186681</v>
      </c>
      <c r="BI55" s="62">
        <f ca="1">AVERAGE(OFFSET($BH$3,0,0,'Données projet'!$E$11+1,1))-AVERAGE(OFFSET($H$3,0,0,'Données projet'!$E$11+1,1))</f>
        <v>210.55867376929405</v>
      </c>
      <c r="BJ55" s="62">
        <f t="shared" si="38"/>
        <v>249.73837672556022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42.166800000000009</v>
      </c>
      <c r="D56" s="12">
        <f t="shared" si="32"/>
        <v>12.571182347256601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422.53881110163002</v>
      </c>
      <c r="H56" s="70">
        <f t="shared" si="1"/>
        <v>388.66865258813857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8.0000000000012506E-2</v>
      </c>
      <c r="O56" s="14">
        <f>N56*VLOOKUP('Données projet'!$B$9,Paramètres!$A$1:$I$89,3,0)*VLOOKUP('Données projet'!$B$9,Paramètres!$A$1:$I$89,5,0)</f>
        <v>4.0684800000006363E-2</v>
      </c>
      <c r="P56" s="14">
        <f t="shared" si="33"/>
        <v>2.7217381697540451E-2</v>
      </c>
      <c r="Q56" s="22">
        <f t="shared" si="53"/>
        <v>0.11826296645656069</v>
      </c>
      <c r="R56" s="62">
        <f t="shared" si="0"/>
        <v>293.45159629978986</v>
      </c>
      <c r="S56" s="62">
        <f ca="1">AVERAGE(OFFSET($R$3,0,0,'Données projet'!$E$9+1,1))-AVERAGE(OFFSET($H$3,0,0,'Données projet'!$E$9+1,1))</f>
        <v>57.778110971082867</v>
      </c>
      <c r="T56" s="62">
        <f t="shared" si="34"/>
        <v>144.26475989880868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20.389235454079429</v>
      </c>
      <c r="AA56" s="23">
        <f>EXP(-LN(2)/25)*AA55+(1-EXP(-LN(2)/25))/(LN(2)/25)*Calculateur!V56*Calculateur!X56*VLOOKUP('Données projet'!$B$9,Paramètres!$A$1:$I$89,3,0)*0.475*44/12</f>
        <v>2.1987585674261072</v>
      </c>
      <c r="AB56" s="23">
        <f>EXP(-LN(2)/2)*AB55+(1-EXP(-LN(2)/2))/(LN(2)/2)*V56*Y56*VLOOKUP('Données projet'!$B$9,Paramètres!$A$1:$I$89,3,0)*0.475*44/12</f>
        <v>0</v>
      </c>
      <c r="AC56" s="24">
        <f t="shared" si="3"/>
        <v>22.587994021505537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202</v>
      </c>
      <c r="AJ56" s="14">
        <f>AI56*VLOOKUP('Données projet'!$B$10,Paramètres!$A$1:$I$89,3,0)*VLOOKUP('Données projet'!$B$10,Paramètres!$A$1:$I$89,5,0)</f>
        <v>170.16480000000001</v>
      </c>
      <c r="AK56" s="14">
        <f t="shared" si="35"/>
        <v>43.126931221446739</v>
      </c>
      <c r="AL56" s="22">
        <f t="shared" si="4"/>
        <v>371.4830985440197</v>
      </c>
      <c r="AM56" s="62">
        <f t="shared" si="5"/>
        <v>664.81643187735301</v>
      </c>
      <c r="AN56" s="62">
        <f ca="1">AVERAGE(OFFSET($AM$3,0,0,'Données projet'!$E$10+1,1))-AVERAGE(OFFSET($H$3,0,0,'Données projet'!$E$10+1,1))</f>
        <v>237.45928008030023</v>
      </c>
      <c r="AO56" s="62">
        <f t="shared" si="36"/>
        <v>126.78839015508379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6.119999999999993</v>
      </c>
      <c r="BD56" s="13">
        <f>IF('Données projet'!$A$88&gt;35,BD55+BC56-BL55,IF(A56&lt;'Données projet'!$A$88,$BA$205^A56,IF(A56='Données projet'!$A$88,'Données projet'!$B$88,BD55+BC56-BL55)))</f>
        <v>220.2600000000001</v>
      </c>
      <c r="BE56" s="14">
        <f>BD56*VLOOKUP('Données projet'!$B$11,Paramètres!$A$1:$I$89,3,0)*VLOOKUP('Données projet'!$B$11,Paramètres!$A$1:$I$89,5,0)</f>
        <v>175.23885600000008</v>
      </c>
      <c r="BF56" s="14">
        <f t="shared" si="37"/>
        <v>44.261272391866463</v>
      </c>
      <c r="BG56" s="22">
        <f t="shared" si="7"/>
        <v>382.29605694916751</v>
      </c>
      <c r="BH56" s="62">
        <f t="shared" si="8"/>
        <v>675.62939028250082</v>
      </c>
      <c r="BI56" s="62">
        <f ca="1">AVERAGE(OFFSET($BH$3,0,0,'Données projet'!$E$11+1,1))-AVERAGE(OFFSET($H$3,0,0,'Données projet'!$E$11+1,1))</f>
        <v>210.55867376929405</v>
      </c>
      <c r="BJ56" s="62">
        <f t="shared" si="38"/>
        <v>249.73837672556022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42.962400000000009</v>
      </c>
      <c r="D57" s="12">
        <f t="shared" si="32"/>
        <v>12.780536758460324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430.29635392495697</v>
      </c>
      <c r="H57" s="70">
        <f t="shared" si="1"/>
        <v>390.41894818765172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8.0000000000012506E-2</v>
      </c>
      <c r="O57" s="14">
        <f>N57*VLOOKUP('Données projet'!$B$9,Paramètres!$A$1:$I$89,3,0)*VLOOKUP('Données projet'!$B$9,Paramètres!$A$1:$I$89,5,0)</f>
        <v>4.0684800000006363E-2</v>
      </c>
      <c r="P57" s="14">
        <f t="shared" si="33"/>
        <v>2.7217381697540451E-2</v>
      </c>
      <c r="Q57" s="22">
        <f t="shared" si="53"/>
        <v>0.11826296645656069</v>
      </c>
      <c r="R57" s="62">
        <f t="shared" si="0"/>
        <v>293.45159629978986</v>
      </c>
      <c r="S57" s="62">
        <f ca="1">AVERAGE(OFFSET($R$3,0,0,'Données projet'!$E$9+1,1))-AVERAGE(OFFSET($H$3,0,0,'Données projet'!$E$9+1,1))</f>
        <v>57.778110971082867</v>
      </c>
      <c r="T57" s="62">
        <f t="shared" si="34"/>
        <v>144.26475989880868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19.989414983030585</v>
      </c>
      <c r="AA57" s="23">
        <f>EXP(-LN(2)/25)*AA56+(1-EXP(-LN(2)/25))/(LN(2)/25)*Calculateur!V57*Calculateur!X57*VLOOKUP('Données projet'!$B$9,Paramètres!$A$1:$I$89,3,0)*0.475*44/12</f>
        <v>2.1386333987721526</v>
      </c>
      <c r="AB57" s="23">
        <f>EXP(-LN(2)/2)*AB56+(1-EXP(-LN(2)/2))/(LN(2)/2)*V57*Y57*VLOOKUP('Données projet'!$B$9,Paramètres!$A$1:$I$89,3,0)*0.475*44/12</f>
        <v>0</v>
      </c>
      <c r="AC57" s="24">
        <f t="shared" si="3"/>
        <v>22.128048381802738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210</v>
      </c>
      <c r="AJ57" s="14">
        <f>AI57*VLOOKUP('Données projet'!$B$10,Paramètres!$A$1:$I$89,3,0)*VLOOKUP('Données projet'!$B$10,Paramètres!$A$1:$I$89,5,0)</f>
        <v>176.90400000000002</v>
      </c>
      <c r="AK57" s="14">
        <f t="shared" si="35"/>
        <v>44.632689233663157</v>
      </c>
      <c r="AL57" s="22">
        <f t="shared" si="4"/>
        <v>385.8430670819634</v>
      </c>
      <c r="AM57" s="62">
        <f t="shared" si="5"/>
        <v>679.17640041529671</v>
      </c>
      <c r="AN57" s="62">
        <f ca="1">AVERAGE(OFFSET($AM$3,0,0,'Données projet'!$E$10+1,1))-AVERAGE(OFFSET($H$3,0,0,'Données projet'!$E$10+1,1))</f>
        <v>237.45928008030023</v>
      </c>
      <c r="AO57" s="62">
        <f t="shared" si="36"/>
        <v>126.78839015508379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6.119999999999993</v>
      </c>
      <c r="BD57" s="13">
        <f>IF('Données projet'!$A$88&gt;35,BD56+BC57-BL56,IF(A57&lt;'Données projet'!$A$88,$BA$205^A57,IF(A57='Données projet'!$A$88,'Données projet'!$B$88,BD56+BC57-BL56)))</f>
        <v>226.38000000000011</v>
      </c>
      <c r="BE57" s="14">
        <f>BD57*VLOOKUP('Données projet'!$B$11,Paramètres!$A$1:$I$89,3,0)*VLOOKUP('Données projet'!$B$11,Paramètres!$A$1:$I$89,5,0)</f>
        <v>180.1079280000001</v>
      </c>
      <c r="BF57" s="14">
        <f t="shared" si="37"/>
        <v>45.34619732035577</v>
      </c>
      <c r="BG57" s="22">
        <f t="shared" si="7"/>
        <v>392.66593493295318</v>
      </c>
      <c r="BH57" s="62">
        <f t="shared" si="8"/>
        <v>685.99926826628644</v>
      </c>
      <c r="BI57" s="62">
        <f ca="1">AVERAGE(OFFSET($BH$3,0,0,'Données projet'!$E$11+1,1))-AVERAGE(OFFSET($H$3,0,0,'Données projet'!$E$11+1,1))</f>
        <v>210.55867376929405</v>
      </c>
      <c r="BJ57" s="62">
        <f t="shared" si="38"/>
        <v>249.73837672556022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43.75800000000001</v>
      </c>
      <c r="D58" s="12">
        <f t="shared" si="32"/>
        <v>12.989440353385518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438.05041676297606</v>
      </c>
      <c r="H58" s="70">
        <f t="shared" si="1"/>
        <v>392.16845861547978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8.0000000000012506E-2</v>
      </c>
      <c r="O58" s="14">
        <f>N58*VLOOKUP('Données projet'!$B$9,Paramètres!$A$1:$I$89,3,0)*VLOOKUP('Données projet'!$B$9,Paramètres!$A$1:$I$89,5,0)</f>
        <v>4.0684800000006363E-2</v>
      </c>
      <c r="P58" s="14">
        <f t="shared" si="33"/>
        <v>2.7217381697540451E-2</v>
      </c>
      <c r="Q58" s="22">
        <f t="shared" si="53"/>
        <v>0.11826296645656069</v>
      </c>
      <c r="R58" s="62">
        <f t="shared" si="0"/>
        <v>293.45159629978986</v>
      </c>
      <c r="S58" s="62">
        <f ca="1">AVERAGE(OFFSET($R$3,0,0,'Données projet'!$E$9+1,1))-AVERAGE(OFFSET($H$3,0,0,'Données projet'!$E$9+1,1))</f>
        <v>57.778110971082867</v>
      </c>
      <c r="T58" s="62">
        <f t="shared" si="34"/>
        <v>144.26475989880868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19.597434747552601</v>
      </c>
      <c r="AA58" s="23">
        <f>EXP(-LN(2)/25)*AA57+(1-EXP(-LN(2)/25))/(LN(2)/25)*Calculateur!V58*Calculateur!X58*VLOOKUP('Données projet'!$B$9,Paramètres!$A$1:$I$89,3,0)*0.475*44/12</f>
        <v>2.0801523560168858</v>
      </c>
      <c r="AB58" s="23">
        <f>EXP(-LN(2)/2)*AB57+(1-EXP(-LN(2)/2))/(LN(2)/2)*V58*Y58*VLOOKUP('Données projet'!$B$9,Paramètres!$A$1:$I$89,3,0)*0.475*44/12</f>
        <v>0</v>
      </c>
      <c r="AC58" s="24">
        <f t="shared" si="3"/>
        <v>21.677587103569486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218</v>
      </c>
      <c r="AJ58" s="14">
        <f>AI58*VLOOKUP('Données projet'!$B$10,Paramètres!$A$1:$I$89,3,0)*VLOOKUP('Données projet'!$B$10,Paramètres!$A$1:$I$89,5,0)</f>
        <v>183.64320000000004</v>
      </c>
      <c r="AK58" s="14">
        <f t="shared" si="35"/>
        <v>46.131783364105026</v>
      </c>
      <c r="AL58" s="22">
        <f t="shared" si="4"/>
        <v>400.19142935914965</v>
      </c>
      <c r="AM58" s="62">
        <f t="shared" si="5"/>
        <v>693.52476269248291</v>
      </c>
      <c r="AN58" s="62">
        <f ca="1">AVERAGE(OFFSET($AM$3,0,0,'Données projet'!$E$10+1,1))-AVERAGE(OFFSET($H$3,0,0,'Données projet'!$E$10+1,1))</f>
        <v>237.45928008030023</v>
      </c>
      <c r="AO58" s="62">
        <f t="shared" si="36"/>
        <v>126.78839015508379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232.5</v>
      </c>
      <c r="BB58" s="13">
        <f>VLOOKUP(A58,'Données projet'!$A$87:$I$107,9,0)</f>
        <v>6.119999999999993</v>
      </c>
      <c r="BC58" s="13">
        <f t="array" ref="BC58">INDEX(BB:BB,MIN(IF(ISNUMBER(BB58:BB254),ROW(BB58:BB254),"")))</f>
        <v>6.119999999999993</v>
      </c>
      <c r="BD58" s="13">
        <f>IF('Données projet'!$A$88&gt;35,BD57+BC58-BL57,IF(A58&lt;'Données projet'!$A$88,$BA$205^A58,IF(A58='Données projet'!$A$88,'Données projet'!$B$88,BD57+BC58-BL57)))</f>
        <v>232.50000000000011</v>
      </c>
      <c r="BE58" s="14">
        <f>BD58*VLOOKUP('Données projet'!$B$11,Paramètres!$A$1:$I$89,3,0)*VLOOKUP('Données projet'!$B$11,Paramètres!$A$1:$I$89,5,0)</f>
        <v>184.97700000000009</v>
      </c>
      <c r="BF58" s="14">
        <f t="shared" si="37"/>
        <v>46.427713156194159</v>
      </c>
      <c r="BG58" s="22">
        <f t="shared" si="7"/>
        <v>403.02987541370499</v>
      </c>
      <c r="BH58" s="62">
        <f t="shared" si="8"/>
        <v>696.36320874703824</v>
      </c>
      <c r="BI58" s="62">
        <f ca="1">AVERAGE(OFFSET($BH$3,0,0,'Données projet'!$E$11+1,1))-AVERAGE(OFFSET($H$3,0,0,'Données projet'!$E$11+1,1))</f>
        <v>210.55867376929405</v>
      </c>
      <c r="BJ58" s="62">
        <f t="shared" si="38"/>
        <v>249.73837672556022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44.55360000000001</v>
      </c>
      <c r="D59" s="12">
        <f t="shared" si="32"/>
        <v>13.197902274122363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445.80107018620782</v>
      </c>
      <c r="H59" s="70">
        <f t="shared" si="1"/>
        <v>393.91719979409646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8.0000000000012506E-2</v>
      </c>
      <c r="O59" s="14">
        <f>N59*VLOOKUP('Données projet'!$B$9,Paramètres!$A$1:$I$89,3,0)*VLOOKUP('Données projet'!$B$9,Paramètres!$A$1:$I$89,5,0)</f>
        <v>4.0684800000006363E-2</v>
      </c>
      <c r="P59" s="14">
        <f t="shared" si="33"/>
        <v>2.7217381697540451E-2</v>
      </c>
      <c r="Q59" s="22">
        <f t="shared" si="53"/>
        <v>0.11826296645656069</v>
      </c>
      <c r="R59" s="62">
        <f t="shared" si="0"/>
        <v>293.45159629978986</v>
      </c>
      <c r="S59" s="62">
        <f ca="1">AVERAGE(OFFSET($R$3,0,0,'Données projet'!$E$9+1,1))-AVERAGE(OFFSET($H$3,0,0,'Données projet'!$E$9+1,1))</f>
        <v>57.778110971082867</v>
      </c>
      <c r="T59" s="62">
        <f t="shared" si="34"/>
        <v>144.26475989880868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19.213141005408005</v>
      </c>
      <c r="AA59" s="23">
        <f>EXP(-LN(2)/25)*AA58+(1-EXP(-LN(2)/25))/(LN(2)/25)*Calculateur!V59*Calculateur!X59*VLOOKUP('Données projet'!$B$9,Paramètres!$A$1:$I$89,3,0)*0.475*44/12</f>
        <v>2.0232704804511457</v>
      </c>
      <c r="AB59" s="23">
        <f>EXP(-LN(2)/2)*AB58+(1-EXP(-LN(2)/2))/(LN(2)/2)*V59*Y59*VLOOKUP('Données projet'!$B$9,Paramètres!$A$1:$I$89,3,0)*0.475*44/12</f>
        <v>0</v>
      </c>
      <c r="AC59" s="24">
        <f t="shared" si="3"/>
        <v>21.236411485859151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154.66464000000002</v>
      </c>
      <c r="AK59" s="14">
        <f t="shared" si="35"/>
        <v>39.636745068698936</v>
      </c>
      <c r="AL59" s="22">
        <f t="shared" si="4"/>
        <v>338.40824566131732</v>
      </c>
      <c r="AM59" s="62">
        <f t="shared" si="5"/>
        <v>631.74157899465058</v>
      </c>
      <c r="AN59" s="62">
        <f ca="1">AVERAGE(OFFSET($AM$3,0,0,'Données projet'!$E$10+1,1))-AVERAGE(OFFSET($H$3,0,0,'Données projet'!$E$10+1,1))</f>
        <v>237.45928008030023</v>
      </c>
      <c r="AO59" s="62">
        <f t="shared" si="36"/>
        <v>126.78839015508379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5.1600000000000019</v>
      </c>
      <c r="BD59" s="13">
        <f>IF('Données projet'!$A$88&gt;35,BD58+BC59-BL58,IF(A59&lt;'Données projet'!$A$88,$BA$205^A59,IF(A59='Données projet'!$A$88,'Données projet'!$B$88,BD58+BC59-BL58)))</f>
        <v>237.66000000000011</v>
      </c>
      <c r="BE59" s="14">
        <f>BD59*VLOOKUP('Données projet'!$B$11,Paramètres!$A$1:$I$89,3,0)*VLOOKUP('Données projet'!$B$11,Paramètres!$A$1:$I$89,5,0)</f>
        <v>189.0822960000001</v>
      </c>
      <c r="BF59" s="14">
        <f t="shared" si="37"/>
        <v>47.337004389591748</v>
      </c>
      <c r="BG59" s="22">
        <f t="shared" si="7"/>
        <v>411.76361484520572</v>
      </c>
      <c r="BH59" s="62">
        <f t="shared" si="8"/>
        <v>705.09694817853904</v>
      </c>
      <c r="BI59" s="62">
        <f ca="1">AVERAGE(OFFSET($BH$3,0,0,'Données projet'!$E$11+1,1))-AVERAGE(OFFSET($H$3,0,0,'Données projet'!$E$11+1,1))</f>
        <v>210.55867376929405</v>
      </c>
      <c r="BJ59" s="62">
        <f t="shared" si="38"/>
        <v>249.73837672556022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45.34920000000001</v>
      </c>
      <c r="D60" s="12">
        <f t="shared" si="32"/>
        <v>13.405931317559235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453.54838210045745</v>
      </c>
      <c r="H60" s="70">
        <f t="shared" si="1"/>
        <v>395.66518704474902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8.0000000000012506E-2</v>
      </c>
      <c r="O60" s="14">
        <f>N60*VLOOKUP('Données projet'!$B$9,Paramètres!$A$1:$I$89,3,0)*VLOOKUP('Données projet'!$B$9,Paramètres!$A$1:$I$89,5,0)</f>
        <v>4.0684800000006363E-2</v>
      </c>
      <c r="P60" s="14">
        <f t="shared" si="33"/>
        <v>2.7217381697540451E-2</v>
      </c>
      <c r="Q60" s="22">
        <f t="shared" si="53"/>
        <v>0.11826296645656069</v>
      </c>
      <c r="R60" s="62">
        <f t="shared" si="0"/>
        <v>293.45159629978986</v>
      </c>
      <c r="S60" s="62">
        <f ca="1">AVERAGE(OFFSET($R$3,0,0,'Données projet'!$E$9+1,1))-AVERAGE(OFFSET($H$3,0,0,'Données projet'!$E$9+1,1))</f>
        <v>57.778110971082867</v>
      </c>
      <c r="T60" s="62">
        <f t="shared" si="34"/>
        <v>144.26475989880868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18.836383029150827</v>
      </c>
      <c r="AA60" s="23">
        <f>EXP(-LN(2)/25)*AA59+(1-EXP(-LN(2)/25))/(LN(2)/25)*Calculateur!V60*Calculateur!X60*VLOOKUP('Données projet'!$B$9,Paramètres!$A$1:$I$89,3,0)*0.475*44/12</f>
        <v>1.9679440427640387</v>
      </c>
      <c r="AB60" s="23">
        <f>EXP(-LN(2)/2)*AB59+(1-EXP(-LN(2)/2))/(LN(2)/2)*V60*Y60*VLOOKUP('Données projet'!$B$9,Paramètres!$A$1:$I$89,3,0)*0.475*44/12</f>
        <v>0</v>
      </c>
      <c r="AC60" s="24">
        <f t="shared" si="3"/>
        <v>20.804327071914866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161.06688000000003</v>
      </c>
      <c r="AK60" s="14">
        <f t="shared" si="35"/>
        <v>41.083060013501324</v>
      </c>
      <c r="AL60" s="22">
        <f t="shared" si="4"/>
        <v>352.07781219018153</v>
      </c>
      <c r="AM60" s="62">
        <f t="shared" si="5"/>
        <v>645.41114552351485</v>
      </c>
      <c r="AN60" s="62">
        <f ca="1">AVERAGE(OFFSET($AM$3,0,0,'Données projet'!$E$10+1,1))-AVERAGE(OFFSET($H$3,0,0,'Données projet'!$E$10+1,1))</f>
        <v>237.45928008030023</v>
      </c>
      <c r="AO60" s="62">
        <f t="shared" si="36"/>
        <v>126.78839015508379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5.1600000000000019</v>
      </c>
      <c r="BD60" s="13">
        <f>IF('Données projet'!$A$88&gt;35,BD59+BC60-BL59,IF(A60&lt;'Données projet'!$A$88,$BA$205^A60,IF(A60='Données projet'!$A$88,'Données projet'!$B$88,BD59+BC60-BL59)))</f>
        <v>242.82000000000011</v>
      </c>
      <c r="BE60" s="14">
        <f>BD60*VLOOKUP('Données projet'!$B$11,Paramètres!$A$1:$I$89,3,0)*VLOOKUP('Données projet'!$B$11,Paramètres!$A$1:$I$89,5,0)</f>
        <v>193.18759200000011</v>
      </c>
      <c r="BF60" s="14">
        <f t="shared" si="37"/>
        <v>48.244000336014693</v>
      </c>
      <c r="BG60" s="22">
        <f t="shared" si="7"/>
        <v>420.49335665189238</v>
      </c>
      <c r="BH60" s="62">
        <f t="shared" si="8"/>
        <v>713.8266899852257</v>
      </c>
      <c r="BI60" s="62">
        <f ca="1">AVERAGE(OFFSET($BH$3,0,0,'Données projet'!$E$11+1,1))-AVERAGE(OFFSET($H$3,0,0,'Données projet'!$E$11+1,1))</f>
        <v>210.55867376929405</v>
      </c>
      <c r="BJ60" s="62">
        <f t="shared" si="38"/>
        <v>249.73837672556022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46.144800000000011</v>
      </c>
      <c r="D61" s="12">
        <f t="shared" si="32"/>
        <v>13.613535954240806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461.29241789238534</v>
      </c>
      <c r="H61" s="70">
        <f t="shared" si="1"/>
        <v>397.41243512030275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8.0000000000012506E-2</v>
      </c>
      <c r="O61" s="14">
        <f>N61*VLOOKUP('Données projet'!$B$9,Paramètres!$A$1:$I$89,3,0)*VLOOKUP('Données projet'!$B$9,Paramètres!$A$1:$I$89,5,0)</f>
        <v>4.0684800000006363E-2</v>
      </c>
      <c r="P61" s="14">
        <f t="shared" si="33"/>
        <v>2.7217381697540451E-2</v>
      </c>
      <c r="Q61" s="22">
        <f t="shared" si="53"/>
        <v>0.11826296645656069</v>
      </c>
      <c r="R61" s="62">
        <f t="shared" si="0"/>
        <v>293.45159629978986</v>
      </c>
      <c r="S61" s="62">
        <f ca="1">AVERAGE(OFFSET($R$3,0,0,'Données projet'!$E$9+1,1))-AVERAGE(OFFSET($H$3,0,0,'Données projet'!$E$9+1,1))</f>
        <v>57.778110971082867</v>
      </c>
      <c r="T61" s="62">
        <f t="shared" si="34"/>
        <v>144.26475989880868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18.467013047008376</v>
      </c>
      <c r="AA61" s="23">
        <f>EXP(-LN(2)/25)*AA60+(1-EXP(-LN(2)/25))/(LN(2)/25)*Calculateur!V61*Calculateur!X61*VLOOKUP('Données projet'!$B$9,Paramètres!$A$1:$I$89,3,0)*0.475*44/12</f>
        <v>1.9141305094249765</v>
      </c>
      <c r="AB61" s="23">
        <f>EXP(-LN(2)/2)*AB60+(1-EXP(-LN(2)/2))/(LN(2)/2)*V61*Y61*VLOOKUP('Données projet'!$B$9,Paramètres!$A$1:$I$89,3,0)*0.475*44/12</f>
        <v>0</v>
      </c>
      <c r="AC61" s="24">
        <f t="shared" si="3"/>
        <v>20.381143556433351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167.46912</v>
      </c>
      <c r="AK61" s="14">
        <f t="shared" si="35"/>
        <v>42.52269677930262</v>
      </c>
      <c r="AL61" s="22">
        <f t="shared" si="4"/>
        <v>365.73574755728538</v>
      </c>
      <c r="AM61" s="62">
        <f t="shared" si="5"/>
        <v>659.06908089061869</v>
      </c>
      <c r="AN61" s="62">
        <f ca="1">AVERAGE(OFFSET($AM$3,0,0,'Données projet'!$E$10+1,1))-AVERAGE(OFFSET($H$3,0,0,'Données projet'!$E$10+1,1))</f>
        <v>237.45928008030023</v>
      </c>
      <c r="AO61" s="62">
        <f t="shared" si="36"/>
        <v>126.78839015508379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5.1600000000000019</v>
      </c>
      <c r="BD61" s="13">
        <f>IF('Données projet'!$A$88&gt;35,BD60+BC61-BL60,IF(A61&lt;'Données projet'!$A$88,$BA$205^A61,IF(A61='Données projet'!$A$88,'Données projet'!$B$88,BD60+BC61-BL60)))</f>
        <v>247.9800000000001</v>
      </c>
      <c r="BE61" s="14">
        <f>BD61*VLOOKUP('Données projet'!$B$11,Paramètres!$A$1:$I$89,3,0)*VLOOKUP('Données projet'!$B$11,Paramètres!$A$1:$I$89,5,0)</f>
        <v>197.29288800000009</v>
      </c>
      <c r="BF61" s="14">
        <f t="shared" si="37"/>
        <v>49.148755389471887</v>
      </c>
      <c r="BG61" s="22">
        <f t="shared" si="7"/>
        <v>429.219195569997</v>
      </c>
      <c r="BH61" s="62">
        <f t="shared" si="8"/>
        <v>722.55252890333031</v>
      </c>
      <c r="BI61" s="62">
        <f ca="1">AVERAGE(OFFSET($BH$3,0,0,'Données projet'!$E$11+1,1))-AVERAGE(OFFSET($H$3,0,0,'Données projet'!$E$11+1,1))</f>
        <v>210.55867376929405</v>
      </c>
      <c r="BJ61" s="62">
        <f t="shared" si="38"/>
        <v>249.73837672556022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46.940400000000011</v>
      </c>
      <c r="D62" s="12">
        <f t="shared" si="32"/>
        <v>13.82072434588865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469.03324056475458</v>
      </c>
      <c r="H62" s="70">
        <f t="shared" si="1"/>
        <v>399.15895823575607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8.0000000000012506E-2</v>
      </c>
      <c r="O62" s="14">
        <f>N62*VLOOKUP('Données projet'!$B$9,Paramètres!$A$1:$I$89,3,0)*VLOOKUP('Données projet'!$B$9,Paramètres!$A$1:$I$89,5,0)</f>
        <v>4.0684800000006363E-2</v>
      </c>
      <c r="P62" s="14">
        <f t="shared" si="33"/>
        <v>2.7217381697540451E-2</v>
      </c>
      <c r="Q62" s="22">
        <f t="shared" si="53"/>
        <v>0.11826296645656069</v>
      </c>
      <c r="R62" s="62">
        <f t="shared" si="0"/>
        <v>293.45159629978986</v>
      </c>
      <c r="S62" s="62">
        <f ca="1">AVERAGE(OFFSET($R$3,0,0,'Données projet'!$E$9+1,1))-AVERAGE(OFFSET($H$3,0,0,'Données projet'!$E$9+1,1))</f>
        <v>57.778110971082867</v>
      </c>
      <c r="T62" s="62">
        <f t="shared" si="34"/>
        <v>144.26475989880868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18.104886184922297</v>
      </c>
      <c r="AA62" s="23">
        <f>EXP(-LN(2)/25)*AA61+(1-EXP(-LN(2)/25))/(LN(2)/25)*Calculateur!V62*Calculateur!X62*VLOOKUP('Données projet'!$B$9,Paramètres!$A$1:$I$89,3,0)*0.475*44/12</f>
        <v>1.8617885099850018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19.966674694907297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173.87135999999998</v>
      </c>
      <c r="AK62" s="14">
        <f t="shared" si="35"/>
        <v>43.955939893839961</v>
      </c>
      <c r="AL62" s="22">
        <f t="shared" si="4"/>
        <v>379.3825473151046</v>
      </c>
      <c r="AM62" s="62">
        <f t="shared" si="5"/>
        <v>672.71588064843786</v>
      </c>
      <c r="AN62" s="62">
        <f ca="1">AVERAGE(OFFSET($AM$3,0,0,'Données projet'!$E$10+1,1))-AVERAGE(OFFSET($H$3,0,0,'Données projet'!$E$10+1,1))</f>
        <v>237.45928008030023</v>
      </c>
      <c r="AO62" s="62">
        <f t="shared" si="36"/>
        <v>126.78839015508379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5.1600000000000019</v>
      </c>
      <c r="BD62" s="13">
        <f>IF('Données projet'!$A$88&gt;35,BD61+BC62-BL61,IF(A62&lt;'Données projet'!$A$88,$BA$205^A62,IF(A62='Données projet'!$A$88,'Données projet'!$B$88,BD61+BC62-BL61)))</f>
        <v>253.1400000000001</v>
      </c>
      <c r="BE62" s="14">
        <f>BD62*VLOOKUP('Données projet'!$B$11,Paramètres!$A$1:$I$89,3,0)*VLOOKUP('Données projet'!$B$11,Paramètres!$A$1:$I$89,5,0)</f>
        <v>201.39818400000007</v>
      </c>
      <c r="BF62" s="14">
        <f t="shared" si="37"/>
        <v>50.051321550931391</v>
      </c>
      <c r="BG62" s="22">
        <f t="shared" si="7"/>
        <v>437.94122216787235</v>
      </c>
      <c r="BH62" s="62">
        <f t="shared" si="8"/>
        <v>731.27455550120567</v>
      </c>
      <c r="BI62" s="62">
        <f ca="1">AVERAGE(OFFSET($BH$3,0,0,'Données projet'!$E$11+1,1))-AVERAGE(OFFSET($H$3,0,0,'Données projet'!$E$11+1,1))</f>
        <v>210.55867376929405</v>
      </c>
      <c r="BJ62" s="62">
        <f t="shared" si="38"/>
        <v>249.73837672556022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47.736000000000011</v>
      </c>
      <c r="D63" s="12">
        <f t="shared" si="32"/>
        <v>14.027504361700423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476.77091086224897</v>
      </c>
      <c r="H63" s="70">
        <f t="shared" si="1"/>
        <v>400.90477009662823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8.0000000000012506E-2</v>
      </c>
      <c r="O63" s="14">
        <f>N63*VLOOKUP('Données projet'!$B$9,Paramètres!$A$1:$I$89,3,0)*VLOOKUP('Données projet'!$B$9,Paramètres!$A$1:$I$89,5,0)</f>
        <v>4.0684800000006363E-2</v>
      </c>
      <c r="P63" s="14">
        <f t="shared" si="33"/>
        <v>2.7217381697540451E-2</v>
      </c>
      <c r="Q63" s="22">
        <f t="shared" si="53"/>
        <v>0.11826296645656069</v>
      </c>
      <c r="R63" s="62">
        <f t="shared" si="0"/>
        <v>293.45159629978986</v>
      </c>
      <c r="S63" s="62">
        <f ca="1">AVERAGE(OFFSET($R$3,0,0,'Données projet'!$E$9+1,1))-AVERAGE(OFFSET($H$3,0,0,'Données projet'!$E$9+1,1))</f>
        <v>57.778110971082867</v>
      </c>
      <c r="T63" s="62">
        <f t="shared" si="34"/>
        <v>144.26475989880868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17.74986040972615</v>
      </c>
      <c r="AA63" s="23">
        <f>EXP(-LN(2)/25)*AA62+(1-EXP(-LN(2)/25))/(LN(2)/25)*Calculateur!V63*Calculateur!X63*VLOOKUP('Données projet'!$B$9,Paramètres!$A$1:$I$89,3,0)*0.475*44/12</f>
        <v>1.8108778052722594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19.560738214998409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180.27359999999999</v>
      </c>
      <c r="AK63" s="14">
        <f t="shared" si="35"/>
        <v>45.383051743938047</v>
      </c>
      <c r="AL63" s="22">
        <f t="shared" si="4"/>
        <v>393.01866845402537</v>
      </c>
      <c r="AM63" s="62">
        <f t="shared" si="5"/>
        <v>686.35200178735863</v>
      </c>
      <c r="AN63" s="62">
        <f ca="1">AVERAGE(OFFSET($AM$3,0,0,'Données projet'!$E$10+1,1))-AVERAGE(OFFSET($H$3,0,0,'Données projet'!$E$10+1,1))</f>
        <v>237.45928008030023</v>
      </c>
      <c r="AO63" s="62">
        <f t="shared" si="36"/>
        <v>126.78839015508379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258.3</v>
      </c>
      <c r="BB63" s="13">
        <f>VLOOKUP(A63,'Données projet'!$A$87:$I$107,9,0)</f>
        <v>5.1600000000000019</v>
      </c>
      <c r="BC63" s="13">
        <f t="array" ref="BC63">INDEX(BB:BB,MIN(IF(ISNUMBER(BB63:BB259),ROW(BB63:BB259),"")))</f>
        <v>5.1600000000000019</v>
      </c>
      <c r="BD63" s="13">
        <f>IF('Données projet'!$A$88&gt;35,BD62+BC63-BL62,IF(A63&lt;'Données projet'!$A$88,$BA$205^A63,IF(A63='Données projet'!$A$88,'Données projet'!$B$88,BD62+BC63-BL62)))</f>
        <v>258.30000000000013</v>
      </c>
      <c r="BE63" s="14">
        <f>BD63*VLOOKUP('Données projet'!$B$11,Paramètres!$A$1:$I$89,3,0)*VLOOKUP('Données projet'!$B$11,Paramètres!$A$1:$I$89,5,0)</f>
        <v>205.50348000000011</v>
      </c>
      <c r="BF63" s="14">
        <f t="shared" si="37"/>
        <v>50.951748580199457</v>
      </c>
      <c r="BG63" s="22">
        <f t="shared" si="7"/>
        <v>446.65952311051416</v>
      </c>
      <c r="BH63" s="62">
        <f t="shared" si="8"/>
        <v>739.99285644384747</v>
      </c>
      <c r="BI63" s="62">
        <f ca="1">AVERAGE(OFFSET($BH$3,0,0,'Données projet'!$E$11+1,1))-AVERAGE(OFFSET($H$3,0,0,'Données projet'!$E$11+1,1))</f>
        <v>210.55867376929405</v>
      </c>
      <c r="BJ63" s="62">
        <f t="shared" si="38"/>
        <v>249.73837672556022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25.200000000000003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48.531600000000012</v>
      </c>
      <c r="D64" s="12">
        <f t="shared" si="32"/>
        <v>14.233883593531669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484.50548738866564</v>
      </c>
      <c r="H64" s="70">
        <f t="shared" si="1"/>
        <v>402.64988392540101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8.0000000000012506E-2</v>
      </c>
      <c r="O64" s="14">
        <f>N64*VLOOKUP('Données projet'!$B$9,Paramètres!$A$1:$I$89,3,0)*VLOOKUP('Données projet'!$B$9,Paramètres!$A$1:$I$89,5,0)</f>
        <v>4.0684800000006363E-2</v>
      </c>
      <c r="P64" s="14">
        <f t="shared" si="33"/>
        <v>2.7217381697540451E-2</v>
      </c>
      <c r="Q64" s="22">
        <f t="shared" si="53"/>
        <v>0.11826296645656069</v>
      </c>
      <c r="R64" s="62">
        <f t="shared" si="0"/>
        <v>293.45159629978986</v>
      </c>
      <c r="S64" s="62">
        <f ca="1">AVERAGE(OFFSET($R$3,0,0,'Données projet'!$E$9+1,1))-AVERAGE(OFFSET($H$3,0,0,'Données projet'!$E$9+1,1))</f>
        <v>57.778110971082867</v>
      </c>
      <c r="T64" s="62">
        <f t="shared" si="34"/>
        <v>144.26475989880868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17.401796473437258</v>
      </c>
      <c r="AA64" s="23">
        <f>EXP(-LN(2)/25)*AA63+(1-EXP(-LN(2)/25))/(LN(2)/25)*Calculateur!V64*Calculateur!X64*VLOOKUP('Données projet'!$B$9,Paramètres!$A$1:$I$89,3,0)*0.475*44/12</f>
        <v>1.7613592564571645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19.163155729894424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221.19999999999996</v>
      </c>
      <c r="AJ64" s="14">
        <f>AI64*VLOOKUP('Données projet'!$B$10,Paramètres!$A$1:$I$89,3,0)*VLOOKUP('Données projet'!$B$10,Paramètres!$A$1:$I$89,5,0)</f>
        <v>186.33887999999999</v>
      </c>
      <c r="AK64" s="14">
        <f t="shared" si="35"/>
        <v>46.729616891297603</v>
      </c>
      <c r="AL64" s="22">
        <f t="shared" si="4"/>
        <v>405.92763208567663</v>
      </c>
      <c r="AM64" s="62">
        <f t="shared" si="5"/>
        <v>699.26096541900995</v>
      </c>
      <c r="AN64" s="62">
        <f ca="1">AVERAGE(OFFSET($AM$3,0,0,'Données projet'!$E$10+1,1))-AVERAGE(OFFSET($H$3,0,0,'Données projet'!$E$10+1,1))</f>
        <v>237.45928008030023</v>
      </c>
      <c r="AO64" s="62">
        <f t="shared" si="36"/>
        <v>126.78839015508379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4.3399999999999981</v>
      </c>
      <c r="BD64" s="13">
        <f>IF('Données projet'!$A$88&gt;35,BD63+BC64-BL63,IF(A64&lt;'Données projet'!$A$88,$BA$205^A64,IF(A64='Données projet'!$A$88,'Données projet'!$B$88,BD63+BC64-BL63)))</f>
        <v>237.44000000000011</v>
      </c>
      <c r="BE64" s="14">
        <f>BD64*VLOOKUP('Données projet'!$B$11,Paramètres!$A$1:$I$89,3,0)*VLOOKUP('Données projet'!$B$11,Paramètres!$A$1:$I$89,5,0)</f>
        <v>188.90726400000011</v>
      </c>
      <c r="BF64" s="14">
        <f t="shared" si="37"/>
        <v>47.298283397901834</v>
      </c>
      <c r="BG64" s="22">
        <f t="shared" si="7"/>
        <v>411.39132838467918</v>
      </c>
      <c r="BH64" s="62">
        <f t="shared" si="8"/>
        <v>704.7246617180125</v>
      </c>
      <c r="BI64" s="62">
        <f ca="1">AVERAGE(OFFSET($BH$3,0,0,'Données projet'!$E$11+1,1))-AVERAGE(OFFSET($H$3,0,0,'Données projet'!$E$11+1,1))</f>
        <v>210.55867376929405</v>
      </c>
      <c r="BJ64" s="62">
        <f t="shared" si="38"/>
        <v>249.73837672556022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49.327200000000012</v>
      </c>
      <c r="D65" s="12">
        <f t="shared" si="32"/>
        <v>14.439869370053771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492.23702671620464</v>
      </c>
      <c r="H65" s="70">
        <f t="shared" si="1"/>
        <v>404.394312486177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8.0000000000012506E-2</v>
      </c>
      <c r="O65" s="14">
        <f>N65*VLOOKUP('Données projet'!$B$9,Paramètres!$A$1:$I$89,3,0)*VLOOKUP('Données projet'!$B$9,Paramètres!$A$1:$I$89,5,0)</f>
        <v>4.0684800000006363E-2</v>
      </c>
      <c r="P65" s="14">
        <f t="shared" si="33"/>
        <v>2.7217381697540451E-2</v>
      </c>
      <c r="Q65" s="22">
        <f t="shared" si="53"/>
        <v>0.11826296645656069</v>
      </c>
      <c r="R65" s="62">
        <f t="shared" si="0"/>
        <v>293.45159629978986</v>
      </c>
      <c r="S65" s="62">
        <f ca="1">AVERAGE(OFFSET($R$3,0,0,'Données projet'!$E$9+1,1))-AVERAGE(OFFSET($H$3,0,0,'Données projet'!$E$9+1,1))</f>
        <v>57.778110971082867</v>
      </c>
      <c r="T65" s="62">
        <f t="shared" si="34"/>
        <v>144.26475989880868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17.060557858640951</v>
      </c>
      <c r="AA65" s="23">
        <f>EXP(-LN(2)/25)*AA64+(1-EXP(-LN(2)/25))/(LN(2)/25)*Calculateur!V65*Calculateur!X65*VLOOKUP('Données projet'!$B$9,Paramètres!$A$1:$I$89,3,0)*0.475*44/12</f>
        <v>1.7131947949634856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18.773752653604436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228.39999999999995</v>
      </c>
      <c r="AJ65" s="14">
        <f>AI65*VLOOKUP('Données projet'!$B$10,Paramètres!$A$1:$I$89,3,0)*VLOOKUP('Données projet'!$B$10,Paramètres!$A$1:$I$89,5,0)</f>
        <v>192.40415999999999</v>
      </c>
      <c r="AK65" s="14">
        <f t="shared" si="35"/>
        <v>48.071088890795593</v>
      </c>
      <c r="AL65" s="22">
        <f t="shared" si="4"/>
        <v>418.82772515146894</v>
      </c>
      <c r="AM65" s="62">
        <f t="shared" si="5"/>
        <v>712.1610584848022</v>
      </c>
      <c r="AN65" s="62">
        <f ca="1">AVERAGE(OFFSET($AM$3,0,0,'Données projet'!$E$10+1,1))-AVERAGE(OFFSET($H$3,0,0,'Données projet'!$E$10+1,1))</f>
        <v>237.45928008030023</v>
      </c>
      <c r="AO65" s="62">
        <f t="shared" si="36"/>
        <v>126.78839015508379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4.3399999999999981</v>
      </c>
      <c r="BD65" s="13">
        <f>IF('Données projet'!$A$88&gt;35,BD64+BC65-BL64,IF(A65&lt;'Données projet'!$A$88,$BA$205^A65,IF(A65='Données projet'!$A$88,'Données projet'!$B$88,BD64+BC65-BL64)))</f>
        <v>241.78000000000011</v>
      </c>
      <c r="BE65" s="14">
        <f>BD65*VLOOKUP('Données projet'!$B$11,Paramètres!$A$1:$I$89,3,0)*VLOOKUP('Données projet'!$B$11,Paramètres!$A$1:$I$89,5,0)</f>
        <v>192.3601680000001</v>
      </c>
      <c r="BF65" s="14">
        <f t="shared" si="37"/>
        <v>48.061376979759274</v>
      </c>
      <c r="BG65" s="22">
        <f t="shared" si="7"/>
        <v>418.73419083974755</v>
      </c>
      <c r="BH65" s="62">
        <f t="shared" si="8"/>
        <v>712.06752417308087</v>
      </c>
      <c r="BI65" s="62">
        <f ca="1">AVERAGE(OFFSET($BH$3,0,0,'Données projet'!$E$11+1,1))-AVERAGE(OFFSET($H$3,0,0,'Données projet'!$E$11+1,1))</f>
        <v>210.55867376929405</v>
      </c>
      <c r="BJ65" s="62">
        <f t="shared" si="38"/>
        <v>249.73837672556022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50.122800000000012</v>
      </c>
      <c r="D66" s="12">
        <f t="shared" si="32"/>
        <v>14.645468769972689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499.9655834875087</v>
      </c>
      <c r="H66" s="70">
        <f t="shared" si="1"/>
        <v>406.13806810770245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8.0000000000012506E-2</v>
      </c>
      <c r="O66" s="14">
        <f>N66*VLOOKUP('Données projet'!$B$9,Paramètres!$A$1:$I$89,3,0)*VLOOKUP('Données projet'!$B$9,Paramètres!$A$1:$I$89,5,0)</f>
        <v>4.0684800000006363E-2</v>
      </c>
      <c r="P66" s="14">
        <f t="shared" si="33"/>
        <v>2.7217381697540451E-2</v>
      </c>
      <c r="Q66" s="22">
        <f t="shared" si="53"/>
        <v>0.11826296645656069</v>
      </c>
      <c r="R66" s="62">
        <f t="shared" si="0"/>
        <v>293.45159629978986</v>
      </c>
      <c r="S66" s="62">
        <f ca="1">AVERAGE(OFFSET($R$3,0,0,'Données projet'!$E$9+1,1))-AVERAGE(OFFSET($H$3,0,0,'Données projet'!$E$9+1,1))</f>
        <v>57.778110971082867</v>
      </c>
      <c r="T66" s="62">
        <f t="shared" si="34"/>
        <v>144.26475989880868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16.726010724945798</v>
      </c>
      <c r="AA66" s="23">
        <f>EXP(-LN(2)/25)*AA65+(1-EXP(-LN(2)/25))/(LN(2)/25)*Calculateur!V66*Calculateur!X66*VLOOKUP('Données projet'!$B$9,Paramètres!$A$1:$I$89,3,0)*0.475*44/12</f>
        <v>1.6663473932022104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18.39235811814801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235.59999999999994</v>
      </c>
      <c r="AJ66" s="14">
        <f>AI66*VLOOKUP('Données projet'!$B$10,Paramètres!$A$1:$I$89,3,0)*VLOOKUP('Données projet'!$B$10,Paramètres!$A$1:$I$89,5,0)</f>
        <v>198.46943999999996</v>
      </c>
      <c r="AK66" s="14">
        <f t="shared" si="35"/>
        <v>49.407646717262175</v>
      </c>
      <c r="AL66" s="22">
        <f t="shared" si="4"/>
        <v>431.71925936589815</v>
      </c>
      <c r="AM66" s="62">
        <f t="shared" si="5"/>
        <v>725.05259269923147</v>
      </c>
      <c r="AN66" s="62">
        <f ca="1">AVERAGE(OFFSET($AM$3,0,0,'Données projet'!$E$10+1,1))-AVERAGE(OFFSET($H$3,0,0,'Données projet'!$E$10+1,1))</f>
        <v>237.45928008030023</v>
      </c>
      <c r="AO66" s="62">
        <f t="shared" si="36"/>
        <v>126.78839015508379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4.3399999999999981</v>
      </c>
      <c r="BD66" s="13">
        <f>IF('Données projet'!$A$88&gt;35,BD65+BC66-BL65,IF(A66&lt;'Données projet'!$A$88,$BA$205^A66,IF(A66='Données projet'!$A$88,'Données projet'!$B$88,BD65+BC66-BL65)))</f>
        <v>246.12000000000012</v>
      </c>
      <c r="BE66" s="14">
        <f>BD66*VLOOKUP('Données projet'!$B$11,Paramètres!$A$1:$I$89,3,0)*VLOOKUP('Données projet'!$B$11,Paramètres!$A$1:$I$89,5,0)</f>
        <v>195.81307200000012</v>
      </c>
      <c r="BF66" s="14">
        <f t="shared" si="37"/>
        <v>48.822877725242478</v>
      </c>
      <c r="BG66" s="22">
        <f t="shared" si="7"/>
        <v>426.07427910479754</v>
      </c>
      <c r="BH66" s="62">
        <f t="shared" si="8"/>
        <v>719.40761243813085</v>
      </c>
      <c r="BI66" s="62">
        <f ca="1">AVERAGE(OFFSET($BH$3,0,0,'Données projet'!$E$11+1,1))-AVERAGE(OFFSET($H$3,0,0,'Données projet'!$E$11+1,1))</f>
        <v>210.55867376929405</v>
      </c>
      <c r="BJ66" s="62">
        <f t="shared" si="38"/>
        <v>249.73837672556022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50.918400000000013</v>
      </c>
      <c r="D67" s="12">
        <f t="shared" si="32"/>
        <v>14.850688634384538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507.69121051103866</v>
      </c>
      <c r="H67" s="70">
        <f t="shared" si="1"/>
        <v>407.88116270488638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8.0000000000012506E-2</v>
      </c>
      <c r="O67" s="14">
        <f>N67*VLOOKUP('Données projet'!$B$9,Paramètres!$A$1:$I$89,3,0)*VLOOKUP('Données projet'!$B$9,Paramètres!$A$1:$I$89,5,0)</f>
        <v>4.0684800000006363E-2</v>
      </c>
      <c r="P67" s="14">
        <f t="shared" si="33"/>
        <v>2.7217381697540451E-2</v>
      </c>
      <c r="Q67" s="22">
        <f t="shared" ref="Q67:Q98" si="54">(O67+P67)*0.475*44/12</f>
        <v>0.11826296645656069</v>
      </c>
      <c r="R67" s="62">
        <f t="shared" ref="R67:R130" si="55">Q67+(I67+J67)*44/12</f>
        <v>293.45159629978986</v>
      </c>
      <c r="S67" s="62">
        <f ca="1">AVERAGE(OFFSET($R$3,0,0,'Données projet'!$E$9+1,1))-AVERAGE(OFFSET($H$3,0,0,'Données projet'!$E$9+1,1))</f>
        <v>57.778110971082867</v>
      </c>
      <c r="T67" s="62">
        <f t="shared" si="34"/>
        <v>144.26475989880868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16.398023856488802</v>
      </c>
      <c r="AA67" s="23">
        <f>EXP(-LN(2)/25)*AA66+(1-EXP(-LN(2)/25))/(LN(2)/25)*Calculateur!V67*Calculateur!X67*VLOOKUP('Données projet'!$B$9,Paramètres!$A$1:$I$89,3,0)*0.475*44/12</f>
        <v>1.6207810361056949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18.018804892594495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242.79999999999993</v>
      </c>
      <c r="AJ67" s="14">
        <f>AI67*VLOOKUP('Données projet'!$B$10,Paramètres!$A$1:$I$89,3,0)*VLOOKUP('Données projet'!$B$10,Paramètres!$A$1:$I$89,5,0)</f>
        <v>204.53471999999996</v>
      </c>
      <c r="AK67" s="14">
        <f t="shared" si="35"/>
        <v>50.73945778494484</v>
      </c>
      <c r="AL67" s="22">
        <f t="shared" si="4"/>
        <v>444.60252630877886</v>
      </c>
      <c r="AM67" s="62">
        <f t="shared" si="5"/>
        <v>737.93585964211218</v>
      </c>
      <c r="AN67" s="62">
        <f ca="1">AVERAGE(OFFSET($AM$3,0,0,'Données projet'!$E$10+1,1))-AVERAGE(OFFSET($H$3,0,0,'Données projet'!$E$10+1,1))</f>
        <v>237.45928008030023</v>
      </c>
      <c r="AO67" s="62">
        <f t="shared" si="36"/>
        <v>126.78839015508379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4.3399999999999981</v>
      </c>
      <c r="BD67" s="13">
        <f>IF('Données projet'!$A$88&gt;35,BD66+BC67-BL66,IF(A67&lt;'Données projet'!$A$88,$BA$205^A67,IF(A67='Données projet'!$A$88,'Données projet'!$B$88,BD66+BC67-BL66)))</f>
        <v>250.46000000000012</v>
      </c>
      <c r="BE67" s="14">
        <f>BD67*VLOOKUP('Données projet'!$B$11,Paramètres!$A$1:$I$89,3,0)*VLOOKUP('Données projet'!$B$11,Paramètres!$A$1:$I$89,5,0)</f>
        <v>199.26597600000011</v>
      </c>
      <c r="BF67" s="14">
        <f t="shared" si="37"/>
        <v>49.582816962415684</v>
      </c>
      <c r="BG67" s="22">
        <f t="shared" si="7"/>
        <v>433.4116477428741</v>
      </c>
      <c r="BH67" s="62">
        <f t="shared" si="8"/>
        <v>726.74498107620741</v>
      </c>
      <c r="BI67" s="62">
        <f ca="1">AVERAGE(OFFSET($BH$3,0,0,'Données projet'!$E$11+1,1))-AVERAGE(OFFSET($H$3,0,0,'Données projet'!$E$11+1,1))</f>
        <v>210.55867376929405</v>
      </c>
      <c r="BJ67" s="62">
        <f t="shared" si="38"/>
        <v>249.73837672556022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51.714000000000013</v>
      </c>
      <c r="D68" s="12">
        <f t="shared" si="32"/>
        <v>15.055535578337075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515.41395885032136</v>
      </c>
      <c r="H68" s="70">
        <f t="shared" ref="H68:H131" si="56">(B68+E68+F68)*44/12+(C68+D68)*0.475*44/12</f>
        <v>409.62360779893709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8.0000000000012506E-2</v>
      </c>
      <c r="O68" s="14">
        <f>N68*VLOOKUP('Données projet'!$B$9,Paramètres!$A$1:$I$89,3,0)*VLOOKUP('Données projet'!$B$9,Paramètres!$A$1:$I$89,5,0)</f>
        <v>4.0684800000006363E-2</v>
      </c>
      <c r="P68" s="14">
        <f t="shared" si="33"/>
        <v>2.7217381697540451E-2</v>
      </c>
      <c r="Q68" s="22">
        <f t="shared" si="54"/>
        <v>0.11826296645656069</v>
      </c>
      <c r="R68" s="62">
        <f t="shared" si="55"/>
        <v>293.45159629978986</v>
      </c>
      <c r="S68" s="62">
        <f ca="1">AVERAGE(OFFSET($R$3,0,0,'Données projet'!$E$9+1,1))-AVERAGE(OFFSET($H$3,0,0,'Données projet'!$E$9+1,1))</f>
        <v>57.778110971082867</v>
      </c>
      <c r="T68" s="62">
        <f t="shared" si="34"/>
        <v>144.26475989880868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16.076468610470013</v>
      </c>
      <c r="AA68" s="23">
        <f>EXP(-LN(2)/25)*AA67+(1-EXP(-LN(2)/25))/(LN(2)/25)*Calculateur!V68*Calculateur!X68*VLOOKUP('Données projet'!$B$9,Paramètres!$A$1:$I$89,3,0)*0.475*44/12</f>
        <v>1.5764606934402143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17.652929303910227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249.99999999999991</v>
      </c>
      <c r="AJ68" s="14">
        <f>AI68*VLOOKUP('Données projet'!$B$10,Paramètres!$A$1:$I$89,3,0)*VLOOKUP('Données projet'!$B$10,Paramètres!$A$1:$I$89,5,0)</f>
        <v>210.59999999999997</v>
      </c>
      <c r="AK68" s="14">
        <f t="shared" si="35"/>
        <v>52.066679014659961</v>
      </c>
      <c r="AL68" s="22">
        <f t="shared" ref="AL68:AL131" si="58">(AJ68+AK68)*0.475*44/12</f>
        <v>457.47779928386598</v>
      </c>
      <c r="AM68" s="62">
        <f t="shared" ref="AM68:AM131" si="59">AL68+(AD68+AE68)*44/12</f>
        <v>750.81113261719929</v>
      </c>
      <c r="AN68" s="62">
        <f ca="1">AVERAGE(OFFSET($AM$3,0,0,'Données projet'!$E$10+1,1))-AVERAGE(OFFSET($H$3,0,0,'Données projet'!$E$10+1,1))</f>
        <v>237.45928008030023</v>
      </c>
      <c r="AO68" s="62">
        <f t="shared" si="36"/>
        <v>126.78839015508379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254.8</v>
      </c>
      <c r="BB68" s="13">
        <f>VLOOKUP(A68,'Données projet'!$A$87:$I$107,9,0)</f>
        <v>4.3399999999999981</v>
      </c>
      <c r="BC68" s="13">
        <f t="array" ref="BC68">INDEX(BB:BB,MIN(IF(ISNUMBER(BB68:BB264),ROW(BB68:BB264),"")))</f>
        <v>4.3399999999999981</v>
      </c>
      <c r="BD68" s="13">
        <f>IF('Données projet'!$A$88&gt;35,BD67+BC68-BL67,IF(A68&lt;'Données projet'!$A$88,$BA$205^A68,IF(A68='Données projet'!$A$88,'Données projet'!$B$88,BD67+BC68-BL67)))</f>
        <v>254.80000000000013</v>
      </c>
      <c r="BE68" s="14">
        <f>BD68*VLOOKUP('Données projet'!$B$11,Paramètres!$A$1:$I$89,3,0)*VLOOKUP('Données projet'!$B$11,Paramètres!$A$1:$I$89,5,0)</f>
        <v>202.7188800000001</v>
      </c>
      <c r="BF68" s="14">
        <f t="shared" si="37"/>
        <v>50.341224871428125</v>
      </c>
      <c r="BG68" s="22">
        <f t="shared" ref="BG68:BG131" si="61">(BE68+BF68)*0.475*44/12</f>
        <v>440.7463493177375</v>
      </c>
      <c r="BH68" s="62">
        <f t="shared" ref="BH68:BH131" si="62">BG68+(AY68+AZ68)*44/12</f>
        <v>734.07968265107081</v>
      </c>
      <c r="BI68" s="62">
        <f ca="1">AVERAGE(OFFSET($BH$3,0,0,'Données projet'!$E$11+1,1))-AVERAGE(OFFSET($H$3,0,0,'Données projet'!$E$11+1,1))</f>
        <v>210.55867376929405</v>
      </c>
      <c r="BJ68" s="62">
        <f t="shared" si="38"/>
        <v>249.73837672556022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52.509600000000013</v>
      </c>
      <c r="D69" s="12">
        <f t="shared" ref="D69:D132" si="86">IFERROR(EXP(-1.0587+0.8836*LN(C69)+0.284),0)</f>
        <v>15.260016001659478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523.13387790754689</v>
      </c>
      <c r="H69" s="70">
        <f t="shared" si="56"/>
        <v>411.36541453622357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8.0000000000012506E-2</v>
      </c>
      <c r="O69" s="14">
        <f>N69*VLOOKUP('Données projet'!$B$9,Paramètres!$A$1:$I$89,3,0)*VLOOKUP('Données projet'!$B$9,Paramètres!$A$1:$I$89,5,0)</f>
        <v>4.0684800000006363E-2</v>
      </c>
      <c r="P69" s="14">
        <f t="shared" ref="P69:P132" si="87">EXP(-1.0587+0.8836*LN(O69)+0.284)</f>
        <v>2.7217381697540451E-2</v>
      </c>
      <c r="Q69" s="22">
        <f t="shared" si="54"/>
        <v>0.11826296645656069</v>
      </c>
      <c r="R69" s="62">
        <f t="shared" si="55"/>
        <v>293.45159629978986</v>
      </c>
      <c r="S69" s="62">
        <f ca="1">AVERAGE(OFFSET($R$3,0,0,'Données projet'!$E$9+1,1))-AVERAGE(OFFSET($H$3,0,0,'Données projet'!$E$9+1,1))</f>
        <v>57.778110971082867</v>
      </c>
      <c r="T69" s="62">
        <f t="shared" ref="T69:T132" si="88">$T$3</f>
        <v>144.26475989880868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15.761218866696318</v>
      </c>
      <c r="AA69" s="23">
        <f>EXP(-LN(2)/25)*AA68+(1-EXP(-LN(2)/25))/(LN(2)/25)*Calculateur!V69*Calculateur!X69*VLOOKUP('Données projet'!$B$9,Paramètres!$A$1:$I$89,3,0)*0.475*44/12</f>
        <v>1.5333522928756269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17.294571159571944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</v>
      </c>
      <c r="AJ69" s="14">
        <f>AI69*VLOOKUP('Données projet'!$B$10,Paramètres!$A$1:$I$89,3,0)*VLOOKUP('Données projet'!$B$10,Paramètres!$A$1:$I$89,5,0)</f>
        <v>180.94751999999991</v>
      </c>
      <c r="AK69" s="14">
        <f t="shared" ref="AK69:AK132" si="89">EXP(-1.0587+0.8836*LN(AJ69)+0.284)</f>
        <v>45.53292745224649</v>
      </c>
      <c r="AL69" s="22">
        <f t="shared" si="58"/>
        <v>394.45344597932916</v>
      </c>
      <c r="AM69" s="62">
        <f t="shared" si="59"/>
        <v>687.78677931266247</v>
      </c>
      <c r="AN69" s="62">
        <f ca="1">AVERAGE(OFFSET($AM$3,0,0,'Données projet'!$E$10+1,1))-AVERAGE(OFFSET($H$3,0,0,'Données projet'!$E$10+1,1))</f>
        <v>237.45928008030023</v>
      </c>
      <c r="AO69" s="62">
        <f t="shared" ref="AO69:AO132" si="90">$AO$3</f>
        <v>126.78839015508379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3.7599999999999909</v>
      </c>
      <c r="BD69" s="13">
        <f>IF('Données projet'!$A$88&gt;35,BD68+BC69-BL68,IF(A69&lt;'Données projet'!$A$88,$BA$205^A69,IF(A69='Données projet'!$A$88,'Données projet'!$B$88,BD68+BC69-BL68)))</f>
        <v>258.56000000000012</v>
      </c>
      <c r="BE69" s="14">
        <f>BD69*VLOOKUP('Données projet'!$B$11,Paramètres!$A$1:$I$89,3,0)*VLOOKUP('Données projet'!$B$11,Paramètres!$A$1:$I$89,5,0)</f>
        <v>205.7103360000001</v>
      </c>
      <c r="BF69" s="14">
        <f t="shared" ref="BF69:BF132" si="91">EXP(-1.0587+0.8836*LN(BE69)+0.284)</f>
        <v>50.99706319664395</v>
      </c>
      <c r="BG69" s="22">
        <f t="shared" si="61"/>
        <v>447.09872026748832</v>
      </c>
      <c r="BH69" s="62">
        <f t="shared" si="62"/>
        <v>740.43205360082163</v>
      </c>
      <c r="BI69" s="62">
        <f ca="1">AVERAGE(OFFSET($BH$3,0,0,'Données projet'!$E$11+1,1))-AVERAGE(OFFSET($H$3,0,0,'Données projet'!$E$11+1,1))</f>
        <v>210.55867376929405</v>
      </c>
      <c r="BJ69" s="62">
        <f t="shared" ref="BJ69:BJ132" si="92">$BJ$3</f>
        <v>249.73837672556022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53.305200000000013</v>
      </c>
      <c r="D70" s="12">
        <f t="shared" si="86"/>
        <v>15.464136099117203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530.85101550195748</v>
      </c>
      <c r="H70" s="70">
        <f t="shared" si="56"/>
        <v>413.10659370596244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8.0000000000012506E-2</v>
      </c>
      <c r="O70" s="14">
        <f>N70*VLOOKUP('Données projet'!$B$9,Paramètres!$A$1:$I$89,3,0)*VLOOKUP('Données projet'!$B$9,Paramètres!$A$1:$I$89,5,0)</f>
        <v>4.0684800000006363E-2</v>
      </c>
      <c r="P70" s="14">
        <f t="shared" si="87"/>
        <v>2.7217381697540451E-2</v>
      </c>
      <c r="Q70" s="22">
        <f t="shared" si="54"/>
        <v>0.11826296645656069</v>
      </c>
      <c r="R70" s="62">
        <f t="shared" si="55"/>
        <v>293.45159629978986</v>
      </c>
      <c r="S70" s="62">
        <f ca="1">AVERAGE(OFFSET($R$3,0,0,'Données projet'!$E$9+1,1))-AVERAGE(OFFSET($H$3,0,0,'Données projet'!$E$9+1,1))</f>
        <v>57.778110971082867</v>
      </c>
      <c r="T70" s="62">
        <f t="shared" si="88"/>
        <v>144.26475989880868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15.452150978114668</v>
      </c>
      <c r="AA70" s="23">
        <f>EXP(-LN(2)/25)*AA69+(1-EXP(-LN(2)/25))/(LN(2)/25)*Calculateur!V70*Calculateur!X70*VLOOKUP('Données projet'!$B$9,Paramètres!$A$1:$I$89,3,0)*0.475*44/12</f>
        <v>1.4914226937914503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16.943573671906119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221.59999999999991</v>
      </c>
      <c r="AJ70" s="14">
        <f>AI70*VLOOKUP('Données projet'!$B$10,Paramètres!$A$1:$I$89,3,0)*VLOOKUP('Données projet'!$B$10,Paramètres!$A$1:$I$89,5,0)</f>
        <v>186.67583999999994</v>
      </c>
      <c r="AK70" s="14">
        <f t="shared" si="89"/>
        <v>46.804275023026932</v>
      </c>
      <c r="AL70" s="22">
        <f t="shared" si="58"/>
        <v>406.64453366510514</v>
      </c>
      <c r="AM70" s="62">
        <f t="shared" si="59"/>
        <v>699.97786699843846</v>
      </c>
      <c r="AN70" s="62">
        <f ca="1">AVERAGE(OFFSET($AM$3,0,0,'Données projet'!$E$10+1,1))-AVERAGE(OFFSET($H$3,0,0,'Données projet'!$E$10+1,1))</f>
        <v>237.45928008030023</v>
      </c>
      <c r="AO70" s="62">
        <f t="shared" si="90"/>
        <v>126.78839015508379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3.7599999999999909</v>
      </c>
      <c r="BD70" s="13">
        <f>IF('Données projet'!$A$88&gt;35,BD69+BC70-BL69,IF(A70&lt;'Données projet'!$A$88,$BA$205^A70,IF(A70='Données projet'!$A$88,'Données projet'!$B$88,BD69+BC70-BL69)))</f>
        <v>262.32000000000011</v>
      </c>
      <c r="BE70" s="14">
        <f>BD70*VLOOKUP('Données projet'!$B$11,Paramètres!$A$1:$I$89,3,0)*VLOOKUP('Données projet'!$B$11,Paramètres!$A$1:$I$89,5,0)</f>
        <v>208.7017920000001</v>
      </c>
      <c r="BF70" s="14">
        <f t="shared" si="91"/>
        <v>51.651792283320177</v>
      </c>
      <c r="BG70" s="22">
        <f t="shared" si="61"/>
        <v>453.44915929344944</v>
      </c>
      <c r="BH70" s="62">
        <f t="shared" si="62"/>
        <v>746.78249262678275</v>
      </c>
      <c r="BI70" s="62">
        <f ca="1">AVERAGE(OFFSET($BH$3,0,0,'Données projet'!$E$11+1,1))-AVERAGE(OFFSET($H$3,0,0,'Données projet'!$E$11+1,1))</f>
        <v>210.55867376929405</v>
      </c>
      <c r="BJ70" s="62">
        <f t="shared" si="92"/>
        <v>249.73837672556022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54.100800000000014</v>
      </c>
      <c r="D71" s="12">
        <f t="shared" si="86"/>
        <v>15.667901869943273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538.56541794342195</v>
      </c>
      <c r="H71" s="70">
        <f t="shared" si="56"/>
        <v>414.84715575681787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8.0000000000012506E-2</v>
      </c>
      <c r="O71" s="14">
        <f>N71*VLOOKUP('Données projet'!$B$9,Paramètres!$A$1:$I$89,3,0)*VLOOKUP('Données projet'!$B$9,Paramètres!$A$1:$I$89,5,0)</f>
        <v>4.0684800000006363E-2</v>
      </c>
      <c r="P71" s="14">
        <f t="shared" si="87"/>
        <v>2.7217381697540451E-2</v>
      </c>
      <c r="Q71" s="22">
        <f t="shared" si="54"/>
        <v>0.11826296645656069</v>
      </c>
      <c r="R71" s="62">
        <f t="shared" si="55"/>
        <v>293.45159629978986</v>
      </c>
      <c r="S71" s="62">
        <f ca="1">AVERAGE(OFFSET($R$3,0,0,'Données projet'!$E$9+1,1))-AVERAGE(OFFSET($H$3,0,0,'Données projet'!$E$9+1,1))</f>
        <v>57.778110971082867</v>
      </c>
      <c r="T71" s="62">
        <f t="shared" si="88"/>
        <v>144.26475989880868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15.149143722315307</v>
      </c>
      <c r="AA71" s="23">
        <f>EXP(-LN(2)/25)*AA70+(1-EXP(-LN(2)/25))/(LN(2)/25)*Calculateur!V71*Calculateur!X71*VLOOKUP('Données projet'!$B$9,Paramètres!$A$1:$I$89,3,0)*0.475*44/12</f>
        <v>1.4506396617992123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16.59978338411452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228.39999999999992</v>
      </c>
      <c r="AJ71" s="14">
        <f>AI71*VLOOKUP('Données projet'!$B$10,Paramètres!$A$1:$I$89,3,0)*VLOOKUP('Données projet'!$B$10,Paramètres!$A$1:$I$89,5,0)</f>
        <v>192.40415999999996</v>
      </c>
      <c r="AK71" s="14">
        <f t="shared" si="89"/>
        <v>48.071088890795593</v>
      </c>
      <c r="AL71" s="22">
        <f t="shared" si="58"/>
        <v>418.82772515146894</v>
      </c>
      <c r="AM71" s="62">
        <f t="shared" si="59"/>
        <v>712.1610584848022</v>
      </c>
      <c r="AN71" s="62">
        <f ca="1">AVERAGE(OFFSET($AM$3,0,0,'Données projet'!$E$10+1,1))-AVERAGE(OFFSET($H$3,0,0,'Données projet'!$E$10+1,1))</f>
        <v>237.45928008030023</v>
      </c>
      <c r="AO71" s="62">
        <f t="shared" si="90"/>
        <v>126.78839015508379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3.7599999999999909</v>
      </c>
      <c r="BD71" s="13">
        <f>IF('Données projet'!$A$88&gt;35,BD70+BC71-BL70,IF(A71&lt;'Données projet'!$A$88,$BA$205^A71,IF(A71='Données projet'!$A$88,'Données projet'!$B$88,BD70+BC71-BL70)))</f>
        <v>266.0800000000001</v>
      </c>
      <c r="BE71" s="14">
        <f>BD71*VLOOKUP('Données projet'!$B$11,Paramètres!$A$1:$I$89,3,0)*VLOOKUP('Données projet'!$B$11,Paramètres!$A$1:$I$89,5,0)</f>
        <v>211.69324800000007</v>
      </c>
      <c r="BF71" s="14">
        <f t="shared" si="91"/>
        <v>52.305429867997155</v>
      </c>
      <c r="BG71" s="22">
        <f t="shared" si="61"/>
        <v>459.79769728676183</v>
      </c>
      <c r="BH71" s="62">
        <f t="shared" si="62"/>
        <v>753.13103062009509</v>
      </c>
      <c r="BI71" s="62">
        <f ca="1">AVERAGE(OFFSET($BH$3,0,0,'Données projet'!$E$11+1,1))-AVERAGE(OFFSET($H$3,0,0,'Données projet'!$E$11+1,1))</f>
        <v>210.55867376929405</v>
      </c>
      <c r="BJ71" s="62">
        <f t="shared" si="92"/>
        <v>249.73837672556022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54.896400000000014</v>
      </c>
      <c r="D72" s="12">
        <f t="shared" si="86"/>
        <v>15.871319126793061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546.2771301015606</v>
      </c>
      <c r="H72" s="70">
        <f t="shared" si="56"/>
        <v>416.58711081249794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8.0000000000012506E-2</v>
      </c>
      <c r="O72" s="14">
        <f>N72*VLOOKUP('Données projet'!$B$9,Paramètres!$A$1:$I$89,3,0)*VLOOKUP('Données projet'!$B$9,Paramètres!$A$1:$I$89,5,0)</f>
        <v>4.0684800000006363E-2</v>
      </c>
      <c r="P72" s="14">
        <f t="shared" si="87"/>
        <v>2.7217381697540451E-2</v>
      </c>
      <c r="Q72" s="22">
        <f t="shared" si="54"/>
        <v>0.11826296645656069</v>
      </c>
      <c r="R72" s="62">
        <f t="shared" si="55"/>
        <v>293.45159629978986</v>
      </c>
      <c r="S72" s="62">
        <f ca="1">AVERAGE(OFFSET($R$3,0,0,'Données projet'!$E$9+1,1))-AVERAGE(OFFSET($H$3,0,0,'Données projet'!$E$9+1,1))</f>
        <v>57.778110971082867</v>
      </c>
      <c r="T72" s="62">
        <f t="shared" si="88"/>
        <v>144.26475989880868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14.852078253985994</v>
      </c>
      <c r="AA72" s="23">
        <f>EXP(-LN(2)/25)*AA71+(1-EXP(-LN(2)/25))/(LN(2)/25)*Calculateur!V72*Calculateur!X72*VLOOKUP('Données projet'!$B$9,Paramètres!$A$1:$I$89,3,0)*0.475*44/12</f>
        <v>1.4109718439614884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16.263050097947481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235.19999999999993</v>
      </c>
      <c r="AJ72" s="14">
        <f>AI72*VLOOKUP('Données projet'!$B$10,Paramètres!$A$1:$I$89,3,0)*VLOOKUP('Données projet'!$B$10,Paramètres!$A$1:$I$89,5,0)</f>
        <v>198.13247999999996</v>
      </c>
      <c r="AK72" s="14">
        <f t="shared" si="89"/>
        <v>49.333519530262095</v>
      </c>
      <c r="AL72" s="22">
        <f t="shared" si="58"/>
        <v>431.00328251520637</v>
      </c>
      <c r="AM72" s="62">
        <f t="shared" si="59"/>
        <v>724.33661584853962</v>
      </c>
      <c r="AN72" s="62">
        <f ca="1">AVERAGE(OFFSET($AM$3,0,0,'Données projet'!$E$10+1,1))-AVERAGE(OFFSET($H$3,0,0,'Données projet'!$E$10+1,1))</f>
        <v>237.45928008030023</v>
      </c>
      <c r="AO72" s="62">
        <f t="shared" si="90"/>
        <v>126.78839015508379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3.7599999999999909</v>
      </c>
      <c r="BD72" s="13">
        <f>IF('Données projet'!$A$88&gt;35,BD71+BC72-BL71,IF(A72&lt;'Données projet'!$A$88,$BA$205^A72,IF(A72='Données projet'!$A$88,'Données projet'!$B$88,BD71+BC72-BL71)))</f>
        <v>269.84000000000009</v>
      </c>
      <c r="BE72" s="14">
        <f>BD72*VLOOKUP('Données projet'!$B$11,Paramètres!$A$1:$I$89,3,0)*VLOOKUP('Données projet'!$B$11,Paramètres!$A$1:$I$89,5,0)</f>
        <v>214.68470400000007</v>
      </c>
      <c r="BF72" s="14">
        <f t="shared" si="91"/>
        <v>52.957993157151179</v>
      </c>
      <c r="BG72" s="22">
        <f t="shared" si="61"/>
        <v>466.14436421537175</v>
      </c>
      <c r="BH72" s="62">
        <f t="shared" si="62"/>
        <v>759.47769754870501</v>
      </c>
      <c r="BI72" s="62">
        <f ca="1">AVERAGE(OFFSET($BH$3,0,0,'Données projet'!$E$11+1,1))-AVERAGE(OFFSET($H$3,0,0,'Données projet'!$E$11+1,1))</f>
        <v>210.55867376929405</v>
      </c>
      <c r="BJ72" s="62">
        <f t="shared" si="92"/>
        <v>249.73837672556022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55.692000000000014</v>
      </c>
      <c r="D73" s="12">
        <f t="shared" si="86"/>
        <v>16.074393504165204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553.98619547074918</v>
      </c>
      <c r="H73" s="70">
        <f t="shared" si="56"/>
        <v>418.32646868642104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8.0000000000012506E-2</v>
      </c>
      <c r="O73" s="14">
        <f>N73*VLOOKUP('Données projet'!$B$9,Paramètres!$A$1:$I$89,3,0)*VLOOKUP('Données projet'!$B$9,Paramètres!$A$1:$I$89,5,0)</f>
        <v>4.0684800000006363E-2</v>
      </c>
      <c r="P73" s="14">
        <f t="shared" si="87"/>
        <v>2.7217381697540451E-2</v>
      </c>
      <c r="Q73" s="22">
        <f t="shared" si="54"/>
        <v>0.11826296645656069</v>
      </c>
      <c r="R73" s="62">
        <f t="shared" si="55"/>
        <v>293.45159629978986</v>
      </c>
      <c r="S73" s="62">
        <f ca="1">AVERAGE(OFFSET($R$3,0,0,'Données projet'!$E$9+1,1))-AVERAGE(OFFSET($H$3,0,0,'Données projet'!$E$9+1,1))</f>
        <v>57.778110971082867</v>
      </c>
      <c r="T73" s="62">
        <f t="shared" si="88"/>
        <v>144.26475989880868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14.560838058298573</v>
      </c>
      <c r="AA73" s="23">
        <f>EXP(-LN(2)/25)*AA72+(1-EXP(-LN(2)/25))/(LN(2)/25)*Calculateur!V73*Calculateur!X73*VLOOKUP('Données projet'!$B$9,Paramètres!$A$1:$I$89,3,0)*0.475*44/12</f>
        <v>1.3723887446885772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15.93322680298715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241.99999999999994</v>
      </c>
      <c r="AJ73" s="14">
        <f>AI73*VLOOKUP('Données projet'!$B$10,Paramètres!$A$1:$I$89,3,0)*VLOOKUP('Données projet'!$B$10,Paramètres!$A$1:$I$89,5,0)</f>
        <v>203.86079999999998</v>
      </c>
      <c r="AK73" s="14">
        <f t="shared" si="89"/>
        <v>50.591708220421786</v>
      </c>
      <c r="AL73" s="22">
        <f t="shared" si="58"/>
        <v>443.17145181723458</v>
      </c>
      <c r="AM73" s="62">
        <f t="shared" si="59"/>
        <v>736.50478515056784</v>
      </c>
      <c r="AN73" s="62">
        <f ca="1">AVERAGE(OFFSET($AM$3,0,0,'Données projet'!$E$10+1,1))-AVERAGE(OFFSET($H$3,0,0,'Données projet'!$E$10+1,1))</f>
        <v>237.45928008030023</v>
      </c>
      <c r="AO73" s="62">
        <f t="shared" si="90"/>
        <v>126.78839015508379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273.59999999999997</v>
      </c>
      <c r="BB73" s="13">
        <f>VLOOKUP(A73,'Données projet'!$A$87:$I$107,9,0)</f>
        <v>3.7599999999999909</v>
      </c>
      <c r="BC73" s="13">
        <f t="array" ref="BC73">INDEX(BB:BB,MIN(IF(ISNUMBER(BB73:BB269),ROW(BB73:BB269),"")))</f>
        <v>3.7599999999999909</v>
      </c>
      <c r="BD73" s="13">
        <f>IF('Données projet'!$A$88&gt;35,BD72+BC73-BL72,IF(A73&lt;'Données projet'!$A$88,$BA$205^A73,IF(A73='Données projet'!$A$88,'Données projet'!$B$88,BD72+BC73-BL72)))</f>
        <v>273.60000000000008</v>
      </c>
      <c r="BE73" s="14">
        <f>BD73*VLOOKUP('Données projet'!$B$11,Paramètres!$A$1:$I$89,3,0)*VLOOKUP('Données projet'!$B$11,Paramètres!$A$1:$I$89,5,0)</f>
        <v>217.67616000000007</v>
      </c>
      <c r="BF73" s="14">
        <f t="shared" si="91"/>
        <v>53.609498850196708</v>
      </c>
      <c r="BG73" s="22">
        <f t="shared" si="61"/>
        <v>472.48918916409275</v>
      </c>
      <c r="BH73" s="62">
        <f t="shared" si="62"/>
        <v>765.82252249742601</v>
      </c>
      <c r="BI73" s="62">
        <f ca="1">AVERAGE(OFFSET($BH$3,0,0,'Données projet'!$E$11+1,1))-AVERAGE(OFFSET($H$3,0,0,'Données projet'!$E$11+1,1))</f>
        <v>210.55867376929405</v>
      </c>
      <c r="BJ73" s="62">
        <f t="shared" si="92"/>
        <v>249.73837672556022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20.9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56.487600000000015</v>
      </c>
      <c r="D74" s="12">
        <f t="shared" si="86"/>
        <v>16.277130466327542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561.69265623130059</v>
      </c>
      <c r="H74" s="70">
        <f t="shared" si="56"/>
        <v>420.06523889552051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8.0000000000012506E-2</v>
      </c>
      <c r="O74" s="14">
        <f>N74*VLOOKUP('Données projet'!$B$9,Paramètres!$A$1:$I$89,3,0)*VLOOKUP('Données projet'!$B$9,Paramètres!$A$1:$I$89,5,0)</f>
        <v>4.0684800000006363E-2</v>
      </c>
      <c r="P74" s="14">
        <f t="shared" si="87"/>
        <v>2.7217381697540451E-2</v>
      </c>
      <c r="Q74" s="22">
        <f t="shared" si="54"/>
        <v>0.11826296645656069</v>
      </c>
      <c r="R74" s="62">
        <f t="shared" si="55"/>
        <v>293.45159629978986</v>
      </c>
      <c r="S74" s="62">
        <f ca="1">AVERAGE(OFFSET($R$3,0,0,'Données projet'!$E$9+1,1))-AVERAGE(OFFSET($H$3,0,0,'Données projet'!$E$9+1,1))</f>
        <v>57.778110971082867</v>
      </c>
      <c r="T74" s="62">
        <f t="shared" si="88"/>
        <v>144.26475989880868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14.275308905209606</v>
      </c>
      <c r="AA74" s="23">
        <f>EXP(-LN(2)/25)*AA73+(1-EXP(-LN(2)/25))/(LN(2)/25)*Calculateur!V74*Calculateur!X74*VLOOKUP('Données projet'!$B$9,Paramètres!$A$1:$I$89,3,0)*0.475*44/12</f>
        <v>1.3348607022942807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15.610169607503886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248.19999999999993</v>
      </c>
      <c r="AJ74" s="14">
        <f>AI74*VLOOKUP('Données projet'!$B$10,Paramètres!$A$1:$I$89,3,0)*VLOOKUP('Données projet'!$B$10,Paramètres!$A$1:$I$89,5,0)</f>
        <v>209.08367999999996</v>
      </c>
      <c r="AK74" s="14">
        <f t="shared" si="89"/>
        <v>51.735295790267372</v>
      </c>
      <c r="AL74" s="22">
        <f t="shared" si="58"/>
        <v>454.25971616804895</v>
      </c>
      <c r="AM74" s="62">
        <f t="shared" si="59"/>
        <v>747.59304950138221</v>
      </c>
      <c r="AN74" s="62">
        <f ca="1">AVERAGE(OFFSET($AM$3,0,0,'Données projet'!$E$10+1,1))-AVERAGE(OFFSET($H$3,0,0,'Données projet'!$E$10+1,1))</f>
        <v>237.45928008030023</v>
      </c>
      <c r="AO74" s="62">
        <f t="shared" si="90"/>
        <v>126.78839015508379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3.4000000000000172</v>
      </c>
      <c r="BD74" s="13">
        <f>IF('Données projet'!$A$88&gt;35,BD73+BC74-BL73,IF(A74&lt;'Données projet'!$A$88,$BA$205^A74,IF(A74='Données projet'!$A$88,'Données projet'!$B$88,BD73+BC74-BL73)))</f>
        <v>256.10000000000014</v>
      </c>
      <c r="BE74" s="14">
        <f>BD74*VLOOKUP('Données projet'!$B$11,Paramètres!$A$1:$I$89,3,0)*VLOOKUP('Données projet'!$B$11,Paramètres!$A$1:$I$89,5,0)</f>
        <v>203.75316000000012</v>
      </c>
      <c r="BF74" s="14">
        <f t="shared" si="91"/>
        <v>50.568104070523368</v>
      </c>
      <c r="BG74" s="22">
        <f t="shared" si="61"/>
        <v>442.94286825616172</v>
      </c>
      <c r="BH74" s="62">
        <f t="shared" si="62"/>
        <v>736.27620158949503</v>
      </c>
      <c r="BI74" s="62">
        <f ca="1">AVERAGE(OFFSET($BH$3,0,0,'Données projet'!$E$11+1,1))-AVERAGE(OFFSET($H$3,0,0,'Données projet'!$E$11+1,1))</f>
        <v>210.55867376929405</v>
      </c>
      <c r="BJ74" s="62">
        <f t="shared" si="92"/>
        <v>249.73837672556022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57.283200000000015</v>
      </c>
      <c r="D75" s="12">
        <f t="shared" si="86"/>
        <v>16.479535314783973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569.39655330710445</v>
      </c>
      <c r="H75" s="70">
        <f t="shared" si="56"/>
        <v>421.80343067324873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8.0000000000012506E-2</v>
      </c>
      <c r="O75" s="14">
        <f>N75*VLOOKUP('Données projet'!$B$9,Paramètres!$A$1:$I$89,3,0)*VLOOKUP('Données projet'!$B$9,Paramètres!$A$1:$I$89,5,0)</f>
        <v>4.0684800000006363E-2</v>
      </c>
      <c r="P75" s="14">
        <f t="shared" si="87"/>
        <v>2.7217381697540451E-2</v>
      </c>
      <c r="Q75" s="22">
        <f t="shared" si="54"/>
        <v>0.11826296645656069</v>
      </c>
      <c r="R75" s="62">
        <f t="shared" si="55"/>
        <v>293.45159629978986</v>
      </c>
      <c r="S75" s="62">
        <f ca="1">AVERAGE(OFFSET($R$3,0,0,'Données projet'!$E$9+1,1))-AVERAGE(OFFSET($H$3,0,0,'Données projet'!$E$9+1,1))</f>
        <v>57.778110971082867</v>
      </c>
      <c r="T75" s="62">
        <f t="shared" si="88"/>
        <v>144.26475989880868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13.995378804657125</v>
      </c>
      <c r="AA75" s="23">
        <f>EXP(-LN(2)/25)*AA74+(1-EXP(-LN(2)/25))/(LN(2)/25)*Calculateur!V75*Calculateur!X75*VLOOKUP('Données projet'!$B$9,Paramètres!$A$1:$I$89,3,0)*0.475*44/12</f>
        <v>1.2983588661927701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15.293737670849895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254.39999999999992</v>
      </c>
      <c r="AJ75" s="14">
        <f>AI75*VLOOKUP('Données projet'!$B$10,Paramètres!$A$1:$I$89,3,0)*VLOOKUP('Données projet'!$B$10,Paramètres!$A$1:$I$89,5,0)</f>
        <v>214.30655999999996</v>
      </c>
      <c r="AK75" s="14">
        <f t="shared" si="89"/>
        <v>52.875562666416783</v>
      </c>
      <c r="AL75" s="22">
        <f t="shared" si="58"/>
        <v>465.34219697734244</v>
      </c>
      <c r="AM75" s="62">
        <f t="shared" si="59"/>
        <v>758.67553031067575</v>
      </c>
      <c r="AN75" s="62">
        <f ca="1">AVERAGE(OFFSET($AM$3,0,0,'Données projet'!$E$10+1,1))-AVERAGE(OFFSET($H$3,0,0,'Données projet'!$E$10+1,1))</f>
        <v>237.45928008030023</v>
      </c>
      <c r="AO75" s="62">
        <f t="shared" si="90"/>
        <v>126.78839015508379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3.4000000000000172</v>
      </c>
      <c r="BD75" s="13">
        <f>IF('Données projet'!$A$88&gt;35,BD74+BC75-BL74,IF(A75&lt;'Données projet'!$A$88,$BA$205^A75,IF(A75='Données projet'!$A$88,'Données projet'!$B$88,BD74+BC75-BL74)))</f>
        <v>259.50000000000017</v>
      </c>
      <c r="BE75" s="14">
        <f>BD75*VLOOKUP('Données projet'!$B$11,Paramètres!$A$1:$I$89,3,0)*VLOOKUP('Données projet'!$B$11,Paramètres!$A$1:$I$89,5,0)</f>
        <v>206.45820000000015</v>
      </c>
      <c r="BF75" s="14">
        <f t="shared" si="91"/>
        <v>51.160848757309601</v>
      </c>
      <c r="BG75" s="22">
        <f t="shared" si="61"/>
        <v>448.68650991898113</v>
      </c>
      <c r="BH75" s="62">
        <f t="shared" si="62"/>
        <v>742.01984325231444</v>
      </c>
      <c r="BI75" s="62">
        <f ca="1">AVERAGE(OFFSET($BH$3,0,0,'Données projet'!$E$11+1,1))-AVERAGE(OFFSET($H$3,0,0,'Données projet'!$E$11+1,1))</f>
        <v>210.55867376929405</v>
      </c>
      <c r="BJ75" s="62">
        <f t="shared" si="92"/>
        <v>249.73837672556022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58.078800000000015</v>
      </c>
      <c r="D76" s="12">
        <f t="shared" si="86"/>
        <v>16.681613195314618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577.09792641997262</v>
      </c>
      <c r="H76" s="70">
        <f t="shared" si="56"/>
        <v>423.54105298183964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8.0000000000012506E-2</v>
      </c>
      <c r="O76" s="14">
        <f>N76*VLOOKUP('Données projet'!$B$9,Paramètres!$A$1:$I$89,3,0)*VLOOKUP('Données projet'!$B$9,Paramètres!$A$1:$I$89,5,0)</f>
        <v>4.0684800000006363E-2</v>
      </c>
      <c r="P76" s="14">
        <f t="shared" si="87"/>
        <v>2.7217381697540451E-2</v>
      </c>
      <c r="Q76" s="22">
        <f t="shared" si="54"/>
        <v>0.11826296645656069</v>
      </c>
      <c r="R76" s="62">
        <f t="shared" si="55"/>
        <v>293.45159629978986</v>
      </c>
      <c r="S76" s="62">
        <f ca="1">AVERAGE(OFFSET($R$3,0,0,'Données projet'!$E$9+1,1))-AVERAGE(OFFSET($H$3,0,0,'Données projet'!$E$9+1,1))</f>
        <v>57.778110971082867</v>
      </c>
      <c r="T76" s="62">
        <f t="shared" si="88"/>
        <v>144.26475989880868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13.720937962635977</v>
      </c>
      <c r="AA76" s="23">
        <f>EXP(-LN(2)/25)*AA75+(1-EXP(-LN(2)/25))/(LN(2)/25)*Calculateur!V76*Calculateur!X76*VLOOKUP('Données projet'!$B$9,Paramètres!$A$1:$I$89,3,0)*0.475*44/12</f>
        <v>1.2628551747190035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14.983793137354981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260.59999999999991</v>
      </c>
      <c r="AJ76" s="14">
        <f>AI76*VLOOKUP('Données projet'!$B$10,Paramètres!$A$1:$I$89,3,0)*VLOOKUP('Données projet'!$B$10,Paramètres!$A$1:$I$89,5,0)</f>
        <v>219.52943999999994</v>
      </c>
      <c r="AK76" s="14">
        <f t="shared" si="89"/>
        <v>54.012599087881227</v>
      </c>
      <c r="AL76" s="22">
        <f t="shared" si="58"/>
        <v>476.41905141139301</v>
      </c>
      <c r="AM76" s="62">
        <f t="shared" si="59"/>
        <v>769.75238474472633</v>
      </c>
      <c r="AN76" s="62">
        <f ca="1">AVERAGE(OFFSET($AM$3,0,0,'Données projet'!$E$10+1,1))-AVERAGE(OFFSET($H$3,0,0,'Données projet'!$E$10+1,1))</f>
        <v>237.45928008030023</v>
      </c>
      <c r="AO76" s="62">
        <f t="shared" si="90"/>
        <v>126.78839015508379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3.4000000000000172</v>
      </c>
      <c r="BD76" s="13">
        <f>IF('Données projet'!$A$88&gt;35,BD75+BC76-BL75,IF(A76&lt;'Données projet'!$A$88,$BA$205^A76,IF(A76='Données projet'!$A$88,'Données projet'!$B$88,BD75+BC76-BL75)))</f>
        <v>262.9000000000002</v>
      </c>
      <c r="BE76" s="14">
        <f>BD76*VLOOKUP('Données projet'!$B$11,Paramètres!$A$1:$I$89,3,0)*VLOOKUP('Données projet'!$B$11,Paramètres!$A$1:$I$89,5,0)</f>
        <v>209.16324000000014</v>
      </c>
      <c r="BF76" s="14">
        <f t="shared" si="91"/>
        <v>51.752690118703946</v>
      </c>
      <c r="BG76" s="22">
        <f t="shared" si="61"/>
        <v>454.42857829007625</v>
      </c>
      <c r="BH76" s="62">
        <f t="shared" si="62"/>
        <v>747.76191162340956</v>
      </c>
      <c r="BI76" s="62">
        <f ca="1">AVERAGE(OFFSET($BH$3,0,0,'Données projet'!$E$11+1,1))-AVERAGE(OFFSET($H$3,0,0,'Données projet'!$E$11+1,1))</f>
        <v>210.55867376929405</v>
      </c>
      <c r="BJ76" s="62">
        <f t="shared" si="92"/>
        <v>249.73837672556022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58.874400000000016</v>
      </c>
      <c r="D77" s="12">
        <f t="shared" si="86"/>
        <v>16.883369104619224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584.79681414092045</v>
      </c>
      <c r="H77" s="70">
        <f t="shared" si="56"/>
        <v>425.27811452387846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8.0000000000012506E-2</v>
      </c>
      <c r="O77" s="14">
        <f>N77*VLOOKUP('Données projet'!$B$9,Paramètres!$A$1:$I$89,3,0)*VLOOKUP('Données projet'!$B$9,Paramètres!$A$1:$I$89,5,0)</f>
        <v>4.0684800000006363E-2</v>
      </c>
      <c r="P77" s="14">
        <f t="shared" si="87"/>
        <v>2.7217381697540451E-2</v>
      </c>
      <c r="Q77" s="22">
        <f t="shared" si="54"/>
        <v>0.11826296645656069</v>
      </c>
      <c r="R77" s="62">
        <f t="shared" si="55"/>
        <v>293.45159629978986</v>
      </c>
      <c r="S77" s="62">
        <f ca="1">AVERAGE(OFFSET($R$3,0,0,'Données projet'!$E$9+1,1))-AVERAGE(OFFSET($H$3,0,0,'Données projet'!$E$9+1,1))</f>
        <v>57.778110971082867</v>
      </c>
      <c r="T77" s="62">
        <f t="shared" si="88"/>
        <v>144.26475989880868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13.451878738134479</v>
      </c>
      <c r="AA77" s="23">
        <f>EXP(-LN(2)/25)*AA76+(1-EXP(-LN(2)/25))/(LN(2)/25)*Calculateur!V77*Calculateur!X77*VLOOKUP('Données projet'!$B$9,Paramètres!$A$1:$I$89,3,0)*0.475*44/12</f>
        <v>1.228322333555645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14.680201071690124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266.7999999999999</v>
      </c>
      <c r="AJ77" s="14">
        <f>AI77*VLOOKUP('Données projet'!$B$10,Paramètres!$A$1:$I$89,3,0)*VLOOKUP('Données projet'!$B$10,Paramètres!$A$1:$I$89,5,0)</f>
        <v>224.75231999999991</v>
      </c>
      <c r="AK77" s="14">
        <f t="shared" si="89"/>
        <v>55.146490754971083</v>
      </c>
      <c r="AL77" s="22">
        <f t="shared" si="58"/>
        <v>487.49042873157447</v>
      </c>
      <c r="AM77" s="62">
        <f t="shared" si="59"/>
        <v>780.82376206490778</v>
      </c>
      <c r="AN77" s="62">
        <f ca="1">AVERAGE(OFFSET($AM$3,0,0,'Données projet'!$E$10+1,1))-AVERAGE(OFFSET($H$3,0,0,'Données projet'!$E$10+1,1))</f>
        <v>237.45928008030023</v>
      </c>
      <c r="AO77" s="62">
        <f t="shared" si="90"/>
        <v>126.78839015508379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3.4000000000000172</v>
      </c>
      <c r="BD77" s="13">
        <f>IF('Données projet'!$A$88&gt;35,BD76+BC77-BL76,IF(A77&lt;'Données projet'!$A$88,$BA$205^A77,IF(A77='Données projet'!$A$88,'Données projet'!$B$88,BD76+BC77-BL76)))</f>
        <v>266.30000000000024</v>
      </c>
      <c r="BE77" s="14">
        <f>BD77*VLOOKUP('Données projet'!$B$11,Paramètres!$A$1:$I$89,3,0)*VLOOKUP('Données projet'!$B$11,Paramètres!$A$1:$I$89,5,0)</f>
        <v>211.8682800000002</v>
      </c>
      <c r="BF77" s="14">
        <f t="shared" si="91"/>
        <v>52.343641187871285</v>
      </c>
      <c r="BG77" s="22">
        <f t="shared" si="61"/>
        <v>460.16909606887612</v>
      </c>
      <c r="BH77" s="62">
        <f t="shared" si="62"/>
        <v>753.50242940220937</v>
      </c>
      <c r="BI77" s="62">
        <f ca="1">AVERAGE(OFFSET($BH$3,0,0,'Données projet'!$E$11+1,1))-AVERAGE(OFFSET($H$3,0,0,'Données projet'!$E$11+1,1))</f>
        <v>210.55867376929405</v>
      </c>
      <c r="BJ77" s="62">
        <f t="shared" si="92"/>
        <v>249.73837672556022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59.670000000000016</v>
      </c>
      <c r="D78" s="12">
        <f t="shared" si="86"/>
        <v>17.084807896591332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592.49325393859988</v>
      </c>
      <c r="H78" s="70">
        <f t="shared" si="56"/>
        <v>427.0146237532299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8.0000000000012506E-2</v>
      </c>
      <c r="O78" s="14">
        <f>N78*VLOOKUP('Données projet'!$B$9,Paramètres!$A$1:$I$89,3,0)*VLOOKUP('Données projet'!$B$9,Paramètres!$A$1:$I$89,5,0)</f>
        <v>4.0684800000006363E-2</v>
      </c>
      <c r="P78" s="14">
        <f t="shared" si="87"/>
        <v>2.7217381697540451E-2</v>
      </c>
      <c r="Q78" s="22">
        <f t="shared" si="54"/>
        <v>0.11826296645656069</v>
      </c>
      <c r="R78" s="62">
        <f t="shared" si="55"/>
        <v>293.45159629978986</v>
      </c>
      <c r="S78" s="62">
        <f ca="1">AVERAGE(OFFSET($R$3,0,0,'Données projet'!$E$9+1,1))-AVERAGE(OFFSET($H$3,0,0,'Données projet'!$E$9+1,1))</f>
        <v>57.778110971082867</v>
      </c>
      <c r="T78" s="62">
        <f t="shared" si="88"/>
        <v>144.26475989880868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13.188095600915531</v>
      </c>
      <c r="AA78" s="23">
        <f>EXP(-LN(2)/25)*AA77+(1-EXP(-LN(2)/25))/(LN(2)/25)*Calculateur!V78*Calculateur!X78*VLOOKUP('Données projet'!$B$9,Paramètres!$A$1:$I$89,3,0)*0.475*44/12</f>
        <v>1.1947337947499017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14.382829395665432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272.99999999999989</v>
      </c>
      <c r="AJ78" s="14">
        <f>AI78*VLOOKUP('Données projet'!$B$10,Paramètres!$A$1:$I$89,3,0)*VLOOKUP('Données projet'!$B$10,Paramètres!$A$1:$I$89,5,0)</f>
        <v>229.97519999999994</v>
      </c>
      <c r="AK78" s="14">
        <f t="shared" si="89"/>
        <v>56.277319157664266</v>
      </c>
      <c r="AL78" s="22">
        <f t="shared" si="58"/>
        <v>498.55647086626522</v>
      </c>
      <c r="AM78" s="62">
        <f t="shared" si="59"/>
        <v>791.88980419959853</v>
      </c>
      <c r="AN78" s="62">
        <f ca="1">AVERAGE(OFFSET($AM$3,0,0,'Données projet'!$E$10+1,1))-AVERAGE(OFFSET($H$3,0,0,'Données projet'!$E$10+1,1))</f>
        <v>237.45928008030023</v>
      </c>
      <c r="AO78" s="62">
        <f t="shared" si="90"/>
        <v>126.78839015508379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269.70000000000005</v>
      </c>
      <c r="BB78" s="13">
        <f>VLOOKUP(A78,'Données projet'!$A$87:$I$107,9,0)</f>
        <v>3.4000000000000172</v>
      </c>
      <c r="BC78" s="13">
        <f t="array" ref="BC78">INDEX(BB:BB,MIN(IF(ISNUMBER(BB78:BB274),ROW(BB78:BB274),"")))</f>
        <v>3.4000000000000172</v>
      </c>
      <c r="BD78" s="13">
        <f>IF('Données projet'!$A$88&gt;35,BD77+BC78-BL77,IF(A78&lt;'Données projet'!$A$88,$BA$205^A78,IF(A78='Données projet'!$A$88,'Données projet'!$B$88,BD77+BC78-BL77)))</f>
        <v>269.70000000000027</v>
      </c>
      <c r="BE78" s="14">
        <f>BD78*VLOOKUP('Données projet'!$B$11,Paramètres!$A$1:$I$89,3,0)*VLOOKUP('Données projet'!$B$11,Paramètres!$A$1:$I$89,5,0)</f>
        <v>214.57332000000022</v>
      </c>
      <c r="BF78" s="14">
        <f t="shared" si="91"/>
        <v>52.933714646037032</v>
      </c>
      <c r="BG78" s="22">
        <f t="shared" si="61"/>
        <v>465.90808534184816</v>
      </c>
      <c r="BH78" s="62">
        <f t="shared" si="62"/>
        <v>759.24141867518142</v>
      </c>
      <c r="BI78" s="62">
        <f ca="1">AVERAGE(OFFSET($BH$3,0,0,'Données projet'!$E$11+1,1))-AVERAGE(OFFSET($H$3,0,0,'Données projet'!$E$11+1,1))</f>
        <v>210.55867376929405</v>
      </c>
      <c r="BJ78" s="62">
        <f t="shared" si="92"/>
        <v>249.73837672556022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60.465600000000016</v>
      </c>
      <c r="D79" s="12">
        <f t="shared" si="86"/>
        <v>17.28593428824821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600.187282225074</v>
      </c>
      <c r="H79" s="70">
        <f t="shared" si="56"/>
        <v>428.75058888536563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8.0000000000012506E-2</v>
      </c>
      <c r="O79" s="14">
        <f>N79*VLOOKUP('Données projet'!$B$9,Paramètres!$A$1:$I$89,3,0)*VLOOKUP('Données projet'!$B$9,Paramètres!$A$1:$I$89,5,0)</f>
        <v>4.0684800000006363E-2</v>
      </c>
      <c r="P79" s="14">
        <f t="shared" si="87"/>
        <v>2.7217381697540451E-2</v>
      </c>
      <c r="Q79" s="22">
        <f t="shared" si="54"/>
        <v>0.11826296645656069</v>
      </c>
      <c r="R79" s="62">
        <f t="shared" si="55"/>
        <v>293.45159629978986</v>
      </c>
      <c r="S79" s="62">
        <f ca="1">AVERAGE(OFFSET($R$3,0,0,'Données projet'!$E$9+1,1))-AVERAGE(OFFSET($H$3,0,0,'Données projet'!$E$9+1,1))</f>
        <v>57.778110971082867</v>
      </c>
      <c r="T79" s="62">
        <f t="shared" si="88"/>
        <v>144.26475989880868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12.92948509012562</v>
      </c>
      <c r="AA79" s="23">
        <f>EXP(-LN(2)/25)*AA78+(1-EXP(-LN(2)/25))/(LN(2)/25)*Calculateur!V79*Calculateur!X79*VLOOKUP('Données projet'!$B$9,Paramètres!$A$1:$I$89,3,0)*0.475*44/12</f>
        <v>1.1620637363041459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14.091548826429767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IF('Données projet'!$A$62&gt;35,AI78+AH79-AQ78,IF(A79&lt;'Données projet'!$A$62,$AF$205^A79,IF(A79='Données projet'!$A$62,'Données projet'!$B$62,AI78+AH79-AQ78)))</f>
        <v>236.89999999999986</v>
      </c>
      <c r="AJ79" s="14">
        <f>AI79*VLOOKUP('Données projet'!$B$10,Paramètres!$A$1:$I$89,3,0)*VLOOKUP('Données projet'!$B$10,Paramètres!$A$1:$I$89,5,0)</f>
        <v>199.56455999999989</v>
      </c>
      <c r="AK79" s="14">
        <f t="shared" si="89"/>
        <v>49.64845905700647</v>
      </c>
      <c r="AL79" s="22">
        <f t="shared" si="58"/>
        <v>434.04600819095276</v>
      </c>
      <c r="AM79" s="62">
        <f t="shared" si="59"/>
        <v>727.37934152428602</v>
      </c>
      <c r="AN79" s="62">
        <f ca="1">AVERAGE(OFFSET($AM$3,0,0,'Données projet'!$E$10+1,1))-AVERAGE(OFFSET($H$3,0,0,'Données projet'!$E$10+1,1))</f>
        <v>237.45928008030023</v>
      </c>
      <c r="AO79" s="62">
        <f t="shared" si="90"/>
        <v>126.78839015508379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2.9799999999999955</v>
      </c>
      <c r="BD79" s="13">
        <f>IF('Données projet'!$A$88&gt;35,BD78+BC79-BL78,IF(A79&lt;'Données projet'!$A$88,$BA$205^A79,IF(A79='Données projet'!$A$88,'Données projet'!$B$88,BD78+BC79-BL78)))</f>
        <v>272.68000000000029</v>
      </c>
      <c r="BE79" s="14">
        <f>BD79*VLOOKUP('Données projet'!$B$11,Paramètres!$A$1:$I$89,3,0)*VLOOKUP('Données projet'!$B$11,Paramètres!$A$1:$I$89,5,0)</f>
        <v>216.94420800000023</v>
      </c>
      <c r="BF79" s="14">
        <f t="shared" si="91"/>
        <v>53.450184726422172</v>
      </c>
      <c r="BG79" s="22">
        <f t="shared" si="61"/>
        <v>470.93690066518553</v>
      </c>
      <c r="BH79" s="62">
        <f t="shared" si="62"/>
        <v>764.27023399851885</v>
      </c>
      <c r="BI79" s="62">
        <f ca="1">AVERAGE(OFFSET($BH$3,0,0,'Données projet'!$E$11+1,1))-AVERAGE(OFFSET($H$3,0,0,'Données projet'!$E$11+1,1))</f>
        <v>210.55867376929405</v>
      </c>
      <c r="BJ79" s="62">
        <f t="shared" si="92"/>
        <v>249.73837672556022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61.261200000000017</v>
      </c>
      <c r="D80" s="12">
        <f t="shared" si="86"/>
        <v>17.486752865339852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607.87893439911477</v>
      </c>
      <c r="H80" s="70">
        <f t="shared" si="56"/>
        <v>430.4860179071336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8.0000000000012506E-2</v>
      </c>
      <c r="O80" s="14">
        <f>N80*VLOOKUP('Données projet'!$B$9,Paramètres!$A$1:$I$89,3,0)*VLOOKUP('Données projet'!$B$9,Paramètres!$A$1:$I$89,5,0)</f>
        <v>4.0684800000006363E-2</v>
      </c>
      <c r="P80" s="14">
        <f t="shared" si="87"/>
        <v>2.7217381697540451E-2</v>
      </c>
      <c r="Q80" s="22">
        <f t="shared" si="54"/>
        <v>0.11826296645656069</v>
      </c>
      <c r="R80" s="62">
        <f t="shared" si="55"/>
        <v>293.45159629978986</v>
      </c>
      <c r="S80" s="62">
        <f ca="1">AVERAGE(OFFSET($R$3,0,0,'Données projet'!$E$9+1,1))-AVERAGE(OFFSET($H$3,0,0,'Données projet'!$E$9+1,1))</f>
        <v>57.778110971082867</v>
      </c>
      <c r="T80" s="62">
        <f t="shared" si="88"/>
        <v>144.26475989880868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12.675945773715464</v>
      </c>
      <c r="AA80" s="23">
        <f>EXP(-LN(2)/25)*AA79+(1-EXP(-LN(2)/25))/(LN(2)/25)*Calculateur!V80*Calculateur!X80*VLOOKUP('Données projet'!$B$9,Paramètres!$A$1:$I$89,3,0)*0.475*44/12</f>
        <v>1.1302870423246332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13.806232816040097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IF('Données projet'!$A$62&gt;35,AI79+AH80-AQ79,IF(A80&lt;'Données projet'!$A$62,$AF$205^A80,IF(A80='Données projet'!$A$62,'Données projet'!$B$62,AI79+AH80-AQ79)))</f>
        <v>242.79999999999987</v>
      </c>
      <c r="AJ80" s="14">
        <f>AI80*VLOOKUP('Données projet'!$B$10,Paramètres!$A$1:$I$89,3,0)*VLOOKUP('Données projet'!$B$10,Paramètres!$A$1:$I$89,5,0)</f>
        <v>204.53471999999991</v>
      </c>
      <c r="AK80" s="14">
        <f t="shared" si="89"/>
        <v>50.739457784944797</v>
      </c>
      <c r="AL80" s="22">
        <f t="shared" si="58"/>
        <v>444.60252630877864</v>
      </c>
      <c r="AM80" s="62">
        <f t="shared" si="59"/>
        <v>737.93585964211195</v>
      </c>
      <c r="AN80" s="62">
        <f ca="1">AVERAGE(OFFSET($AM$3,0,0,'Données projet'!$E$10+1,1))-AVERAGE(OFFSET($H$3,0,0,'Données projet'!$E$10+1,1))</f>
        <v>237.45928008030023</v>
      </c>
      <c r="AO80" s="62">
        <f t="shared" si="90"/>
        <v>126.78839015508379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2.9799999999999955</v>
      </c>
      <c r="BD80" s="13">
        <f>IF('Données projet'!$A$88&gt;35,BD79+BC80-BL79,IF(A80&lt;'Données projet'!$A$88,$BA$205^A80,IF(A80='Données projet'!$A$88,'Données projet'!$B$88,BD79+BC80-BL79)))</f>
        <v>275.66000000000031</v>
      </c>
      <c r="BE80" s="14">
        <f>BD80*VLOOKUP('Données projet'!$B$11,Paramètres!$A$1:$I$89,3,0)*VLOOKUP('Données projet'!$B$11,Paramètres!$A$1:$I$89,5,0)</f>
        <v>219.31509600000024</v>
      </c>
      <c r="BF80" s="14">
        <f t="shared" si="91"/>
        <v>53.965998217102616</v>
      </c>
      <c r="BG80" s="22">
        <f t="shared" si="61"/>
        <v>475.96457242812079</v>
      </c>
      <c r="BH80" s="62">
        <f t="shared" si="62"/>
        <v>769.2979057614541</v>
      </c>
      <c r="BI80" s="62">
        <f ca="1">AVERAGE(OFFSET($BH$3,0,0,'Données projet'!$E$11+1,1))-AVERAGE(OFFSET($H$3,0,0,'Données projet'!$E$11+1,1))</f>
        <v>210.55867376929405</v>
      </c>
      <c r="BJ80" s="62">
        <f t="shared" si="92"/>
        <v>249.73837672556022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62.056800000000017</v>
      </c>
      <c r="D81" s="12">
        <f t="shared" si="86"/>
        <v>17.687268087658364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615.56824488718757</v>
      </c>
      <c r="H81" s="70">
        <f t="shared" si="56"/>
        <v>432.22091858600498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8.0000000000012506E-2</v>
      </c>
      <c r="O81" s="14">
        <f>N81*VLOOKUP('Données projet'!$B$9,Paramètres!$A$1:$I$89,3,0)*VLOOKUP('Données projet'!$B$9,Paramètres!$A$1:$I$89,5,0)</f>
        <v>4.0684800000006363E-2</v>
      </c>
      <c r="P81" s="14">
        <f t="shared" si="87"/>
        <v>2.7217381697540451E-2</v>
      </c>
      <c r="Q81" s="22">
        <f t="shared" si="54"/>
        <v>0.11826296645656069</v>
      </c>
      <c r="R81" s="62">
        <f t="shared" si="55"/>
        <v>293.45159629978986</v>
      </c>
      <c r="S81" s="62">
        <f ca="1">AVERAGE(OFFSET($R$3,0,0,'Données projet'!$E$9+1,1))-AVERAGE(OFFSET($H$3,0,0,'Données projet'!$E$9+1,1))</f>
        <v>57.778110971082867</v>
      </c>
      <c r="T81" s="62">
        <f t="shared" si="88"/>
        <v>144.26475989880868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12.427378208656396</v>
      </c>
      <c r="AA81" s="23">
        <f>EXP(-LN(2)/25)*AA80+(1-EXP(-LN(2)/25))/(LN(2)/25)*Calculateur!V81*Calculateur!X81*VLOOKUP('Données projet'!$B$9,Paramètres!$A$1:$I$89,3,0)*0.475*44/12</f>
        <v>1.0993792837130538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13.52675749236945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</v>
      </c>
      <c r="AI81" s="14">
        <f>IF('Données projet'!$A$62&gt;35,AI80+AH81-AQ80,IF(A81&lt;'Données projet'!$A$62,$AF$205^A81,IF(A81='Données projet'!$A$62,'Données projet'!$B$62,AI80+AH81-AQ80)))</f>
        <v>248.69999999999987</v>
      </c>
      <c r="AJ81" s="14">
        <f>AI81*VLOOKUP('Données projet'!$B$10,Paramètres!$A$1:$I$89,3,0)*VLOOKUP('Données projet'!$B$10,Paramètres!$A$1:$I$89,5,0)</f>
        <v>209.50487999999993</v>
      </c>
      <c r="AK81" s="14">
        <f t="shared" si="89"/>
        <v>51.827374661652684</v>
      </c>
      <c r="AL81" s="22">
        <f t="shared" si="58"/>
        <v>455.15367686904489</v>
      </c>
      <c r="AM81" s="62">
        <f t="shared" si="59"/>
        <v>748.4870102023782</v>
      </c>
      <c r="AN81" s="62">
        <f ca="1">AVERAGE(OFFSET($AM$3,0,0,'Données projet'!$E$10+1,1))-AVERAGE(OFFSET($H$3,0,0,'Données projet'!$E$10+1,1))</f>
        <v>237.45928008030023</v>
      </c>
      <c r="AO81" s="62">
        <f t="shared" si="90"/>
        <v>126.78839015508379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2.9799999999999955</v>
      </c>
      <c r="BD81" s="13">
        <f>IF('Données projet'!$A$88&gt;35,BD80+BC81-BL80,IF(A81&lt;'Données projet'!$A$88,$BA$205^A81,IF(A81='Données projet'!$A$88,'Données projet'!$B$88,BD80+BC81-BL80)))</f>
        <v>278.64000000000033</v>
      </c>
      <c r="BE81" s="14">
        <f>BD81*VLOOKUP('Données projet'!$B$11,Paramètres!$A$1:$I$89,3,0)*VLOOKUP('Données projet'!$B$11,Paramètres!$A$1:$I$89,5,0)</f>
        <v>221.68598400000027</v>
      </c>
      <c r="BF81" s="14">
        <f t="shared" si="91"/>
        <v>54.481163037622622</v>
      </c>
      <c r="BG81" s="22">
        <f t="shared" si="61"/>
        <v>480.99111442385987</v>
      </c>
      <c r="BH81" s="62">
        <f t="shared" si="62"/>
        <v>774.32444775719318</v>
      </c>
      <c r="BI81" s="62">
        <f ca="1">AVERAGE(OFFSET($BH$3,0,0,'Données projet'!$E$11+1,1))-AVERAGE(OFFSET($H$3,0,0,'Données projet'!$E$11+1,1))</f>
        <v>210.55867376929405</v>
      </c>
      <c r="BJ81" s="62">
        <f t="shared" si="92"/>
        <v>249.73837672556022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62.852400000000017</v>
      </c>
      <c r="D82" s="12">
        <f t="shared" si="86"/>
        <v>17.887484294067139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623.2552471822728</v>
      </c>
      <c r="H82" s="70">
        <f t="shared" si="56"/>
        <v>433.95529847883358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8.0000000000012506E-2</v>
      </c>
      <c r="O82" s="14">
        <f>N82*VLOOKUP('Données projet'!$B$9,Paramètres!$A$1:$I$89,3,0)*VLOOKUP('Données projet'!$B$9,Paramètres!$A$1:$I$89,5,0)</f>
        <v>4.0684800000006363E-2</v>
      </c>
      <c r="P82" s="14">
        <f t="shared" si="87"/>
        <v>2.7217381697540451E-2</v>
      </c>
      <c r="Q82" s="22">
        <f t="shared" si="54"/>
        <v>0.11826296645656069</v>
      </c>
      <c r="R82" s="62">
        <f t="shared" si="55"/>
        <v>293.45159629978986</v>
      </c>
      <c r="S82" s="62">
        <f ca="1">AVERAGE(OFFSET($R$3,0,0,'Données projet'!$E$9+1,1))-AVERAGE(OFFSET($H$3,0,0,'Données projet'!$E$9+1,1))</f>
        <v>57.778110971082867</v>
      </c>
      <c r="T82" s="62">
        <f t="shared" si="88"/>
        <v>144.26475989880868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12.183684901936893</v>
      </c>
      <c r="AA82" s="23">
        <f>EXP(-LN(2)/25)*AA81+(1-EXP(-LN(2)/25))/(LN(2)/25)*Calculateur!V82*Calculateur!X82*VLOOKUP('Données projet'!$B$9,Paramètres!$A$1:$I$89,3,0)*0.475*44/12</f>
        <v>1.0693166993860765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13.253001601322969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</v>
      </c>
      <c r="AI82" s="14">
        <f>IF('Données projet'!$A$62&gt;35,AI81+AH82-AQ81,IF(A82&lt;'Données projet'!$A$62,$AF$205^A82,IF(A82='Données projet'!$A$62,'Données projet'!$B$62,AI81+AH82-AQ81)))</f>
        <v>254.59999999999988</v>
      </c>
      <c r="AJ82" s="14">
        <f>AI82*VLOOKUP('Données projet'!$B$10,Paramètres!$A$1:$I$89,3,0)*VLOOKUP('Données projet'!$B$10,Paramètres!$A$1:$I$89,5,0)</f>
        <v>214.47503999999992</v>
      </c>
      <c r="AK82" s="14">
        <f t="shared" si="89"/>
        <v>52.912291212091354</v>
      </c>
      <c r="AL82" s="22">
        <f t="shared" si="58"/>
        <v>465.69960186105891</v>
      </c>
      <c r="AM82" s="62">
        <f t="shared" si="59"/>
        <v>759.03293519439217</v>
      </c>
      <c r="AN82" s="62">
        <f ca="1">AVERAGE(OFFSET($AM$3,0,0,'Données projet'!$E$10+1,1))-AVERAGE(OFFSET($H$3,0,0,'Données projet'!$E$10+1,1))</f>
        <v>237.45928008030023</v>
      </c>
      <c r="AO82" s="62">
        <f t="shared" si="90"/>
        <v>126.78839015508379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2.9799999999999955</v>
      </c>
      <c r="BD82" s="13">
        <f>IF('Données projet'!$A$88&gt;35,BD81+BC82-BL81,IF(A82&lt;'Données projet'!$A$88,$BA$205^A82,IF(A82='Données projet'!$A$88,'Données projet'!$B$88,BD81+BC82-BL81)))</f>
        <v>281.62000000000035</v>
      </c>
      <c r="BE82" s="14">
        <f>BD82*VLOOKUP('Données projet'!$B$11,Paramètres!$A$1:$I$89,3,0)*VLOOKUP('Données projet'!$B$11,Paramètres!$A$1:$I$89,5,0)</f>
        <v>224.05687200000028</v>
      </c>
      <c r="BF82" s="14">
        <f t="shared" si="91"/>
        <v>54.995686928373175</v>
      </c>
      <c r="BG82" s="22">
        <f t="shared" si="61"/>
        <v>486.01654013358376</v>
      </c>
      <c r="BH82" s="62">
        <f t="shared" si="62"/>
        <v>779.34987346691707</v>
      </c>
      <c r="BI82" s="62">
        <f ca="1">AVERAGE(OFFSET($BH$3,0,0,'Données projet'!$E$11+1,1))-AVERAGE(OFFSET($H$3,0,0,'Données projet'!$E$11+1,1))</f>
        <v>210.55867376929405</v>
      </c>
      <c r="BJ82" s="62">
        <f t="shared" si="92"/>
        <v>249.73837672556022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63.648000000000017</v>
      </c>
      <c r="D83" s="12">
        <f t="shared" si="86"/>
        <v>18.087405707268363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630.93997388066816</v>
      </c>
      <c r="H83" s="70">
        <f t="shared" si="56"/>
        <v>435.68916494015906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8.0000000000012506E-2</v>
      </c>
      <c r="O83" s="14">
        <f>N83*VLOOKUP('Données projet'!$B$9,Paramètres!$A$1:$I$89,3,0)*VLOOKUP('Données projet'!$B$9,Paramètres!$A$1:$I$89,5,0)</f>
        <v>4.0684800000006363E-2</v>
      </c>
      <c r="P83" s="14">
        <f t="shared" si="87"/>
        <v>2.7217381697540451E-2</v>
      </c>
      <c r="Q83" s="22">
        <f t="shared" si="54"/>
        <v>0.11826296645656069</v>
      </c>
      <c r="R83" s="62">
        <f t="shared" si="55"/>
        <v>293.45159629978986</v>
      </c>
      <c r="S83" s="62">
        <f ca="1">AVERAGE(OFFSET($R$3,0,0,'Données projet'!$E$9+1,1))-AVERAGE(OFFSET($H$3,0,0,'Données projet'!$E$9+1,1))</f>
        <v>57.778110971082867</v>
      </c>
      <c r="T83" s="62">
        <f t="shared" si="88"/>
        <v>144.26475989880868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11.94477027232392</v>
      </c>
      <c r="AA83" s="23">
        <f>EXP(-LN(2)/25)*AA82+(1-EXP(-LN(2)/25))/(LN(2)/25)*Calculateur!V83*Calculateur!X83*VLOOKUP('Données projet'!$B$9,Paramètres!$A$1:$I$89,3,0)*0.475*44/12</f>
        <v>1.0400761780084431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12.984846450332363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5.9</v>
      </c>
      <c r="AI83" s="14">
        <f>IF('Données projet'!$A$62&gt;35,AI82+AH83-AQ82,IF(A83&lt;'Données projet'!$A$62,$AF$205^A83,IF(A83='Données projet'!$A$62,'Données projet'!$B$62,AI82+AH83-AQ82)))</f>
        <v>260.49999999999989</v>
      </c>
      <c r="AJ83" s="14">
        <f>AI83*VLOOKUP('Données projet'!$B$10,Paramètres!$A$1:$I$89,3,0)*VLOOKUP('Données projet'!$B$10,Paramètres!$A$1:$I$89,5,0)</f>
        <v>219.44519999999994</v>
      </c>
      <c r="AK83" s="14">
        <f t="shared" si="89"/>
        <v>53.994284967173513</v>
      </c>
      <c r="AL83" s="22">
        <f t="shared" si="58"/>
        <v>476.24043631782706</v>
      </c>
      <c r="AM83" s="62">
        <f t="shared" si="59"/>
        <v>769.57376965116032</v>
      </c>
      <c r="AN83" s="62">
        <f ca="1">AVERAGE(OFFSET($AM$3,0,0,'Données projet'!$E$10+1,1))-AVERAGE(OFFSET($H$3,0,0,'Données projet'!$E$10+1,1))</f>
        <v>237.45928008030023</v>
      </c>
      <c r="AO83" s="62">
        <f t="shared" si="90"/>
        <v>126.78839015508379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284.60000000000002</v>
      </c>
      <c r="BB83" s="13">
        <f>VLOOKUP(A83,'Données projet'!$A$87:$I$107,9,0)</f>
        <v>2.9799999999999955</v>
      </c>
      <c r="BC83" s="13">
        <f t="array" ref="BC83">INDEX(BB:BB,MIN(IF(ISNUMBER(BB83:BB279),ROW(BB83:BB279),"")))</f>
        <v>2.9799999999999955</v>
      </c>
      <c r="BD83" s="13">
        <f>IF('Données projet'!$A$88&gt;35,BD82+BC83-BL82,IF(A83&lt;'Données projet'!$A$88,$BA$205^A83,IF(A83='Données projet'!$A$88,'Données projet'!$B$88,BD82+BC83-BL82)))</f>
        <v>284.60000000000036</v>
      </c>
      <c r="BE83" s="14">
        <f>BD83*VLOOKUP('Données projet'!$B$11,Paramètres!$A$1:$I$89,3,0)*VLOOKUP('Données projet'!$B$11,Paramètres!$A$1:$I$89,5,0)</f>
        <v>226.42776000000029</v>
      </c>
      <c r="BF83" s="14">
        <f t="shared" si="91"/>
        <v>55.50957745649643</v>
      </c>
      <c r="BG83" s="22">
        <f t="shared" si="61"/>
        <v>491.0408627367317</v>
      </c>
      <c r="BH83" s="62">
        <f t="shared" si="62"/>
        <v>784.37419607006495</v>
      </c>
      <c r="BI83" s="62">
        <f ca="1">AVERAGE(OFFSET($BH$3,0,0,'Données projet'!$E$11+1,1))-AVERAGE(OFFSET($H$3,0,0,'Données projet'!$E$11+1,1))</f>
        <v>210.55867376929405</v>
      </c>
      <c r="BJ83" s="62">
        <f t="shared" si="92"/>
        <v>249.73837672556022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284.60000000000002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64.443600000000018</v>
      </c>
      <c r="D84" s="12">
        <f t="shared" si="86"/>
        <v>18.287036438325202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638.62245671689641</v>
      </c>
      <c r="H84" s="70">
        <f t="shared" si="56"/>
        <v>437.42252513008305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8.0000000000012506E-2</v>
      </c>
      <c r="O84" s="14">
        <f>N84*VLOOKUP('Données projet'!$B$9,Paramètres!$A$1:$I$89,3,0)*VLOOKUP('Données projet'!$B$9,Paramètres!$A$1:$I$89,5,0)</f>
        <v>4.0684800000006363E-2</v>
      </c>
      <c r="P84" s="14">
        <f t="shared" si="87"/>
        <v>2.7217381697540451E-2</v>
      </c>
      <c r="Q84" s="22">
        <f t="shared" si="54"/>
        <v>0.11826296645656069</v>
      </c>
      <c r="R84" s="62">
        <f t="shared" si="55"/>
        <v>293.45159629978986</v>
      </c>
      <c r="S84" s="62">
        <f ca="1">AVERAGE(OFFSET($R$3,0,0,'Données projet'!$E$9+1,1))-AVERAGE(OFFSET($H$3,0,0,'Données projet'!$E$9+1,1))</f>
        <v>57.778110971082867</v>
      </c>
      <c r="T84" s="62">
        <f t="shared" si="88"/>
        <v>144.26475989880868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11.710540612874121</v>
      </c>
      <c r="AA84" s="23">
        <f>EXP(-LN(2)/25)*AA83+(1-EXP(-LN(2)/25))/(LN(2)/25)*Calculateur!V84*Calculateur!X84*VLOOKUP('Données projet'!$B$9,Paramètres!$A$1:$I$89,3,0)*0.475*44/12</f>
        <v>1.0116352402255731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12.722175853099694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5.9</v>
      </c>
      <c r="AI84" s="14">
        <f>IF('Données projet'!$A$62&gt;35,AI83+AH84-AQ83,IF(A84&lt;'Données projet'!$A$62,$AF$205^A84,IF(A84='Données projet'!$A$62,'Données projet'!$B$62,AI83+AH84-AQ83)))</f>
        <v>266.39999999999986</v>
      </c>
      <c r="AJ84" s="14">
        <f>AI84*VLOOKUP('Données projet'!$B$10,Paramètres!$A$1:$I$89,3,0)*VLOOKUP('Données projet'!$B$10,Paramètres!$A$1:$I$89,5,0)</f>
        <v>224.41535999999991</v>
      </c>
      <c r="AK84" s="14">
        <f t="shared" si="89"/>
        <v>55.073429745398819</v>
      </c>
      <c r="AL84" s="22">
        <f t="shared" si="58"/>
        <v>486.77630880656943</v>
      </c>
      <c r="AM84" s="62">
        <f t="shared" si="59"/>
        <v>780.10964213990269</v>
      </c>
      <c r="AN84" s="62">
        <f ca="1">AVERAGE(OFFSET($AM$3,0,0,'Données projet'!$E$10+1,1))-AVERAGE(OFFSET($H$3,0,0,'Données projet'!$E$10+1,1))</f>
        <v>237.45928008030023</v>
      </c>
      <c r="AO84" s="62">
        <f t="shared" si="90"/>
        <v>126.78839015508379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3.4106051316484809E-13</v>
      </c>
      <c r="BE84" s="14">
        <f>BD84*VLOOKUP('Données projet'!$B$11,Paramètres!$A$1:$I$89,3,0)*VLOOKUP('Données projet'!$B$11,Paramètres!$A$1:$I$89,5,0)</f>
        <v>2.7134774427395314E-13</v>
      </c>
      <c r="BF84" s="14">
        <f t="shared" si="91"/>
        <v>3.6292411711343559E-12</v>
      </c>
      <c r="BG84" s="22">
        <f t="shared" si="61"/>
        <v>6.7935256943361388E-12</v>
      </c>
      <c r="BH84" s="62">
        <f t="shared" si="62"/>
        <v>293.33333333334014</v>
      </c>
      <c r="BI84" s="62">
        <f ca="1">AVERAGE(OFFSET($BH$3,0,0,'Données projet'!$E$11+1,1))-AVERAGE(OFFSET($H$3,0,0,'Données projet'!$E$11+1,1))</f>
        <v>210.55867376929405</v>
      </c>
      <c r="BJ84" s="62">
        <f t="shared" si="92"/>
        <v>249.73837672556022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65.239200000000011</v>
      </c>
      <c r="D85" s="12">
        <f t="shared" si="86"/>
        <v>18.486380490954378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646.3027265968409</v>
      </c>
      <c r="H85" s="70">
        <f t="shared" si="56"/>
        <v>439.15538602174547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8.0000000000012506E-2</v>
      </c>
      <c r="O85" s="14">
        <f>N85*VLOOKUP('Données projet'!$B$9,Paramètres!$A$1:$I$89,3,0)*VLOOKUP('Données projet'!$B$9,Paramètres!$A$1:$I$89,5,0)</f>
        <v>4.0684800000006363E-2</v>
      </c>
      <c r="P85" s="14">
        <f t="shared" si="87"/>
        <v>2.7217381697540451E-2</v>
      </c>
      <c r="Q85" s="22">
        <f t="shared" si="54"/>
        <v>0.11826296645656069</v>
      </c>
      <c r="R85" s="62">
        <f t="shared" si="55"/>
        <v>293.45159629978986</v>
      </c>
      <c r="S85" s="62">
        <f ca="1">AVERAGE(OFFSET($R$3,0,0,'Données projet'!$E$9+1,1))-AVERAGE(OFFSET($H$3,0,0,'Données projet'!$E$9+1,1))</f>
        <v>57.778110971082867</v>
      </c>
      <c r="T85" s="62">
        <f t="shared" si="88"/>
        <v>144.26475989880868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11.480904054180147</v>
      </c>
      <c r="AA85" s="23">
        <f>EXP(-LN(2)/25)*AA84+(1-EXP(-LN(2)/25))/(LN(2)/25)*Calculateur!V85*Calculateur!X85*VLOOKUP('Données projet'!$B$9,Paramètres!$A$1:$I$89,3,0)*0.475*44/12</f>
        <v>0.98397202138201956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12.464876075562167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5.9</v>
      </c>
      <c r="AI85" s="14">
        <f>IF('Données projet'!$A$62&gt;35,AI84+AH85-AQ84,IF(A85&lt;'Données projet'!$A$62,$AF$205^A85,IF(A85='Données projet'!$A$62,'Données projet'!$B$62,AI84+AH85-AQ84)))</f>
        <v>272.29999999999984</v>
      </c>
      <c r="AJ85" s="14">
        <f>AI85*VLOOKUP('Données projet'!$B$10,Paramètres!$A$1:$I$89,3,0)*VLOOKUP('Données projet'!$B$10,Paramètres!$A$1:$I$89,5,0)</f>
        <v>229.38551999999987</v>
      </c>
      <c r="AK85" s="14">
        <f t="shared" si="89"/>
        <v>56.149795908836779</v>
      </c>
      <c r="AL85" s="22">
        <f t="shared" si="58"/>
        <v>497.3073418745571</v>
      </c>
      <c r="AM85" s="62">
        <f t="shared" si="59"/>
        <v>790.64067520789035</v>
      </c>
      <c r="AN85" s="62">
        <f ca="1">AVERAGE(OFFSET($AM$3,0,0,'Données projet'!$E$10+1,1))-AVERAGE(OFFSET($H$3,0,0,'Données projet'!$E$10+1,1))</f>
        <v>237.45928008030023</v>
      </c>
      <c r="AO85" s="62">
        <f t="shared" si="90"/>
        <v>126.78839015508379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3.4106051316484809E-13</v>
      </c>
      <c r="BE85" s="14">
        <f>BD85*VLOOKUP('Données projet'!$B$11,Paramètres!$A$1:$I$89,3,0)*VLOOKUP('Données projet'!$B$11,Paramètres!$A$1:$I$89,5,0)</f>
        <v>2.7134774427395314E-13</v>
      </c>
      <c r="BF85" s="14">
        <f t="shared" si="91"/>
        <v>3.6292411711343559E-12</v>
      </c>
      <c r="BG85" s="22">
        <f t="shared" si="61"/>
        <v>6.7935256943361388E-12</v>
      </c>
      <c r="BH85" s="62">
        <f t="shared" si="62"/>
        <v>293.33333333334014</v>
      </c>
      <c r="BI85" s="62">
        <f ca="1">AVERAGE(OFFSET($BH$3,0,0,'Données projet'!$E$11+1,1))-AVERAGE(OFFSET($H$3,0,0,'Données projet'!$E$11+1,1))</f>
        <v>210.55867376929405</v>
      </c>
      <c r="BJ85" s="62">
        <f t="shared" si="92"/>
        <v>249.73837672556022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66.034800000000004</v>
      </c>
      <c r="D86" s="12">
        <f t="shared" si="86"/>
        <v>18.685441765603336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653.98081362921869</v>
      </c>
      <c r="H86" s="70">
        <f t="shared" si="56"/>
        <v>440.88775440842574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8.0000000000012506E-2</v>
      </c>
      <c r="O86" s="14">
        <f>N86*VLOOKUP('Données projet'!$B$9,Paramètres!$A$1:$I$89,3,0)*VLOOKUP('Données projet'!$B$9,Paramètres!$A$1:$I$89,5,0)</f>
        <v>4.0684800000006363E-2</v>
      </c>
      <c r="P86" s="14">
        <f t="shared" si="87"/>
        <v>2.7217381697540451E-2</v>
      </c>
      <c r="Q86" s="22">
        <f t="shared" si="54"/>
        <v>0.11826296645656069</v>
      </c>
      <c r="R86" s="62">
        <f t="shared" si="55"/>
        <v>293.45159629978986</v>
      </c>
      <c r="S86" s="62">
        <f ca="1">AVERAGE(OFFSET($R$3,0,0,'Données projet'!$E$9+1,1))-AVERAGE(OFFSET($H$3,0,0,'Données projet'!$E$9+1,1))</f>
        <v>57.778110971082867</v>
      </c>
      <c r="T86" s="62">
        <f t="shared" si="88"/>
        <v>144.26475989880868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11.255770528337692</v>
      </c>
      <c r="AA86" s="23">
        <f>EXP(-LN(2)/25)*AA85+(1-EXP(-LN(2)/25))/(LN(2)/25)*Calculateur!V86*Calculateur!X86*VLOOKUP('Données projet'!$B$9,Paramètres!$A$1:$I$89,3,0)*0.475*44/12</f>
        <v>0.95706525471248849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12.212835783050181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5.9</v>
      </c>
      <c r="AI86" s="14">
        <f>IF('Données projet'!$A$62&gt;35,AI85+AH86-AQ85,IF(A86&lt;'Données projet'!$A$62,$AF$205^A86,IF(A86='Données projet'!$A$62,'Données projet'!$B$62,AI85+AH86-AQ85)))</f>
        <v>278.19999999999982</v>
      </c>
      <c r="AJ86" s="14">
        <f>AI86*VLOOKUP('Données projet'!$B$10,Paramètres!$A$1:$I$89,3,0)*VLOOKUP('Données projet'!$B$10,Paramètres!$A$1:$I$89,5,0)</f>
        <v>234.35567999999989</v>
      </c>
      <c r="AK86" s="14">
        <f t="shared" si="89"/>
        <v>57.223450596296843</v>
      </c>
      <c r="AL86" s="22">
        <f t="shared" si="58"/>
        <v>507.83365245521685</v>
      </c>
      <c r="AM86" s="62">
        <f t="shared" si="59"/>
        <v>801.16698578855016</v>
      </c>
      <c r="AN86" s="62">
        <f ca="1">AVERAGE(OFFSET($AM$3,0,0,'Données projet'!$E$10+1,1))-AVERAGE(OFFSET($H$3,0,0,'Données projet'!$E$10+1,1))</f>
        <v>237.45928008030023</v>
      </c>
      <c r="AO86" s="62">
        <f t="shared" si="90"/>
        <v>126.78839015508379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3.4106051316484809E-13</v>
      </c>
      <c r="BE86" s="14">
        <f>BD86*VLOOKUP('Données projet'!$B$11,Paramètres!$A$1:$I$89,3,0)*VLOOKUP('Données projet'!$B$11,Paramètres!$A$1:$I$89,5,0)</f>
        <v>2.7134774427395314E-13</v>
      </c>
      <c r="BF86" s="14">
        <f t="shared" si="91"/>
        <v>3.6292411711343559E-12</v>
      </c>
      <c r="BG86" s="22">
        <f t="shared" si="61"/>
        <v>6.7935256943361388E-12</v>
      </c>
      <c r="BH86" s="62">
        <f t="shared" si="62"/>
        <v>293.33333333334014</v>
      </c>
      <c r="BI86" s="62">
        <f ca="1">AVERAGE(OFFSET($BH$3,0,0,'Données projet'!$E$11+1,1))-AVERAGE(OFFSET($H$3,0,0,'Données projet'!$E$11+1,1))</f>
        <v>210.55867376929405</v>
      </c>
      <c r="BJ86" s="62">
        <f t="shared" si="92"/>
        <v>249.73837672556022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66.830399999999997</v>
      </c>
      <c r="D87" s="12">
        <f t="shared" si="86"/>
        <v>18.884224063325359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661.65674715549403</v>
      </c>
      <c r="H87" s="70">
        <f t="shared" si="56"/>
        <v>442.61963691029166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8.0000000000012506E-2</v>
      </c>
      <c r="O87" s="14">
        <f>N87*VLOOKUP('Données projet'!$B$9,Paramètres!$A$1:$I$89,3,0)*VLOOKUP('Données projet'!$B$9,Paramètres!$A$1:$I$89,5,0)</f>
        <v>4.0684800000006363E-2</v>
      </c>
      <c r="P87" s="14">
        <f t="shared" si="87"/>
        <v>2.7217381697540451E-2</v>
      </c>
      <c r="Q87" s="22">
        <f t="shared" si="54"/>
        <v>0.11826296645656069</v>
      </c>
      <c r="R87" s="62">
        <f t="shared" si="55"/>
        <v>293.45159629978986</v>
      </c>
      <c r="S87" s="62">
        <f ca="1">AVERAGE(OFFSET($R$3,0,0,'Données projet'!$E$9+1,1))-AVERAGE(OFFSET($H$3,0,0,'Données projet'!$E$9+1,1))</f>
        <v>57.778110971082867</v>
      </c>
      <c r="T87" s="62">
        <f t="shared" si="88"/>
        <v>144.26475989880868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11.035051733619115</v>
      </c>
      <c r="AA87" s="23">
        <f>EXP(-LN(2)/25)*AA86+(1-EXP(-LN(2)/25))/(LN(2)/25)*Calculateur!V87*Calculateur!X87*VLOOKUP('Données projet'!$B$9,Paramètres!$A$1:$I$89,3,0)*0.475*44/12</f>
        <v>0.93089425499250111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11.965945988611615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5.9</v>
      </c>
      <c r="AI87" s="14">
        <f>IF('Données projet'!$A$62&gt;35,AI86+AH87-AQ86,IF(A87&lt;'Données projet'!$A$62,$AF$205^A87,IF(A87='Données projet'!$A$62,'Données projet'!$B$62,AI86+AH87-AQ86)))</f>
        <v>284.0999999999998</v>
      </c>
      <c r="AJ87" s="14">
        <f>AI87*VLOOKUP('Données projet'!$B$10,Paramètres!$A$1:$I$89,3,0)*VLOOKUP('Données projet'!$B$10,Paramètres!$A$1:$I$89,5,0)</f>
        <v>239.32583999999986</v>
      </c>
      <c r="AK87" s="14">
        <f t="shared" si="89"/>
        <v>58.294457936161763</v>
      </c>
      <c r="AL87" s="22">
        <f t="shared" si="58"/>
        <v>518.3553522388147</v>
      </c>
      <c r="AM87" s="62">
        <f t="shared" si="59"/>
        <v>811.68868557214796</v>
      </c>
      <c r="AN87" s="62">
        <f ca="1">AVERAGE(OFFSET($AM$3,0,0,'Données projet'!$E$10+1,1))-AVERAGE(OFFSET($H$3,0,0,'Données projet'!$E$10+1,1))</f>
        <v>237.45928008030023</v>
      </c>
      <c r="AO87" s="62">
        <f t="shared" si="90"/>
        <v>126.78839015508379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3.4106051316484809E-13</v>
      </c>
      <c r="BE87" s="14">
        <f>BD87*VLOOKUP('Données projet'!$B$11,Paramètres!$A$1:$I$89,3,0)*VLOOKUP('Données projet'!$B$11,Paramètres!$A$1:$I$89,5,0)</f>
        <v>2.7134774427395314E-13</v>
      </c>
      <c r="BF87" s="14">
        <f t="shared" si="91"/>
        <v>3.6292411711343559E-12</v>
      </c>
      <c r="BG87" s="22">
        <f t="shared" si="61"/>
        <v>6.7935256943361388E-12</v>
      </c>
      <c r="BH87" s="62">
        <f t="shared" si="62"/>
        <v>293.33333333334014</v>
      </c>
      <c r="BI87" s="62">
        <f ca="1">AVERAGE(OFFSET($BH$3,0,0,'Données projet'!$E$11+1,1))-AVERAGE(OFFSET($H$3,0,0,'Données projet'!$E$11+1,1))</f>
        <v>210.55867376929405</v>
      </c>
      <c r="BJ87" s="62">
        <f t="shared" si="92"/>
        <v>249.73837672556022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67.625999999999991</v>
      </c>
      <c r="D88" s="12">
        <f t="shared" si="86"/>
        <v>19.082731089464875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669.33055577832522</v>
      </c>
      <c r="H88" s="70">
        <f t="shared" si="56"/>
        <v>444.35103998081797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8.0000000000012506E-2</v>
      </c>
      <c r="O88" s="14">
        <f>N88*VLOOKUP('Données projet'!$B$9,Paramètres!$A$1:$I$89,3,0)*VLOOKUP('Données projet'!$B$9,Paramètres!$A$1:$I$89,5,0)</f>
        <v>4.0684800000006363E-2</v>
      </c>
      <c r="P88" s="14">
        <f t="shared" si="87"/>
        <v>2.7217381697540451E-2</v>
      </c>
      <c r="Q88" s="22">
        <f t="shared" si="54"/>
        <v>0.11826296645656069</v>
      </c>
      <c r="R88" s="62">
        <f t="shared" si="55"/>
        <v>293.45159629978986</v>
      </c>
      <c r="S88" s="62">
        <f ca="1">AVERAGE(OFFSET($R$3,0,0,'Données projet'!$E$9+1,1))-AVERAGE(OFFSET($H$3,0,0,'Données projet'!$E$9+1,1))</f>
        <v>57.778110971082867</v>
      </c>
      <c r="T88" s="62">
        <f t="shared" si="88"/>
        <v>144.26475989880868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10.818661099839799</v>
      </c>
      <c r="AA88" s="23">
        <f>EXP(-LN(2)/25)*AA87+(1-EXP(-LN(2)/25))/(LN(2)/25)*Calculateur!V88*Calculateur!X88*VLOOKUP('Données projet'!$B$9,Paramètres!$A$1:$I$89,3,0)*0.475*44/12</f>
        <v>0.90543890263612992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11.724100002475929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5.9</v>
      </c>
      <c r="AH88" s="13">
        <f t="array" ref="AH88">INDEX(AG:AG,MIN(IF(ISNUMBER(AG88:AG284),ROW(AG88:AG284),"")))</f>
        <v>5.9</v>
      </c>
      <c r="AI88" s="14">
        <f>IF('Données projet'!$A$62&gt;35,AI87+AH88-AQ87,IF(A88&lt;'Données projet'!$A$62,$AF$205^A88,IF(A88='Données projet'!$A$62,'Données projet'!$B$62,AI87+AH88-AQ87)))</f>
        <v>289.99999999999977</v>
      </c>
      <c r="AJ88" s="14">
        <f>AI88*VLOOKUP('Données projet'!$B$10,Paramètres!$A$1:$I$89,3,0)*VLOOKUP('Données projet'!$B$10,Paramètres!$A$1:$I$89,5,0)</f>
        <v>244.29599999999982</v>
      </c>
      <c r="AK88" s="14">
        <f t="shared" si="89"/>
        <v>59.362879241040318</v>
      </c>
      <c r="AL88" s="22">
        <f t="shared" si="58"/>
        <v>528.87254801147822</v>
      </c>
      <c r="AM88" s="62">
        <f t="shared" si="59"/>
        <v>822.20588134481159</v>
      </c>
      <c r="AN88" s="62">
        <f ca="1">AVERAGE(OFFSET($AM$3,0,0,'Données projet'!$E$10+1,1))-AVERAGE(OFFSET($H$3,0,0,'Données projet'!$E$10+1,1))</f>
        <v>237.45928008030023</v>
      </c>
      <c r="AO88" s="62">
        <f t="shared" si="90"/>
        <v>126.78839015508379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3.4106051316484809E-13</v>
      </c>
      <c r="BE88" s="14">
        <f>BD88*VLOOKUP('Données projet'!$B$11,Paramètres!$A$1:$I$89,3,0)*VLOOKUP('Données projet'!$B$11,Paramètres!$A$1:$I$89,5,0)</f>
        <v>2.7134774427395314E-13</v>
      </c>
      <c r="BF88" s="14">
        <f t="shared" si="91"/>
        <v>3.6292411711343559E-12</v>
      </c>
      <c r="BG88" s="22">
        <f t="shared" si="61"/>
        <v>6.7935256943361388E-12</v>
      </c>
      <c r="BH88" s="62">
        <f t="shared" si="62"/>
        <v>293.33333333334014</v>
      </c>
      <c r="BI88" s="62">
        <f ca="1">AVERAGE(OFFSET($BH$3,0,0,'Données projet'!$E$11+1,1))-AVERAGE(OFFSET($H$3,0,0,'Données projet'!$E$11+1,1))</f>
        <v>210.55867376929405</v>
      </c>
      <c r="BJ88" s="62">
        <f t="shared" si="92"/>
        <v>249.73837672556022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68.421599999999984</v>
      </c>
      <c r="D89" s="12">
        <f t="shared" si="86"/>
        <v>19.280966457164443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677.00226738863762</v>
      </c>
      <c r="H89" s="70">
        <f t="shared" si="56"/>
        <v>446.08196991289469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8.0000000000012506E-2</v>
      </c>
      <c r="O89" s="14">
        <f>N89*VLOOKUP('Données projet'!$B$9,Paramètres!$A$1:$I$89,3,0)*VLOOKUP('Données projet'!$B$9,Paramètres!$A$1:$I$89,5,0)</f>
        <v>4.0684800000006363E-2</v>
      </c>
      <c r="P89" s="14">
        <f t="shared" si="87"/>
        <v>2.7217381697540451E-2</v>
      </c>
      <c r="Q89" s="22">
        <f t="shared" si="54"/>
        <v>0.11826296645656069</v>
      </c>
      <c r="R89" s="62">
        <f t="shared" si="55"/>
        <v>293.45159629978986</v>
      </c>
      <c r="S89" s="62">
        <f ca="1">AVERAGE(OFFSET($R$3,0,0,'Données projet'!$E$9+1,1))-AVERAGE(OFFSET($H$3,0,0,'Données projet'!$E$9+1,1))</f>
        <v>57.778110971082867</v>
      </c>
      <c r="T89" s="62">
        <f t="shared" si="88"/>
        <v>144.26475989880868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10.606513754403641</v>
      </c>
      <c r="AA89" s="23">
        <f>EXP(-LN(2)/25)*AA88+(1-EXP(-LN(2)/25))/(LN(2)/25)*Calculateur!V89*Calculateur!X89*VLOOKUP('Données projet'!$B$9,Paramètres!$A$1:$I$89,3,0)*0.475*44/12</f>
        <v>0.88067962822858248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11.487193382632224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IF('Données projet'!$A$62&gt;35,AI88+AH89-AQ88,IF(A89&lt;'Données projet'!$A$62,$AF$205^A89,IF(A89='Données projet'!$A$62,'Données projet'!$B$62,AI88+AH89-AQ88)))</f>
        <v>253.19999999999976</v>
      </c>
      <c r="AJ89" s="14">
        <f>AI89*VLOOKUP('Données projet'!$B$10,Paramètres!$A$1:$I$89,3,0)*VLOOKUP('Données projet'!$B$10,Paramètres!$A$1:$I$89,5,0)</f>
        <v>213.29567999999981</v>
      </c>
      <c r="AK89" s="14">
        <f t="shared" si="89"/>
        <v>52.655120704446709</v>
      </c>
      <c r="AL89" s="22">
        <f t="shared" si="58"/>
        <v>463.19764456024433</v>
      </c>
      <c r="AM89" s="62">
        <f t="shared" si="59"/>
        <v>756.53097789357764</v>
      </c>
      <c r="AN89" s="62">
        <f ca="1">AVERAGE(OFFSET($AM$3,0,0,'Données projet'!$E$10+1,1))-AVERAGE(OFFSET($H$3,0,0,'Données projet'!$E$10+1,1))</f>
        <v>237.45928008030023</v>
      </c>
      <c r="AO89" s="62">
        <f t="shared" si="90"/>
        <v>126.78839015508379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3.4106051316484809E-13</v>
      </c>
      <c r="BE89" s="14">
        <f>BD89*VLOOKUP('Données projet'!$B$11,Paramètres!$A$1:$I$89,3,0)*VLOOKUP('Données projet'!$B$11,Paramètres!$A$1:$I$89,5,0)</f>
        <v>2.7134774427395314E-13</v>
      </c>
      <c r="BF89" s="14">
        <f t="shared" si="91"/>
        <v>3.6292411711343559E-12</v>
      </c>
      <c r="BG89" s="22">
        <f t="shared" si="61"/>
        <v>6.7935256943361388E-12</v>
      </c>
      <c r="BH89" s="62">
        <f t="shared" si="62"/>
        <v>293.33333333334014</v>
      </c>
      <c r="BI89" s="62">
        <f ca="1">AVERAGE(OFFSET($BH$3,0,0,'Données projet'!$E$11+1,1))-AVERAGE(OFFSET($H$3,0,0,'Données projet'!$E$11+1,1))</f>
        <v>210.55867376929405</v>
      </c>
      <c r="BJ89" s="62">
        <f t="shared" si="92"/>
        <v>249.73837672556022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69.217199999999977</v>
      </c>
      <c r="D90" s="12">
        <f t="shared" si="86"/>
        <v>19.478933690703851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684.67190919139796</v>
      </c>
      <c r="H90" s="70">
        <f t="shared" si="56"/>
        <v>447.8124328446425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8.0000000000012506E-2</v>
      </c>
      <c r="O90" s="14">
        <f>N90*VLOOKUP('Données projet'!$B$9,Paramètres!$A$1:$I$89,3,0)*VLOOKUP('Données projet'!$B$9,Paramètres!$A$1:$I$89,5,0)</f>
        <v>4.0684800000006363E-2</v>
      </c>
      <c r="P90" s="14">
        <f t="shared" si="87"/>
        <v>2.7217381697540451E-2</v>
      </c>
      <c r="Q90" s="22">
        <f t="shared" si="54"/>
        <v>0.11826296645656069</v>
      </c>
      <c r="R90" s="62">
        <f t="shared" si="55"/>
        <v>293.45159629978986</v>
      </c>
      <c r="S90" s="62">
        <f ca="1">AVERAGE(OFFSET($R$3,0,0,'Données projet'!$E$9+1,1))-AVERAGE(OFFSET($H$3,0,0,'Données projet'!$E$9+1,1))</f>
        <v>57.778110971082867</v>
      </c>
      <c r="T90" s="62">
        <f t="shared" si="88"/>
        <v>144.26475989880868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10.398526489014383</v>
      </c>
      <c r="AA90" s="23">
        <f>EXP(-LN(2)/25)*AA89+(1-EXP(-LN(2)/25))/(LN(2)/25)*Calculateur!V90*Calculateur!X90*VLOOKUP('Données projet'!$B$9,Paramètres!$A$1:$I$89,3,0)*0.475*44/12</f>
        <v>0.85659739748174302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11.255123886496126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IF('Données projet'!$A$62&gt;35,AI89+AH90-AQ89,IF(A90&lt;'Données projet'!$A$62,$AF$205^A90,IF(A90='Données projet'!$A$62,'Données projet'!$B$62,AI89+AH90-AQ89)))</f>
        <v>258.39999999999975</v>
      </c>
      <c r="AJ90" s="14">
        <f>AI90*VLOOKUP('Données projet'!$B$10,Paramètres!$A$1:$I$89,3,0)*VLOOKUP('Données projet'!$B$10,Paramètres!$A$1:$I$89,5,0)</f>
        <v>217.67615999999984</v>
      </c>
      <c r="AK90" s="14">
        <f t="shared" si="89"/>
        <v>53.609498850196708</v>
      </c>
      <c r="AL90" s="22">
        <f t="shared" si="58"/>
        <v>472.48918916409229</v>
      </c>
      <c r="AM90" s="62">
        <f t="shared" si="59"/>
        <v>765.82252249742555</v>
      </c>
      <c r="AN90" s="62">
        <f ca="1">AVERAGE(OFFSET($AM$3,0,0,'Données projet'!$E$10+1,1))-AVERAGE(OFFSET($H$3,0,0,'Données projet'!$E$10+1,1))</f>
        <v>237.45928008030023</v>
      </c>
      <c r="AO90" s="62">
        <f t="shared" si="90"/>
        <v>126.78839015508379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3.4106051316484809E-13</v>
      </c>
      <c r="BE90" s="14">
        <f>BD90*VLOOKUP('Données projet'!$B$11,Paramètres!$A$1:$I$89,3,0)*VLOOKUP('Données projet'!$B$11,Paramètres!$A$1:$I$89,5,0)</f>
        <v>2.7134774427395314E-13</v>
      </c>
      <c r="BF90" s="14">
        <f t="shared" si="91"/>
        <v>3.6292411711343559E-12</v>
      </c>
      <c r="BG90" s="22">
        <f t="shared" si="61"/>
        <v>6.7935256943361388E-12</v>
      </c>
      <c r="BH90" s="62">
        <f t="shared" si="62"/>
        <v>293.33333333334014</v>
      </c>
      <c r="BI90" s="62">
        <f ca="1">AVERAGE(OFFSET($BH$3,0,0,'Données projet'!$E$11+1,1))-AVERAGE(OFFSET($H$3,0,0,'Données projet'!$E$11+1,1))</f>
        <v>210.55867376929405</v>
      </c>
      <c r="BJ90" s="62">
        <f t="shared" si="92"/>
        <v>249.73837672556022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70.01279999999997</v>
      </c>
      <c r="D91" s="12">
        <f t="shared" si="86"/>
        <v>19.676636228681488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692.33950773017261</v>
      </c>
      <c r="H91" s="70">
        <f t="shared" si="56"/>
        <v>449.54243476495355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8.0000000000012506E-2</v>
      </c>
      <c r="O91" s="14">
        <f>N91*VLOOKUP('Données projet'!$B$9,Paramètres!$A$1:$I$89,3,0)*VLOOKUP('Données projet'!$B$9,Paramètres!$A$1:$I$89,5,0)</f>
        <v>4.0684800000006363E-2</v>
      </c>
      <c r="P91" s="14">
        <f t="shared" si="87"/>
        <v>2.7217381697540451E-2</v>
      </c>
      <c r="Q91" s="22">
        <f t="shared" si="54"/>
        <v>0.11826296645656069</v>
      </c>
      <c r="R91" s="62">
        <f t="shared" si="55"/>
        <v>293.45159629978986</v>
      </c>
      <c r="S91" s="62">
        <f ca="1">AVERAGE(OFFSET($R$3,0,0,'Données projet'!$E$9+1,1))-AVERAGE(OFFSET($H$3,0,0,'Données projet'!$E$9+1,1))</f>
        <v>57.778110971082867</v>
      </c>
      <c r="T91" s="62">
        <f t="shared" si="88"/>
        <v>144.26475989880868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10.194617727039702</v>
      </c>
      <c r="AA91" s="23">
        <f>EXP(-LN(2)/25)*AA90+(1-EXP(-LN(2)/25))/(LN(2)/25)*Calculateur!V91*Calculateur!X91*VLOOKUP('Données projet'!$B$9,Paramètres!$A$1:$I$89,3,0)*0.475*44/12</f>
        <v>0.83317369660110541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11.027791423640808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IF('Données projet'!$A$62&gt;35,AI90+AH91-AQ90,IF(A91&lt;'Données projet'!$A$62,$AF$205^A91,IF(A91='Données projet'!$A$62,'Données projet'!$B$62,AI90+AH91-AQ90)))</f>
        <v>263.59999999999974</v>
      </c>
      <c r="AJ91" s="14">
        <f>AI91*VLOOKUP('Données projet'!$B$10,Paramètres!$A$1:$I$89,3,0)*VLOOKUP('Données projet'!$B$10,Paramètres!$A$1:$I$89,5,0)</f>
        <v>222.05663999999982</v>
      </c>
      <c r="AK91" s="14">
        <f t="shared" si="89"/>
        <v>54.561643903321261</v>
      </c>
      <c r="AL91" s="22">
        <f t="shared" si="58"/>
        <v>481.77684446495078</v>
      </c>
      <c r="AM91" s="62">
        <f t="shared" si="59"/>
        <v>775.1101777982841</v>
      </c>
      <c r="AN91" s="62">
        <f ca="1">AVERAGE(OFFSET($AM$3,0,0,'Données projet'!$E$10+1,1))-AVERAGE(OFFSET($H$3,0,0,'Données projet'!$E$10+1,1))</f>
        <v>237.45928008030023</v>
      </c>
      <c r="AO91" s="62">
        <f t="shared" si="90"/>
        <v>126.78839015508379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3.4106051316484809E-13</v>
      </c>
      <c r="BE91" s="14">
        <f>BD91*VLOOKUP('Données projet'!$B$11,Paramètres!$A$1:$I$89,3,0)*VLOOKUP('Données projet'!$B$11,Paramètres!$A$1:$I$89,5,0)</f>
        <v>2.7134774427395314E-13</v>
      </c>
      <c r="BF91" s="14">
        <f t="shared" si="91"/>
        <v>3.6292411711343559E-12</v>
      </c>
      <c r="BG91" s="22">
        <f t="shared" si="61"/>
        <v>6.7935256943361388E-12</v>
      </c>
      <c r="BH91" s="62">
        <f t="shared" si="62"/>
        <v>293.33333333334014</v>
      </c>
      <c r="BI91" s="62">
        <f ca="1">AVERAGE(OFFSET($BH$3,0,0,'Données projet'!$E$11+1,1))-AVERAGE(OFFSET($H$3,0,0,'Données projet'!$E$11+1,1))</f>
        <v>210.55867376929405</v>
      </c>
      <c r="BJ91" s="62">
        <f t="shared" si="92"/>
        <v>249.73837672556022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70.808399999999963</v>
      </c>
      <c r="D92" s="12">
        <f t="shared" si="86"/>
        <v>19.87407742704676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700.00508891053607</v>
      </c>
      <c r="H92" s="70">
        <f t="shared" si="56"/>
        <v>451.27198151877303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8.0000000000012506E-2</v>
      </c>
      <c r="O92" s="14">
        <f>N92*VLOOKUP('Données projet'!$B$9,Paramètres!$A$1:$I$89,3,0)*VLOOKUP('Données projet'!$B$9,Paramètres!$A$1:$I$89,5,0)</f>
        <v>4.0684800000006363E-2</v>
      </c>
      <c r="P92" s="14">
        <f t="shared" si="87"/>
        <v>2.7217381697540451E-2</v>
      </c>
      <c r="Q92" s="22">
        <f t="shared" si="54"/>
        <v>0.11826296645656069</v>
      </c>
      <c r="R92" s="62">
        <f t="shared" si="55"/>
        <v>293.45159629978986</v>
      </c>
      <c r="S92" s="62">
        <f ca="1">AVERAGE(OFFSET($R$3,0,0,'Données projet'!$E$9+1,1))-AVERAGE(OFFSET($H$3,0,0,'Données projet'!$E$9+1,1))</f>
        <v>57.778110971082867</v>
      </c>
      <c r="T92" s="62">
        <f t="shared" si="88"/>
        <v>144.26475989880868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9.99470749151528</v>
      </c>
      <c r="AA92" s="23">
        <f>EXP(-LN(2)/25)*AA91+(1-EXP(-LN(2)/25))/(LN(2)/25)*Calculateur!V92*Calculateur!X92*VLOOKUP('Données projet'!$B$9,Paramètres!$A$1:$I$89,3,0)*0.475*44/12</f>
        <v>0.81039051805284767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10.805098009568127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IF('Données projet'!$A$62&gt;35,AI91+AH92-AQ91,IF(A92&lt;'Données projet'!$A$62,$AF$205^A92,IF(A92='Données projet'!$A$62,'Données projet'!$B$62,AI91+AH92-AQ91)))</f>
        <v>268.79999999999973</v>
      </c>
      <c r="AJ92" s="14">
        <f>AI92*VLOOKUP('Données projet'!$B$10,Paramètres!$A$1:$I$89,3,0)*VLOOKUP('Données projet'!$B$10,Paramètres!$A$1:$I$89,5,0)</f>
        <v>226.43711999999982</v>
      </c>
      <c r="AK92" s="14">
        <f t="shared" si="89"/>
        <v>55.5116049933753</v>
      </c>
      <c r="AL92" s="22">
        <f t="shared" si="58"/>
        <v>491.06069603012833</v>
      </c>
      <c r="AM92" s="62">
        <f t="shared" si="59"/>
        <v>784.39402936346164</v>
      </c>
      <c r="AN92" s="62">
        <f ca="1">AVERAGE(OFFSET($AM$3,0,0,'Données projet'!$E$10+1,1))-AVERAGE(OFFSET($H$3,0,0,'Données projet'!$E$10+1,1))</f>
        <v>237.45928008030023</v>
      </c>
      <c r="AO92" s="62">
        <f t="shared" si="90"/>
        <v>126.78839015508379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3.4106051316484809E-13</v>
      </c>
      <c r="BE92" s="14">
        <f>BD92*VLOOKUP('Données projet'!$B$11,Paramètres!$A$1:$I$89,3,0)*VLOOKUP('Données projet'!$B$11,Paramètres!$A$1:$I$89,5,0)</f>
        <v>2.7134774427395314E-13</v>
      </c>
      <c r="BF92" s="14">
        <f t="shared" si="91"/>
        <v>3.6292411711343559E-12</v>
      </c>
      <c r="BG92" s="22">
        <f t="shared" si="61"/>
        <v>6.7935256943361388E-12</v>
      </c>
      <c r="BH92" s="62">
        <f t="shared" si="62"/>
        <v>293.33333333334014</v>
      </c>
      <c r="BI92" s="62">
        <f ca="1">AVERAGE(OFFSET($BH$3,0,0,'Données projet'!$E$11+1,1))-AVERAGE(OFFSET($H$3,0,0,'Données projet'!$E$11+1,1))</f>
        <v>210.55867376929405</v>
      </c>
      <c r="BJ92" s="62">
        <f t="shared" si="92"/>
        <v>249.73837672556022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71.603999999999957</v>
      </c>
      <c r="D93" s="12">
        <f t="shared" si="86"/>
        <v>20.071260561992585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707.66867802239869</v>
      </c>
      <c r="H93" s="70">
        <f t="shared" si="56"/>
        <v>453.001078812137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8.0000000000012506E-2</v>
      </c>
      <c r="O93" s="14">
        <f>N93*VLOOKUP('Données projet'!$B$9,Paramètres!$A$1:$I$89,3,0)*VLOOKUP('Données projet'!$B$9,Paramètres!$A$1:$I$89,5,0)</f>
        <v>4.0684800000006363E-2</v>
      </c>
      <c r="P93" s="14">
        <f t="shared" si="87"/>
        <v>2.7217381697540451E-2</v>
      </c>
      <c r="Q93" s="22">
        <f t="shared" si="54"/>
        <v>0.11826296645656069</v>
      </c>
      <c r="R93" s="62">
        <f t="shared" si="55"/>
        <v>293.45159629978986</v>
      </c>
      <c r="S93" s="62">
        <f ca="1">AVERAGE(OFFSET($R$3,0,0,'Données projet'!$E$9+1,1))-AVERAGE(OFFSET($H$3,0,0,'Données projet'!$E$9+1,1))</f>
        <v>57.778110971082867</v>
      </c>
      <c r="T93" s="62">
        <f t="shared" si="88"/>
        <v>144.26475989880868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9.798717373776288</v>
      </c>
      <c r="AA93" s="23">
        <f>EXP(-LN(2)/25)*AA92+(1-EXP(-LN(2)/25))/(LN(2)/25)*Calculateur!V93*Calculateur!X93*VLOOKUP('Données projet'!$B$9,Paramètres!$A$1:$I$89,3,0)*0.475*44/12</f>
        <v>0.78823034672010739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10.586947720496395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IF('Données projet'!$A$62&gt;35,AI92+AH93-AQ92,IF(A93&lt;'Données projet'!$A$62,$AF$205^A93,IF(A93='Données projet'!$A$62,'Données projet'!$B$62,AI92+AH93-AQ92)))</f>
        <v>273.99999999999972</v>
      </c>
      <c r="AJ93" s="14">
        <f>AI93*VLOOKUP('Données projet'!$B$10,Paramètres!$A$1:$I$89,3,0)*VLOOKUP('Données projet'!$B$10,Paramètres!$A$1:$I$89,5,0)</f>
        <v>230.8175999999998</v>
      </c>
      <c r="AK93" s="14">
        <f t="shared" si="89"/>
        <v>56.459429240325889</v>
      </c>
      <c r="AL93" s="22">
        <f t="shared" si="58"/>
        <v>500.34082592690061</v>
      </c>
      <c r="AM93" s="62">
        <f t="shared" si="59"/>
        <v>793.67415926023386</v>
      </c>
      <c r="AN93" s="62">
        <f ca="1">AVERAGE(OFFSET($AM$3,0,0,'Données projet'!$E$10+1,1))-AVERAGE(OFFSET($H$3,0,0,'Données projet'!$E$10+1,1))</f>
        <v>237.45928008030023</v>
      </c>
      <c r="AO93" s="62">
        <f t="shared" si="90"/>
        <v>126.78839015508379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3.4106051316484809E-13</v>
      </c>
      <c r="BE93" s="14">
        <f>BD93*VLOOKUP('Données projet'!$B$11,Paramètres!$A$1:$I$89,3,0)*VLOOKUP('Données projet'!$B$11,Paramètres!$A$1:$I$89,5,0)</f>
        <v>2.7134774427395314E-13</v>
      </c>
      <c r="BF93" s="14">
        <f t="shared" si="91"/>
        <v>3.6292411711343559E-12</v>
      </c>
      <c r="BG93" s="22">
        <f t="shared" si="61"/>
        <v>6.7935256943361388E-12</v>
      </c>
      <c r="BH93" s="62">
        <f t="shared" si="62"/>
        <v>293.33333333334014</v>
      </c>
      <c r="BI93" s="62">
        <f ca="1">AVERAGE(OFFSET($BH$3,0,0,'Données projet'!$E$11+1,1))-AVERAGE(OFFSET($H$3,0,0,'Données projet'!$E$11+1,1))</f>
        <v>210.55867376929405</v>
      </c>
      <c r="BJ93" s="62">
        <f t="shared" si="92"/>
        <v>249.73837672556022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72.39959999999995</v>
      </c>
      <c r="D94" s="12">
        <f t="shared" si="86"/>
        <v>20.268188832715445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715.33029976131184</v>
      </c>
      <c r="H94" s="70">
        <f t="shared" si="56"/>
        <v>454.7297322169793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8.0000000000012506E-2</v>
      </c>
      <c r="O94" s="14">
        <f>N94*VLOOKUP('Données projet'!$B$9,Paramètres!$A$1:$I$89,3,0)*VLOOKUP('Données projet'!$B$9,Paramètres!$A$1:$I$89,5,0)</f>
        <v>4.0684800000006363E-2</v>
      </c>
      <c r="P94" s="14">
        <f t="shared" si="87"/>
        <v>2.7217381697540451E-2</v>
      </c>
      <c r="Q94" s="22">
        <f t="shared" si="54"/>
        <v>0.11826296645656069</v>
      </c>
      <c r="R94" s="62">
        <f t="shared" si="55"/>
        <v>293.45159629978986</v>
      </c>
      <c r="S94" s="62">
        <f ca="1">AVERAGE(OFFSET($R$3,0,0,'Données projet'!$E$9+1,1))-AVERAGE(OFFSET($H$3,0,0,'Données projet'!$E$9+1,1))</f>
        <v>57.778110971082867</v>
      </c>
      <c r="T94" s="62">
        <f t="shared" si="88"/>
        <v>144.26475989880868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9.60657050270399</v>
      </c>
      <c r="AA94" s="23">
        <f>EXP(-LN(2)/25)*AA93+(1-EXP(-LN(2)/25))/(LN(2)/25)*Calculateur!V94*Calculateur!X94*VLOOKUP('Données projet'!$B$9,Paramètres!$A$1:$I$89,3,0)*0.475*44/12</f>
        <v>0.76667614643781368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10.373246649141803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IF('Données projet'!$A$62&gt;35,AI93+AH94-AQ93,IF(A94&lt;'Données projet'!$A$62,$AF$205^A94,IF(A94='Données projet'!$A$62,'Données projet'!$B$62,AI93+AH94-AQ93)))</f>
        <v>279.1999999999997</v>
      </c>
      <c r="AJ94" s="14">
        <f>AI94*VLOOKUP('Données projet'!$B$10,Paramètres!$A$1:$I$89,3,0)*VLOOKUP('Données projet'!$B$10,Paramètres!$A$1:$I$89,5,0)</f>
        <v>235.19807999999978</v>
      </c>
      <c r="AK94" s="14">
        <f t="shared" si="89"/>
        <v>57.405161873303101</v>
      </c>
      <c r="AL94" s="22">
        <f t="shared" si="58"/>
        <v>509.61731292933581</v>
      </c>
      <c r="AM94" s="62">
        <f t="shared" si="59"/>
        <v>802.95064626266912</v>
      </c>
      <c r="AN94" s="62">
        <f ca="1">AVERAGE(OFFSET($AM$3,0,0,'Données projet'!$E$10+1,1))-AVERAGE(OFFSET($H$3,0,0,'Données projet'!$E$10+1,1))</f>
        <v>237.45928008030023</v>
      </c>
      <c r="AO94" s="62">
        <f t="shared" si="90"/>
        <v>126.78839015508379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3.4106051316484809E-13</v>
      </c>
      <c r="BE94" s="14">
        <f>BD94*VLOOKUP('Données projet'!$B$11,Paramètres!$A$1:$I$89,3,0)*VLOOKUP('Données projet'!$B$11,Paramètres!$A$1:$I$89,5,0)</f>
        <v>2.7134774427395314E-13</v>
      </c>
      <c r="BF94" s="14">
        <f t="shared" si="91"/>
        <v>3.6292411711343559E-12</v>
      </c>
      <c r="BG94" s="22">
        <f t="shared" si="61"/>
        <v>6.7935256943361388E-12</v>
      </c>
      <c r="BH94" s="62">
        <f t="shared" si="62"/>
        <v>293.33333333334014</v>
      </c>
      <c r="BI94" s="62">
        <f ca="1">AVERAGE(OFFSET($BH$3,0,0,'Données projet'!$E$11+1,1))-AVERAGE(OFFSET($H$3,0,0,'Données projet'!$E$11+1,1))</f>
        <v>210.55867376929405</v>
      </c>
      <c r="BJ94" s="62">
        <f t="shared" si="92"/>
        <v>249.73837672556022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73.195199999999943</v>
      </c>
      <c r="D95" s="12">
        <f t="shared" si="86"/>
        <v>20.46486536405077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722.98997824881246</v>
      </c>
      <c r="H95" s="70">
        <f t="shared" si="56"/>
        <v>456.45794717572164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8.0000000000012506E-2</v>
      </c>
      <c r="O95" s="14">
        <f>N95*VLOOKUP('Données projet'!$B$9,Paramètres!$A$1:$I$89,3,0)*VLOOKUP('Données projet'!$B$9,Paramètres!$A$1:$I$89,5,0)</f>
        <v>4.0684800000006363E-2</v>
      </c>
      <c r="P95" s="14">
        <f t="shared" si="87"/>
        <v>2.7217381697540451E-2</v>
      </c>
      <c r="Q95" s="22">
        <f t="shared" si="54"/>
        <v>0.11826296645656069</v>
      </c>
      <c r="R95" s="62">
        <f t="shared" si="55"/>
        <v>293.45159629978986</v>
      </c>
      <c r="S95" s="62">
        <f ca="1">AVERAGE(OFFSET($R$3,0,0,'Données projet'!$E$9+1,1))-AVERAGE(OFFSET($H$3,0,0,'Données projet'!$E$9+1,1))</f>
        <v>57.778110971082867</v>
      </c>
      <c r="T95" s="62">
        <f t="shared" si="88"/>
        <v>144.26475989880868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9.4181915145754012</v>
      </c>
      <c r="AA95" s="23">
        <f>EXP(-LN(2)/25)*AA94+(1-EXP(-LN(2)/25))/(LN(2)/25)*Calculateur!V95*Calculateur!X95*VLOOKUP('Données projet'!$B$9,Paramètres!$A$1:$I$89,3,0)*0.475*44/12</f>
        <v>0.74571134689572538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10.163902861471126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IF('Données projet'!$A$62&gt;35,AI94+AH95-AQ94,IF(A95&lt;'Données projet'!$A$62,$AF$205^A95,IF(A95='Données projet'!$A$62,'Données projet'!$B$62,AI94+AH95-AQ94)))</f>
        <v>284.39999999999969</v>
      </c>
      <c r="AJ95" s="14">
        <f>AI95*VLOOKUP('Données projet'!$B$10,Paramètres!$A$1:$I$89,3,0)*VLOOKUP('Données projet'!$B$10,Paramètres!$A$1:$I$89,5,0)</f>
        <v>239.57855999999978</v>
      </c>
      <c r="AK95" s="14">
        <f t="shared" si="89"/>
        <v>58.348846340254724</v>
      </c>
      <c r="AL95" s="22">
        <f t="shared" si="58"/>
        <v>518.89023270927657</v>
      </c>
      <c r="AM95" s="62">
        <f t="shared" si="59"/>
        <v>812.22356604260995</v>
      </c>
      <c r="AN95" s="62">
        <f ca="1">AVERAGE(OFFSET($AM$3,0,0,'Données projet'!$E$10+1,1))-AVERAGE(OFFSET($H$3,0,0,'Données projet'!$E$10+1,1))</f>
        <v>237.45928008030023</v>
      </c>
      <c r="AO95" s="62">
        <f t="shared" si="90"/>
        <v>126.78839015508379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3.4106051316484809E-13</v>
      </c>
      <c r="BE95" s="14">
        <f>BD95*VLOOKUP('Données projet'!$B$11,Paramètres!$A$1:$I$89,3,0)*VLOOKUP('Données projet'!$B$11,Paramètres!$A$1:$I$89,5,0)</f>
        <v>2.7134774427395314E-13</v>
      </c>
      <c r="BF95" s="14">
        <f t="shared" si="91"/>
        <v>3.6292411711343559E-12</v>
      </c>
      <c r="BG95" s="22">
        <f t="shared" si="61"/>
        <v>6.7935256943361388E-12</v>
      </c>
      <c r="BH95" s="62">
        <f t="shared" si="62"/>
        <v>293.33333333334014</v>
      </c>
      <c r="BI95" s="62">
        <f ca="1">AVERAGE(OFFSET($BH$3,0,0,'Données projet'!$E$11+1,1))-AVERAGE(OFFSET($H$3,0,0,'Données projet'!$E$11+1,1))</f>
        <v>210.55867376929405</v>
      </c>
      <c r="BJ95" s="62">
        <f t="shared" si="92"/>
        <v>249.73837672556022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73.990799999999936</v>
      </c>
      <c r="D96" s="12">
        <f t="shared" si="86"/>
        <v>20.661293208990447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730.64773705185564</v>
      </c>
      <c r="H96" s="70">
        <f t="shared" si="56"/>
        <v>458.18572900565823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8.0000000000012506E-2</v>
      </c>
      <c r="O96" s="14">
        <f>N96*VLOOKUP('Données projet'!$B$9,Paramètres!$A$1:$I$89,3,0)*VLOOKUP('Données projet'!$B$9,Paramètres!$A$1:$I$89,5,0)</f>
        <v>4.0684800000006363E-2</v>
      </c>
      <c r="P96" s="14">
        <f t="shared" si="87"/>
        <v>2.7217381697540451E-2</v>
      </c>
      <c r="Q96" s="22">
        <f t="shared" si="54"/>
        <v>0.11826296645656069</v>
      </c>
      <c r="R96" s="62">
        <f t="shared" si="55"/>
        <v>293.45159629978986</v>
      </c>
      <c r="S96" s="62">
        <f ca="1">AVERAGE(OFFSET($R$3,0,0,'Données projet'!$E$9+1,1))-AVERAGE(OFFSET($H$3,0,0,'Données projet'!$E$9+1,1))</f>
        <v>57.778110971082867</v>
      </c>
      <c r="T96" s="62">
        <f t="shared" si="88"/>
        <v>144.26475989880868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9.2335065235041771</v>
      </c>
      <c r="AA96" s="23">
        <f>EXP(-LN(2)/25)*AA95+(1-EXP(-LN(2)/25))/(LN(2)/25)*Calculateur!V96*Calculateur!X96*VLOOKUP('Données projet'!$B$9,Paramètres!$A$1:$I$89,3,0)*0.475*44/12</f>
        <v>0.72531983089960639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9.9588263544037829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IF('Données projet'!$A$62&gt;35,AI95+AH96-AQ95,IF(A96&lt;'Données projet'!$A$62,$AF$205^A96,IF(A96='Données projet'!$A$62,'Données projet'!$B$62,AI95+AH96-AQ95)))</f>
        <v>289.59999999999968</v>
      </c>
      <c r="AJ96" s="14">
        <f>AI96*VLOOKUP('Données projet'!$B$10,Paramètres!$A$1:$I$89,3,0)*VLOOKUP('Données projet'!$B$10,Paramètres!$A$1:$I$89,5,0)</f>
        <v>243.95903999999976</v>
      </c>
      <c r="AK96" s="14">
        <f t="shared" si="89"/>
        <v>59.29052440935304</v>
      </c>
      <c r="AL96" s="22">
        <f t="shared" si="58"/>
        <v>528.15965801295602</v>
      </c>
      <c r="AM96" s="62">
        <f t="shared" si="59"/>
        <v>821.49299134628927</v>
      </c>
      <c r="AN96" s="62">
        <f ca="1">AVERAGE(OFFSET($AM$3,0,0,'Données projet'!$E$10+1,1))-AVERAGE(OFFSET($H$3,0,0,'Données projet'!$E$10+1,1))</f>
        <v>237.45928008030023</v>
      </c>
      <c r="AO96" s="62">
        <f t="shared" si="90"/>
        <v>126.78839015508379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3.4106051316484809E-13</v>
      </c>
      <c r="BE96" s="14">
        <f>BD96*VLOOKUP('Données projet'!$B$11,Paramètres!$A$1:$I$89,3,0)*VLOOKUP('Données projet'!$B$11,Paramètres!$A$1:$I$89,5,0)</f>
        <v>2.7134774427395314E-13</v>
      </c>
      <c r="BF96" s="14">
        <f t="shared" si="91"/>
        <v>3.6292411711343559E-12</v>
      </c>
      <c r="BG96" s="22">
        <f t="shared" si="61"/>
        <v>6.7935256943361388E-12</v>
      </c>
      <c r="BH96" s="62">
        <f t="shared" si="62"/>
        <v>293.33333333334014</v>
      </c>
      <c r="BI96" s="62">
        <f ca="1">AVERAGE(OFFSET($BH$3,0,0,'Données projet'!$E$11+1,1))-AVERAGE(OFFSET($H$3,0,0,'Données projet'!$E$11+1,1))</f>
        <v>210.55867376929405</v>
      </c>
      <c r="BJ96" s="62">
        <f t="shared" si="92"/>
        <v>249.73837672556022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74.786399999999929</v>
      </c>
      <c r="D97" s="12">
        <f t="shared" si="86"/>
        <v>20.85747535108894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738.30359920138778</v>
      </c>
      <c r="H97" s="70">
        <f t="shared" si="56"/>
        <v>459.91308290314646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8.0000000000012506E-2</v>
      </c>
      <c r="O97" s="14">
        <f>N97*VLOOKUP('Données projet'!$B$9,Paramètres!$A$1:$I$89,3,0)*VLOOKUP('Données projet'!$B$9,Paramètres!$A$1:$I$89,5,0)</f>
        <v>4.0684800000006363E-2</v>
      </c>
      <c r="P97" s="14">
        <f t="shared" si="87"/>
        <v>2.7217381697540451E-2</v>
      </c>
      <c r="Q97" s="22">
        <f t="shared" si="54"/>
        <v>0.11826296645656069</v>
      </c>
      <c r="R97" s="62">
        <f t="shared" si="55"/>
        <v>293.45159629978986</v>
      </c>
      <c r="S97" s="62">
        <f ca="1">AVERAGE(OFFSET($R$3,0,0,'Données projet'!$E$9+1,1))-AVERAGE(OFFSET($H$3,0,0,'Données projet'!$E$9+1,1))</f>
        <v>57.778110971082867</v>
      </c>
      <c r="T97" s="62">
        <f t="shared" si="88"/>
        <v>144.26475989880868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9.0524430924611377</v>
      </c>
      <c r="AA97" s="23">
        <f>EXP(-LN(2)/25)*AA96+(1-EXP(-LN(2)/25))/(LN(2)/25)*Calculateur!V97*Calculateur!X97*VLOOKUP('Données projet'!$B$9,Paramètres!$A$1:$I$89,3,0)*0.475*44/12</f>
        <v>0.70548592198074445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9.7579290144418813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IF('Données projet'!$A$62&gt;35,AI96+AH97-AQ96,IF(A97&lt;'Données projet'!$A$62,$AF$205^A97,IF(A97='Données projet'!$A$62,'Données projet'!$B$62,AI96+AH97-AQ96)))</f>
        <v>294.79999999999967</v>
      </c>
      <c r="AJ97" s="14">
        <f>AI97*VLOOKUP('Données projet'!$B$10,Paramètres!$A$1:$I$89,3,0)*VLOOKUP('Données projet'!$B$10,Paramètres!$A$1:$I$89,5,0)</f>
        <v>248.33951999999977</v>
      </c>
      <c r="AK97" s="14">
        <f t="shared" si="89"/>
        <v>60.230236262913188</v>
      </c>
      <c r="AL97" s="22">
        <f t="shared" si="58"/>
        <v>537.42565882457336</v>
      </c>
      <c r="AM97" s="62">
        <f t="shared" si="59"/>
        <v>830.75899215790673</v>
      </c>
      <c r="AN97" s="62">
        <f ca="1">AVERAGE(OFFSET($AM$3,0,0,'Données projet'!$E$10+1,1))-AVERAGE(OFFSET($H$3,0,0,'Données projet'!$E$10+1,1))</f>
        <v>237.45928008030023</v>
      </c>
      <c r="AO97" s="62">
        <f t="shared" si="90"/>
        <v>126.78839015508379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3.4106051316484809E-13</v>
      </c>
      <c r="BE97" s="14">
        <f>BD97*VLOOKUP('Données projet'!$B$11,Paramètres!$A$1:$I$89,3,0)*VLOOKUP('Données projet'!$B$11,Paramètres!$A$1:$I$89,5,0)</f>
        <v>2.7134774427395314E-13</v>
      </c>
      <c r="BF97" s="14">
        <f t="shared" si="91"/>
        <v>3.6292411711343559E-12</v>
      </c>
      <c r="BG97" s="22">
        <f t="shared" si="61"/>
        <v>6.7935256943361388E-12</v>
      </c>
      <c r="BH97" s="62">
        <f t="shared" si="62"/>
        <v>293.33333333334014</v>
      </c>
      <c r="BI97" s="62">
        <f ca="1">AVERAGE(OFFSET($BH$3,0,0,'Données projet'!$E$11+1,1))-AVERAGE(OFFSET($H$3,0,0,'Données projet'!$E$11+1,1))</f>
        <v>210.55867376929405</v>
      </c>
      <c r="BJ97" s="62">
        <f t="shared" si="92"/>
        <v>249.73837672556022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75.581999999999923</v>
      </c>
      <c r="D98" s="12">
        <f t="shared" si="86"/>
        <v>21.053414706764109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745.9575872101085</v>
      </c>
      <c r="H98" s="70">
        <f t="shared" si="56"/>
        <v>461.64001394761397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8.0000000000012506E-2</v>
      </c>
      <c r="O98" s="14">
        <f>N98*VLOOKUP('Données projet'!$B$9,Paramètres!$A$1:$I$89,3,0)*VLOOKUP('Données projet'!$B$9,Paramètres!$A$1:$I$89,5,0)</f>
        <v>4.0684800000006363E-2</v>
      </c>
      <c r="P98" s="14">
        <f t="shared" si="87"/>
        <v>2.7217381697540451E-2</v>
      </c>
      <c r="Q98" s="22">
        <f t="shared" si="54"/>
        <v>0.11826296645656069</v>
      </c>
      <c r="R98" s="62">
        <f t="shared" si="55"/>
        <v>293.45159629978986</v>
      </c>
      <c r="S98" s="62">
        <f ca="1">AVERAGE(OFFSET($R$3,0,0,'Données projet'!$E$9+1,1))-AVERAGE(OFFSET($H$3,0,0,'Données projet'!$E$9+1,1))</f>
        <v>57.778110971082867</v>
      </c>
      <c r="T98" s="62">
        <f t="shared" si="88"/>
        <v>144.26475989880868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8.8749302048630643</v>
      </c>
      <c r="AA98" s="23">
        <f>EXP(-LN(2)/25)*AA97+(1-EXP(-LN(2)/25))/(LN(2)/25)*Calculateur!V98*Calculateur!X98*VLOOKUP('Données projet'!$B$9,Paramètres!$A$1:$I$89,3,0)*0.475*44/12</f>
        <v>0.68619437234428882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9.5611245772073534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IF('Données projet'!$A$62&gt;35,AI97+AH98-AQ97,IF(A98&lt;'Données projet'!$A$62,$AF$205^A98,IF(A98='Données projet'!$A$62,'Données projet'!$B$62,AI97+AH98-AQ97)))</f>
        <v>299.99999999999966</v>
      </c>
      <c r="AJ98" s="14">
        <f>AI98*VLOOKUP('Données projet'!$B$10,Paramètres!$A$1:$I$89,3,0)*VLOOKUP('Données projet'!$B$10,Paramètres!$A$1:$I$89,5,0)</f>
        <v>252.71999999999974</v>
      </c>
      <c r="AK98" s="14">
        <f t="shared" si="89"/>
        <v>61.168020584496766</v>
      </c>
      <c r="AL98" s="22">
        <f t="shared" si="58"/>
        <v>546.68830251799807</v>
      </c>
      <c r="AM98" s="62">
        <f t="shared" si="59"/>
        <v>840.02163585133144</v>
      </c>
      <c r="AN98" s="62">
        <f ca="1">AVERAGE(OFFSET($AM$3,0,0,'Données projet'!$E$10+1,1))-AVERAGE(OFFSET($H$3,0,0,'Données projet'!$E$10+1,1))</f>
        <v>237.45928008030023</v>
      </c>
      <c r="AO98" s="62">
        <f t="shared" si="90"/>
        <v>126.78839015508379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3.4106051316484809E-13</v>
      </c>
      <c r="BE98" s="14">
        <f>BD98*VLOOKUP('Données projet'!$B$11,Paramètres!$A$1:$I$89,3,0)*VLOOKUP('Données projet'!$B$11,Paramètres!$A$1:$I$89,5,0)</f>
        <v>2.7134774427395314E-13</v>
      </c>
      <c r="BF98" s="14">
        <f t="shared" si="91"/>
        <v>3.6292411711343559E-12</v>
      </c>
      <c r="BG98" s="22">
        <f t="shared" si="61"/>
        <v>6.7935256943361388E-12</v>
      </c>
      <c r="BH98" s="62">
        <f t="shared" si="62"/>
        <v>293.33333333334014</v>
      </c>
      <c r="BI98" s="62">
        <f ca="1">AVERAGE(OFFSET($BH$3,0,0,'Données projet'!$E$11+1,1))-AVERAGE(OFFSET($H$3,0,0,'Données projet'!$E$11+1,1))</f>
        <v>210.55867376929405</v>
      </c>
      <c r="BJ98" s="62">
        <f t="shared" si="92"/>
        <v>249.73837672556022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76.377599999999916</v>
      </c>
      <c r="D99" s="12">
        <f t="shared" si="86"/>
        <v>21.24911412749838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753.60972308946066</v>
      </c>
      <c r="H99" s="70">
        <f t="shared" si="56"/>
        <v>463.36652710539283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8.0000000000012506E-2</v>
      </c>
      <c r="O99" s="14">
        <f>N99*VLOOKUP('Données projet'!$B$9,Paramètres!$A$1:$I$89,3,0)*VLOOKUP('Données projet'!$B$9,Paramètres!$A$1:$I$89,5,0)</f>
        <v>4.0684800000006363E-2</v>
      </c>
      <c r="P99" s="14">
        <f t="shared" si="87"/>
        <v>2.7217381697540451E-2</v>
      </c>
      <c r="Q99" s="22">
        <f t="shared" ref="Q99:Q130" si="107">(O99+P99)*0.475*44/12</f>
        <v>0.11826296645656069</v>
      </c>
      <c r="R99" s="62">
        <f t="shared" si="55"/>
        <v>293.45159629978986</v>
      </c>
      <c r="S99" s="62">
        <f ca="1">AVERAGE(OFFSET($R$3,0,0,'Données projet'!$E$9+1,1))-AVERAGE(OFFSET($H$3,0,0,'Données projet'!$E$9+1,1))</f>
        <v>57.778110971082867</v>
      </c>
      <c r="T99" s="62">
        <f t="shared" si="88"/>
        <v>144.26475989880868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8.7008982367186185</v>
      </c>
      <c r="AA99" s="23">
        <f>EXP(-LN(2)/25)*AA98+(1-EXP(-LN(2)/25))/(LN(2)/25)*Calculateur!V99*Calculateur!X99*VLOOKUP('Données projet'!$B$9,Paramètres!$A$1:$I$89,3,0)*0.475*44/12</f>
        <v>0.66743035114714055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9.3683285878657596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IF('Données projet'!$A$62&gt;35,AI98+AH99-AQ98,IF(A99&lt;'Données projet'!$A$62,$AF$205^A99,IF(A99='Données projet'!$A$62,'Données projet'!$B$62,AI98+AH99-AQ98)))</f>
        <v>262.69999999999965</v>
      </c>
      <c r="AJ99" s="14">
        <f>AI99*VLOOKUP('Données projet'!$B$10,Paramètres!$A$1:$I$89,3,0)*VLOOKUP('Données projet'!$B$10,Paramètres!$A$1:$I$89,5,0)</f>
        <v>221.2984799999997</v>
      </c>
      <c r="AK99" s="14">
        <f t="shared" si="89"/>
        <v>54.397007201397017</v>
      </c>
      <c r="AL99" s="22">
        <f t="shared" si="58"/>
        <v>480.16964020909927</v>
      </c>
      <c r="AM99" s="62">
        <f t="shared" si="59"/>
        <v>773.50297354243253</v>
      </c>
      <c r="AN99" s="62">
        <f ca="1">AVERAGE(OFFSET($AM$3,0,0,'Données projet'!$E$10+1,1))-AVERAGE(OFFSET($H$3,0,0,'Données projet'!$E$10+1,1))</f>
        <v>237.45928008030023</v>
      </c>
      <c r="AO99" s="62">
        <f t="shared" si="90"/>
        <v>126.78839015508379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3.4106051316484809E-13</v>
      </c>
      <c r="BE99" s="14">
        <f>BD99*VLOOKUP('Données projet'!$B$11,Paramètres!$A$1:$I$89,3,0)*VLOOKUP('Données projet'!$B$11,Paramètres!$A$1:$I$89,5,0)</f>
        <v>2.7134774427395314E-13</v>
      </c>
      <c r="BF99" s="14">
        <f t="shared" si="91"/>
        <v>3.6292411711343559E-12</v>
      </c>
      <c r="BG99" s="22">
        <f t="shared" si="61"/>
        <v>6.7935256943361388E-12</v>
      </c>
      <c r="BH99" s="62">
        <f t="shared" si="62"/>
        <v>293.33333333334014</v>
      </c>
      <c r="BI99" s="62">
        <f ca="1">AVERAGE(OFFSET($BH$3,0,0,'Données projet'!$E$11+1,1))-AVERAGE(OFFSET($H$3,0,0,'Données projet'!$E$11+1,1))</f>
        <v>210.55867376929405</v>
      </c>
      <c r="BJ99" s="62">
        <f t="shared" si="92"/>
        <v>249.73837672556022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77.173199999999909</v>
      </c>
      <c r="D100" s="12">
        <f t="shared" si="86"/>
        <v>21.444576401945625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761.26002836589532</v>
      </c>
      <c r="H100" s="70">
        <f t="shared" si="56"/>
        <v>465.09262723338844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8.0000000000012506E-2</v>
      </c>
      <c r="O100" s="14">
        <f>N100*VLOOKUP('Données projet'!$B$9,Paramètres!$A$1:$I$89,3,0)*VLOOKUP('Données projet'!$B$9,Paramètres!$A$1:$I$89,5,0)</f>
        <v>4.0684800000006363E-2</v>
      </c>
      <c r="P100" s="14">
        <f t="shared" si="87"/>
        <v>2.7217381697540451E-2</v>
      </c>
      <c r="Q100" s="22">
        <f t="shared" si="107"/>
        <v>0.11826296645656069</v>
      </c>
      <c r="R100" s="62">
        <f t="shared" si="55"/>
        <v>293.45159629978986</v>
      </c>
      <c r="S100" s="62">
        <f ca="1">AVERAGE(OFFSET($R$3,0,0,'Données projet'!$E$9+1,1))-AVERAGE(OFFSET($H$3,0,0,'Données projet'!$E$9+1,1))</f>
        <v>57.778110971082867</v>
      </c>
      <c r="T100" s="62">
        <f t="shared" si="88"/>
        <v>144.26475989880868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8.5302789293204651</v>
      </c>
      <c r="AA100" s="23">
        <f>EXP(-LN(2)/25)*AA99+(1-EXP(-LN(2)/25))/(LN(2)/25)*Calculateur!V100*Calculateur!X100*VLOOKUP('Données projet'!$B$9,Paramètres!$A$1:$I$89,3,0)*0.475*44/12</f>
        <v>0.64917943309638526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9.1794583624168506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IF('Données projet'!$A$62&gt;35,AI99+AH100-AQ99,IF(A100&lt;'Données projet'!$A$62,$AF$205^A100,IF(A100='Données projet'!$A$62,'Données projet'!$B$62,AI99+AH100-AQ99)))</f>
        <v>267.39999999999964</v>
      </c>
      <c r="AJ100" s="14">
        <f>AI100*VLOOKUP('Données projet'!$B$10,Paramètres!$A$1:$I$89,3,0)*VLOOKUP('Données projet'!$B$10,Paramètres!$A$1:$I$89,5,0)</f>
        <v>225.25775999999973</v>
      </c>
      <c r="AK100" s="14">
        <f t="shared" si="89"/>
        <v>55.256058371671443</v>
      </c>
      <c r="AL100" s="22">
        <f t="shared" si="58"/>
        <v>488.56156699732725</v>
      </c>
      <c r="AM100" s="62">
        <f t="shared" si="59"/>
        <v>781.89490033066056</v>
      </c>
      <c r="AN100" s="62">
        <f ca="1">AVERAGE(OFFSET($AM$3,0,0,'Données projet'!$E$10+1,1))-AVERAGE(OFFSET($H$3,0,0,'Données projet'!$E$10+1,1))</f>
        <v>237.45928008030023</v>
      </c>
      <c r="AO100" s="62">
        <f t="shared" si="90"/>
        <v>126.78839015508379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3.4106051316484809E-13</v>
      </c>
      <c r="BE100" s="14">
        <f>BD100*VLOOKUP('Données projet'!$B$11,Paramètres!$A$1:$I$89,3,0)*VLOOKUP('Données projet'!$B$11,Paramètres!$A$1:$I$89,5,0)</f>
        <v>2.7134774427395314E-13</v>
      </c>
      <c r="BF100" s="14">
        <f t="shared" si="91"/>
        <v>3.6292411711343559E-12</v>
      </c>
      <c r="BG100" s="22">
        <f t="shared" si="61"/>
        <v>6.7935256943361388E-12</v>
      </c>
      <c r="BH100" s="62">
        <f t="shared" si="62"/>
        <v>293.33333333334014</v>
      </c>
      <c r="BI100" s="62">
        <f ca="1">AVERAGE(OFFSET($BH$3,0,0,'Données projet'!$E$11+1,1))-AVERAGE(OFFSET($H$3,0,0,'Données projet'!$E$11+1,1))</f>
        <v>210.55867376929405</v>
      </c>
      <c r="BJ100" s="62">
        <f t="shared" si="92"/>
        <v>249.73837672556022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77.968799999999902</v>
      </c>
      <c r="D101" s="12">
        <f t="shared" si="86"/>
        <v>21.639804257948573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768.90852409644447</v>
      </c>
      <c r="H101" s="70">
        <f t="shared" si="56"/>
        <v>466.81831908259358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8.0000000000012506E-2</v>
      </c>
      <c r="O101" s="14">
        <f>N101*VLOOKUP('Données projet'!$B$9,Paramètres!$A$1:$I$89,3,0)*VLOOKUP('Données projet'!$B$9,Paramètres!$A$1:$I$89,5,0)</f>
        <v>4.0684800000006363E-2</v>
      </c>
      <c r="P101" s="14">
        <f t="shared" si="87"/>
        <v>2.7217381697540451E-2</v>
      </c>
      <c r="Q101" s="22">
        <f t="shared" si="107"/>
        <v>0.11826296645656069</v>
      </c>
      <c r="R101" s="62">
        <f t="shared" si="55"/>
        <v>293.45159629978986</v>
      </c>
      <c r="S101" s="62">
        <f ca="1">AVERAGE(OFFSET($R$3,0,0,'Données projet'!$E$9+1,1))-AVERAGE(OFFSET($H$3,0,0,'Données projet'!$E$9+1,1))</f>
        <v>57.778110971082867</v>
      </c>
      <c r="T101" s="62">
        <f t="shared" si="88"/>
        <v>144.26475989880868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8.3630053624728884</v>
      </c>
      <c r="AA101" s="23">
        <f>EXP(-LN(2)/25)*AA100+(1-EXP(-LN(2)/25))/(LN(2)/25)*Calculateur!V101*Calculateur!X101*VLOOKUP('Données projet'!$B$9,Paramètres!$A$1:$I$89,3,0)*0.475*44/12</f>
        <v>0.63142758735950189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8.9944329498323903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IF('Données projet'!$A$62&gt;35,AI100+AH101-AQ100,IF(A101&lt;'Données projet'!$A$62,$AF$205^A101,IF(A101='Données projet'!$A$62,'Données projet'!$B$62,AI100+AH101-AQ100)))</f>
        <v>272.09999999999962</v>
      </c>
      <c r="AJ101" s="14">
        <f>AI101*VLOOKUP('Données projet'!$B$10,Paramètres!$A$1:$I$89,3,0)*VLOOKUP('Données projet'!$B$10,Paramètres!$A$1:$I$89,5,0)</f>
        <v>229.21703999999968</v>
      </c>
      <c r="AK101" s="14">
        <f t="shared" si="89"/>
        <v>56.113353689893358</v>
      </c>
      <c r="AL101" s="22">
        <f t="shared" si="58"/>
        <v>496.95043567656376</v>
      </c>
      <c r="AM101" s="62">
        <f t="shared" si="59"/>
        <v>790.28376900989701</v>
      </c>
      <c r="AN101" s="62">
        <f ca="1">AVERAGE(OFFSET($AM$3,0,0,'Données projet'!$E$10+1,1))-AVERAGE(OFFSET($H$3,0,0,'Données projet'!$E$10+1,1))</f>
        <v>237.45928008030023</v>
      </c>
      <c r="AO101" s="62">
        <f t="shared" si="90"/>
        <v>126.78839015508379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3.4106051316484809E-13</v>
      </c>
      <c r="BE101" s="14">
        <f>BD101*VLOOKUP('Données projet'!$B$11,Paramètres!$A$1:$I$89,3,0)*VLOOKUP('Données projet'!$B$11,Paramètres!$A$1:$I$89,5,0)</f>
        <v>2.7134774427395314E-13</v>
      </c>
      <c r="BF101" s="14">
        <f t="shared" si="91"/>
        <v>3.6292411711343559E-12</v>
      </c>
      <c r="BG101" s="22">
        <f t="shared" si="61"/>
        <v>6.7935256943361388E-12</v>
      </c>
      <c r="BH101" s="62">
        <f t="shared" si="62"/>
        <v>293.33333333334014</v>
      </c>
      <c r="BI101" s="62">
        <f ca="1">AVERAGE(OFFSET($BH$3,0,0,'Données projet'!$E$11+1,1))-AVERAGE(OFFSET($H$3,0,0,'Données projet'!$E$11+1,1))</f>
        <v>210.55867376929405</v>
      </c>
      <c r="BJ101" s="62">
        <f t="shared" si="92"/>
        <v>249.73837672556022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78.764399999999895</v>
      </c>
      <c r="D102" s="12">
        <f t="shared" si="86"/>
        <v>21.834800364471612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776.55523088363964</v>
      </c>
      <c r="H102" s="70">
        <f t="shared" si="56"/>
        <v>468.54360730145447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8.0000000000012506E-2</v>
      </c>
      <c r="O102" s="14">
        <f>N102*VLOOKUP('Données projet'!$B$9,Paramètres!$A$1:$I$89,3,0)*VLOOKUP('Données projet'!$B$9,Paramètres!$A$1:$I$89,5,0)</f>
        <v>4.0684800000006363E-2</v>
      </c>
      <c r="P102" s="14">
        <f t="shared" si="87"/>
        <v>2.7217381697540451E-2</v>
      </c>
      <c r="Q102" s="22">
        <f t="shared" si="107"/>
        <v>0.11826296645656069</v>
      </c>
      <c r="R102" s="62">
        <f t="shared" si="55"/>
        <v>293.45159629978986</v>
      </c>
      <c r="S102" s="62">
        <f ca="1">AVERAGE(OFFSET($R$3,0,0,'Données projet'!$E$9+1,1))-AVERAGE(OFFSET($H$3,0,0,'Données projet'!$E$9+1,1))</f>
        <v>57.778110971082867</v>
      </c>
      <c r="T102" s="62">
        <f t="shared" si="88"/>
        <v>144.26475989880868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8.1990119282443921</v>
      </c>
      <c r="AA102" s="23">
        <f>EXP(-LN(2)/25)*AA101+(1-EXP(-LN(2)/25))/(LN(2)/25)*Calculateur!V102*Calculateur!X102*VLOOKUP('Données projet'!$B$9,Paramètres!$A$1:$I$89,3,0)*0.475*44/12</f>
        <v>0.61416116677782262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8.8131730950222149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IF('Données projet'!$A$62&gt;35,AI101+AH102-AQ101,IF(A102&lt;'Données projet'!$A$62,$AF$205^A102,IF(A102='Données projet'!$A$62,'Données projet'!$B$62,AI101+AH102-AQ101)))</f>
        <v>276.79999999999961</v>
      </c>
      <c r="AJ102" s="14">
        <f>AI102*VLOOKUP('Données projet'!$B$10,Paramètres!$A$1:$I$89,3,0)*VLOOKUP('Données projet'!$B$10,Paramètres!$A$1:$I$89,5,0)</f>
        <v>233.17631999999972</v>
      </c>
      <c r="AK102" s="14">
        <f t="shared" si="89"/>
        <v>56.968926984666723</v>
      </c>
      <c r="AL102" s="22">
        <f t="shared" si="58"/>
        <v>505.33630516496072</v>
      </c>
      <c r="AM102" s="62">
        <f t="shared" si="59"/>
        <v>798.66963849829403</v>
      </c>
      <c r="AN102" s="62">
        <f ca="1">AVERAGE(OFFSET($AM$3,0,0,'Données projet'!$E$10+1,1))-AVERAGE(OFFSET($H$3,0,0,'Données projet'!$E$10+1,1))</f>
        <v>237.45928008030023</v>
      </c>
      <c r="AO102" s="62">
        <f t="shared" si="90"/>
        <v>126.78839015508379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3.4106051316484809E-13</v>
      </c>
      <c r="BE102" s="14">
        <f>BD102*VLOOKUP('Données projet'!$B$11,Paramètres!$A$1:$I$89,3,0)*VLOOKUP('Données projet'!$B$11,Paramètres!$A$1:$I$89,5,0)</f>
        <v>2.7134774427395314E-13</v>
      </c>
      <c r="BF102" s="14">
        <f t="shared" si="91"/>
        <v>3.6292411711343559E-12</v>
      </c>
      <c r="BG102" s="22">
        <f t="shared" si="61"/>
        <v>6.7935256943361388E-12</v>
      </c>
      <c r="BH102" s="62">
        <f t="shared" si="62"/>
        <v>293.33333333334014</v>
      </c>
      <c r="BI102" s="62">
        <f ca="1">AVERAGE(OFFSET($BH$3,0,0,'Données projet'!$E$11+1,1))-AVERAGE(OFFSET($H$3,0,0,'Données projet'!$E$11+1,1))</f>
        <v>210.55867376929405</v>
      </c>
      <c r="BJ102" s="62">
        <f t="shared" si="92"/>
        <v>249.73837672556022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79.559999999999889</v>
      </c>
      <c r="D103" s="12">
        <f t="shared" si="86"/>
        <v>22.029567333453283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784.20016888981411</v>
      </c>
      <c r="H103" s="70">
        <f t="shared" si="56"/>
        <v>470.26849643909759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8.0000000000012506E-2</v>
      </c>
      <c r="O103" s="14">
        <f>N103*VLOOKUP('Données projet'!$B$9,Paramètres!$A$1:$I$89,3,0)*VLOOKUP('Données projet'!$B$9,Paramètres!$A$1:$I$89,5,0)</f>
        <v>4.0684800000006363E-2</v>
      </c>
      <c r="P103" s="14">
        <f t="shared" si="87"/>
        <v>2.7217381697540451E-2</v>
      </c>
      <c r="Q103" s="22">
        <f t="shared" si="107"/>
        <v>0.11826296645656069</v>
      </c>
      <c r="R103" s="62">
        <f t="shared" si="55"/>
        <v>293.45159629978986</v>
      </c>
      <c r="S103" s="62">
        <f ca="1">AVERAGE(OFFSET($R$3,0,0,'Données projet'!$E$9+1,1))-AVERAGE(OFFSET($H$3,0,0,'Données projet'!$E$9+1,1))</f>
        <v>57.778110971082867</v>
      </c>
      <c r="T103" s="62">
        <f t="shared" si="88"/>
        <v>144.26475989880868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8.0382343052349974</v>
      </c>
      <c r="AA103" s="23">
        <f>EXP(-LN(2)/25)*AA102+(1-EXP(-LN(2)/25))/(LN(2)/25)*Calculateur!V103*Calculateur!X103*VLOOKUP('Données projet'!$B$9,Paramètres!$A$1:$I$89,3,0)*0.475*44/12</f>
        <v>0.59736689737495097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8.6356012026099478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IF('Données projet'!$A$62&gt;35,AI102+AH103-AQ102,IF(A103&lt;'Données projet'!$A$62,$AF$205^A103,IF(A103='Données projet'!$A$62,'Données projet'!$B$62,AI102+AH103-AQ102)))</f>
        <v>281.4999999999996</v>
      </c>
      <c r="AJ103" s="14">
        <f>AI103*VLOOKUP('Données projet'!$B$10,Paramètres!$A$1:$I$89,3,0)*VLOOKUP('Données projet'!$B$10,Paramètres!$A$1:$I$89,5,0)</f>
        <v>237.13559999999967</v>
      </c>
      <c r="AK103" s="14">
        <f t="shared" si="89"/>
        <v>57.822810869957564</v>
      </c>
      <c r="AL103" s="22">
        <f t="shared" si="58"/>
        <v>513.71923226517549</v>
      </c>
      <c r="AM103" s="62">
        <f t="shared" si="59"/>
        <v>807.05256559850886</v>
      </c>
      <c r="AN103" s="62">
        <f ca="1">AVERAGE(OFFSET($AM$3,0,0,'Données projet'!$E$10+1,1))-AVERAGE(OFFSET($H$3,0,0,'Données projet'!$E$10+1,1))</f>
        <v>237.45928008030023</v>
      </c>
      <c r="AO103" s="62">
        <f t="shared" si="90"/>
        <v>126.78839015508379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3.4106051316484809E-13</v>
      </c>
      <c r="BE103" s="14">
        <f>BD103*VLOOKUP('Données projet'!$B$11,Paramètres!$A$1:$I$89,3,0)*VLOOKUP('Données projet'!$B$11,Paramètres!$A$1:$I$89,5,0)</f>
        <v>2.7134774427395314E-13</v>
      </c>
      <c r="BF103" s="14">
        <f t="shared" si="91"/>
        <v>3.6292411711343559E-12</v>
      </c>
      <c r="BG103" s="22">
        <f t="shared" si="61"/>
        <v>6.7935256943361388E-12</v>
      </c>
      <c r="BH103" s="62">
        <f t="shared" si="62"/>
        <v>293.33333333334014</v>
      </c>
      <c r="BI103" s="62">
        <f ca="1">AVERAGE(OFFSET($BH$3,0,0,'Données projet'!$E$11+1,1))-AVERAGE(OFFSET($H$3,0,0,'Données projet'!$E$11+1,1))</f>
        <v>210.55867376929405</v>
      </c>
      <c r="BJ103" s="62">
        <f t="shared" si="92"/>
        <v>249.73837672556022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80.355599999999882</v>
      </c>
      <c r="D104" s="12">
        <f t="shared" si="86"/>
        <v>22.224107721582488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791.84335785081123</v>
      </c>
      <c r="H104" s="70">
        <f t="shared" si="56"/>
        <v>471.99299094842263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8.0000000000012506E-2</v>
      </c>
      <c r="O104" s="14">
        <f>N104*VLOOKUP('Données projet'!$B$9,Paramètres!$A$1:$I$89,3,0)*VLOOKUP('Données projet'!$B$9,Paramètres!$A$1:$I$89,5,0)</f>
        <v>4.0684800000006363E-2</v>
      </c>
      <c r="P104" s="14">
        <f t="shared" si="87"/>
        <v>2.7217381697540451E-2</v>
      </c>
      <c r="Q104" s="22">
        <f t="shared" si="107"/>
        <v>0.11826296645656069</v>
      </c>
      <c r="R104" s="62">
        <f t="shared" si="55"/>
        <v>293.45159629978986</v>
      </c>
      <c r="S104" s="62">
        <f ca="1">AVERAGE(OFFSET($R$3,0,0,'Données projet'!$E$9+1,1))-AVERAGE(OFFSET($H$3,0,0,'Données projet'!$E$9+1,1))</f>
        <v>57.778110971082867</v>
      </c>
      <c r="T104" s="62">
        <f t="shared" si="88"/>
        <v>144.26475989880868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7.88060943334815</v>
      </c>
      <c r="AA104" s="23">
        <f>EXP(-LN(2)/25)*AA103+(1-EXP(-LN(2)/25))/(LN(2)/25)*Calculateur!V104*Calculateur!X104*VLOOKUP('Données projet'!$B$9,Paramètres!$A$1:$I$89,3,0)*0.475*44/12</f>
        <v>0.58103186815207308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8.4616413015002223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IF('Données projet'!$A$62&gt;35,AI103+AH104-AQ103,IF(A104&lt;'Données projet'!$A$62,$AF$205^A104,IF(A104='Données projet'!$A$62,'Données projet'!$B$62,AI103+AH104-AQ103)))</f>
        <v>286.19999999999959</v>
      </c>
      <c r="AJ104" s="14">
        <f>AI104*VLOOKUP('Données projet'!$B$10,Paramètres!$A$1:$I$89,3,0)*VLOOKUP('Données projet'!$B$10,Paramètres!$A$1:$I$89,5,0)</f>
        <v>241.0948799999997</v>
      </c>
      <c r="AK104" s="14">
        <f t="shared" si="89"/>
        <v>58.675036808244307</v>
      </c>
      <c r="AL104" s="22">
        <f t="shared" si="58"/>
        <v>522.09927177435827</v>
      </c>
      <c r="AM104" s="62">
        <f t="shared" si="59"/>
        <v>815.43260510769164</v>
      </c>
      <c r="AN104" s="62">
        <f ca="1">AVERAGE(OFFSET($AM$3,0,0,'Données projet'!$E$10+1,1))-AVERAGE(OFFSET($H$3,0,0,'Données projet'!$E$10+1,1))</f>
        <v>237.45928008030023</v>
      </c>
      <c r="AO104" s="62">
        <f t="shared" si="90"/>
        <v>126.78839015508379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3.4106051316484809E-13</v>
      </c>
      <c r="BE104" s="14">
        <f>BD104*VLOOKUP('Données projet'!$B$11,Paramètres!$A$1:$I$89,3,0)*VLOOKUP('Données projet'!$B$11,Paramètres!$A$1:$I$89,5,0)</f>
        <v>2.7134774427395314E-13</v>
      </c>
      <c r="BF104" s="14">
        <f t="shared" si="91"/>
        <v>3.6292411711343559E-12</v>
      </c>
      <c r="BG104" s="22">
        <f t="shared" si="61"/>
        <v>6.7935256943361388E-12</v>
      </c>
      <c r="BH104" s="62">
        <f t="shared" si="62"/>
        <v>293.33333333334014</v>
      </c>
      <c r="BI104" s="62">
        <f ca="1">AVERAGE(OFFSET($BH$3,0,0,'Données projet'!$E$11+1,1))-AVERAGE(OFFSET($H$3,0,0,'Données projet'!$E$11+1,1))</f>
        <v>210.55867376929405</v>
      </c>
      <c r="BJ104" s="62">
        <f t="shared" si="92"/>
        <v>249.73837672556022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81.151199999999875</v>
      </c>
      <c r="D105" s="12">
        <f t="shared" si="86"/>
        <v>22.418424032002303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799.4848170891396</v>
      </c>
      <c r="H105" s="70">
        <f t="shared" si="56"/>
        <v>473.71709518907045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8.0000000000012506E-2</v>
      </c>
      <c r="O105" s="14">
        <f>N105*VLOOKUP('Données projet'!$B$9,Paramètres!$A$1:$I$89,3,0)*VLOOKUP('Données projet'!$B$9,Paramètres!$A$1:$I$89,5,0)</f>
        <v>4.0684800000006363E-2</v>
      </c>
      <c r="P105" s="14">
        <f t="shared" si="87"/>
        <v>2.7217381697540451E-2</v>
      </c>
      <c r="Q105" s="22">
        <f t="shared" si="107"/>
        <v>0.11826296645656069</v>
      </c>
      <c r="R105" s="62">
        <f t="shared" si="55"/>
        <v>293.45159629978986</v>
      </c>
      <c r="S105" s="62">
        <f ca="1">AVERAGE(OFFSET($R$3,0,0,'Données projet'!$E$9+1,1))-AVERAGE(OFFSET($H$3,0,0,'Données projet'!$E$9+1,1))</f>
        <v>57.778110971082867</v>
      </c>
      <c r="T105" s="62">
        <f t="shared" si="88"/>
        <v>144.26475989880868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7.7260754890573251</v>
      </c>
      <c r="AA105" s="23">
        <f>EXP(-LN(2)/25)*AA104+(1-EXP(-LN(2)/25))/(LN(2)/25)*Calculateur!V105*Calculateur!X105*VLOOKUP('Données projet'!$B$9,Paramètres!$A$1:$I$89,3,0)*0.475*44/12</f>
        <v>0.5651435211623167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8.2912190102196419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IF('Données projet'!$A$62&gt;35,AI104+AH105-AQ104,IF(A105&lt;'Données projet'!$A$62,$AF$205^A105,IF(A105='Données projet'!$A$62,'Données projet'!$B$62,AI104+AH105-AQ104)))</f>
        <v>290.89999999999958</v>
      </c>
      <c r="AJ105" s="14">
        <f>AI105*VLOOKUP('Données projet'!$B$10,Paramètres!$A$1:$I$89,3,0)*VLOOKUP('Données projet'!$B$10,Paramètres!$A$1:$I$89,5,0)</f>
        <v>245.05415999999968</v>
      </c>
      <c r="AK105" s="14">
        <f t="shared" si="89"/>
        <v>59.525635169402733</v>
      </c>
      <c r="AL105" s="22">
        <f t="shared" si="58"/>
        <v>530.47647658670928</v>
      </c>
      <c r="AM105" s="62">
        <f t="shared" si="59"/>
        <v>823.80980992004265</v>
      </c>
      <c r="AN105" s="62">
        <f ca="1">AVERAGE(OFFSET($AM$3,0,0,'Données projet'!$E$10+1,1))-AVERAGE(OFFSET($H$3,0,0,'Données projet'!$E$10+1,1))</f>
        <v>237.45928008030023</v>
      </c>
      <c r="AO105" s="62">
        <f t="shared" si="90"/>
        <v>126.78839015508379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3.4106051316484809E-13</v>
      </c>
      <c r="BE105" s="14">
        <f>BD105*VLOOKUP('Données projet'!$B$11,Paramètres!$A$1:$I$89,3,0)*VLOOKUP('Données projet'!$B$11,Paramètres!$A$1:$I$89,5,0)</f>
        <v>2.7134774427395314E-13</v>
      </c>
      <c r="BF105" s="14">
        <f t="shared" si="91"/>
        <v>3.6292411711343559E-12</v>
      </c>
      <c r="BG105" s="22">
        <f t="shared" si="61"/>
        <v>6.7935256943361388E-12</v>
      </c>
      <c r="BH105" s="62">
        <f t="shared" si="62"/>
        <v>293.33333333334014</v>
      </c>
      <c r="BI105" s="62">
        <f ca="1">AVERAGE(OFFSET($BH$3,0,0,'Données projet'!$E$11+1,1))-AVERAGE(OFFSET($H$3,0,0,'Données projet'!$E$11+1,1))</f>
        <v>210.55867376929405</v>
      </c>
      <c r="BJ105" s="62">
        <f t="shared" si="92"/>
        <v>249.73837672556022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81.946799999999868</v>
      </c>
      <c r="D106" s="12">
        <f t="shared" si="86"/>
        <v>22.612518715945299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807.12456552659432</v>
      </c>
      <c r="H106" s="70">
        <f t="shared" si="56"/>
        <v>475.44081343027113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8.0000000000012506E-2</v>
      </c>
      <c r="O106" s="14">
        <f>N106*VLOOKUP('Données projet'!$B$9,Paramètres!$A$1:$I$89,3,0)*VLOOKUP('Données projet'!$B$9,Paramètres!$A$1:$I$89,5,0)</f>
        <v>4.0684800000006363E-2</v>
      </c>
      <c r="P106" s="14">
        <f t="shared" si="87"/>
        <v>2.7217381697540451E-2</v>
      </c>
      <c r="Q106" s="22">
        <f t="shared" si="107"/>
        <v>0.11826296645656069</v>
      </c>
      <c r="R106" s="62">
        <f t="shared" si="55"/>
        <v>293.45159629978986</v>
      </c>
      <c r="S106" s="62">
        <f ca="1">AVERAGE(OFFSET($R$3,0,0,'Données projet'!$E$9+1,1))-AVERAGE(OFFSET($H$3,0,0,'Données projet'!$E$9+1,1))</f>
        <v>57.778110971082867</v>
      </c>
      <c r="T106" s="62">
        <f t="shared" si="88"/>
        <v>144.26475989880868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7.5745718611576445</v>
      </c>
      <c r="AA106" s="23">
        <f>EXP(-LN(2)/25)*AA105+(1-EXP(-LN(2)/25))/(LN(2)/25)*Calculateur!V106*Calculateur!X106*VLOOKUP('Données projet'!$B$9,Paramètres!$A$1:$I$89,3,0)*0.475*44/12</f>
        <v>0.54968964185652702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8.1242615030141714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IF('Données projet'!$A$62&gt;35,AI105+AH106-AQ105,IF(A106&lt;'Données projet'!$A$62,$AF$205^A106,IF(A106='Données projet'!$A$62,'Données projet'!$B$62,AI105+AH106-AQ105)))</f>
        <v>295.59999999999957</v>
      </c>
      <c r="AJ106" s="14">
        <f>AI106*VLOOKUP('Données projet'!$B$10,Paramètres!$A$1:$I$89,3,0)*VLOOKUP('Données projet'!$B$10,Paramètres!$A$1:$I$89,5,0)</f>
        <v>249.01343999999963</v>
      </c>
      <c r="AK106" s="14">
        <f t="shared" si="89"/>
        <v>60.374635285677527</v>
      </c>
      <c r="AL106" s="22">
        <f t="shared" si="58"/>
        <v>538.85089778922099</v>
      </c>
      <c r="AM106" s="62">
        <f t="shared" si="59"/>
        <v>832.18423112255437</v>
      </c>
      <c r="AN106" s="62">
        <f ca="1">AVERAGE(OFFSET($AM$3,0,0,'Données projet'!$E$10+1,1))-AVERAGE(OFFSET($H$3,0,0,'Données projet'!$E$10+1,1))</f>
        <v>237.45928008030023</v>
      </c>
      <c r="AO106" s="62">
        <f t="shared" si="90"/>
        <v>126.78839015508379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3.4106051316484809E-13</v>
      </c>
      <c r="BE106" s="14">
        <f>BD106*VLOOKUP('Données projet'!$B$11,Paramètres!$A$1:$I$89,3,0)*VLOOKUP('Données projet'!$B$11,Paramètres!$A$1:$I$89,5,0)</f>
        <v>2.7134774427395314E-13</v>
      </c>
      <c r="BF106" s="14">
        <f t="shared" si="91"/>
        <v>3.6292411711343559E-12</v>
      </c>
      <c r="BG106" s="22">
        <f t="shared" si="61"/>
        <v>6.7935256943361388E-12</v>
      </c>
      <c r="BH106" s="62">
        <f t="shared" si="62"/>
        <v>293.33333333334014</v>
      </c>
      <c r="BI106" s="62">
        <f ca="1">AVERAGE(OFFSET($BH$3,0,0,'Données projet'!$E$11+1,1))-AVERAGE(OFFSET($H$3,0,0,'Données projet'!$E$11+1,1))</f>
        <v>210.55867376929405</v>
      </c>
      <c r="BJ106" s="62">
        <f t="shared" si="92"/>
        <v>249.73837672556022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82.742399999999861</v>
      </c>
      <c r="D107" s="12">
        <f t="shared" si="86"/>
        <v>22.806394174303161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814.76262169637437</v>
      </c>
      <c r="H107" s="70">
        <f t="shared" si="56"/>
        <v>477.16414985357778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8.0000000000012506E-2</v>
      </c>
      <c r="O107" s="14">
        <f>N107*VLOOKUP('Données projet'!$B$9,Paramètres!$A$1:$I$89,3,0)*VLOOKUP('Données projet'!$B$9,Paramètres!$A$1:$I$89,5,0)</f>
        <v>4.0684800000006363E-2</v>
      </c>
      <c r="P107" s="14">
        <f t="shared" si="87"/>
        <v>2.7217381697540451E-2</v>
      </c>
      <c r="Q107" s="22">
        <f t="shared" si="107"/>
        <v>0.11826296645656069</v>
      </c>
      <c r="R107" s="62">
        <f t="shared" si="55"/>
        <v>293.45159629978986</v>
      </c>
      <c r="S107" s="62">
        <f ca="1">AVERAGE(OFFSET($R$3,0,0,'Données projet'!$E$9+1,1))-AVERAGE(OFFSET($H$3,0,0,'Données projet'!$E$9+1,1))</f>
        <v>57.778110971082867</v>
      </c>
      <c r="T107" s="62">
        <f t="shared" si="88"/>
        <v>144.26475989880868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7.426039126992988</v>
      </c>
      <c r="AA107" s="23">
        <f>EXP(-LN(2)/25)*AA106+(1-EXP(-LN(2)/25))/(LN(2)/25)*Calculateur!V107*Calculateur!X107*VLOOKUP('Données projet'!$B$9,Paramètres!$A$1:$I$89,3,0)*0.475*44/12</f>
        <v>0.53465834969303838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7.9606974766860263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IF('Données projet'!$A$62&gt;35,AI106+AH107-AQ106,IF(A107&lt;'Données projet'!$A$62,$AF$205^A107,IF(A107='Données projet'!$A$62,'Données projet'!$B$62,AI106+AH107-AQ106)))</f>
        <v>300.29999999999956</v>
      </c>
      <c r="AJ107" s="14">
        <f>AI107*VLOOKUP('Données projet'!$B$10,Paramètres!$A$1:$I$89,3,0)*VLOOKUP('Données projet'!$B$10,Paramètres!$A$1:$I$89,5,0)</f>
        <v>252.97271999999967</v>
      </c>
      <c r="AK107" s="14">
        <f t="shared" si="89"/>
        <v>61.222065503057884</v>
      </c>
      <c r="AL107" s="22">
        <f t="shared" si="58"/>
        <v>547.22258475115848</v>
      </c>
      <c r="AM107" s="62">
        <f t="shared" si="59"/>
        <v>840.55591808449185</v>
      </c>
      <c r="AN107" s="62">
        <f ca="1">AVERAGE(OFFSET($AM$3,0,0,'Données projet'!$E$10+1,1))-AVERAGE(OFFSET($H$3,0,0,'Données projet'!$E$10+1,1))</f>
        <v>237.45928008030023</v>
      </c>
      <c r="AO107" s="62">
        <f t="shared" si="90"/>
        <v>126.78839015508379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3.4106051316484809E-13</v>
      </c>
      <c r="BE107" s="14">
        <f>BD107*VLOOKUP('Données projet'!$B$11,Paramètres!$A$1:$I$89,3,0)*VLOOKUP('Données projet'!$B$11,Paramètres!$A$1:$I$89,5,0)</f>
        <v>2.7134774427395314E-13</v>
      </c>
      <c r="BF107" s="14">
        <f t="shared" si="91"/>
        <v>3.6292411711343559E-12</v>
      </c>
      <c r="BG107" s="22">
        <f t="shared" si="61"/>
        <v>6.7935256943361388E-12</v>
      </c>
      <c r="BH107" s="62">
        <f t="shared" si="62"/>
        <v>293.33333333334014</v>
      </c>
      <c r="BI107" s="62">
        <f ca="1">AVERAGE(OFFSET($BH$3,0,0,'Données projet'!$E$11+1,1))-AVERAGE(OFFSET($H$3,0,0,'Données projet'!$E$11+1,1))</f>
        <v>210.55867376929405</v>
      </c>
      <c r="BJ107" s="62">
        <f t="shared" si="92"/>
        <v>249.73837672556022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83.537999999999855</v>
      </c>
      <c r="D108" s="12">
        <f t="shared" si="86"/>
        <v>23.000052759134608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822.39900375472223</v>
      </c>
      <c r="H108" s="70">
        <f t="shared" si="56"/>
        <v>478.88710855549249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8.0000000000012506E-2</v>
      </c>
      <c r="O108" s="14">
        <f>N108*VLOOKUP('Données projet'!$B$9,Paramètres!$A$1:$I$89,3,0)*VLOOKUP('Données projet'!$B$9,Paramètres!$A$1:$I$89,5,0)</f>
        <v>4.0684800000006363E-2</v>
      </c>
      <c r="P108" s="14">
        <f t="shared" si="87"/>
        <v>2.7217381697540451E-2</v>
      </c>
      <c r="Q108" s="22">
        <f t="shared" si="107"/>
        <v>0.11826296645656069</v>
      </c>
      <c r="R108" s="62">
        <f t="shared" si="55"/>
        <v>293.45159629978986</v>
      </c>
      <c r="S108" s="62">
        <f ca="1">AVERAGE(OFFSET($R$3,0,0,'Données projet'!$E$9+1,1))-AVERAGE(OFFSET($H$3,0,0,'Données projet'!$E$9+1,1))</f>
        <v>57.778110971082867</v>
      </c>
      <c r="T108" s="62">
        <f t="shared" si="88"/>
        <v>144.26475989880868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7.2804190291492779</v>
      </c>
      <c r="AA108" s="23">
        <f>EXP(-LN(2)/25)*AA107+(1-EXP(-LN(2)/25))/(LN(2)/25)*Calculateur!V108*Calculateur!X108*VLOOKUP('Données projet'!$B$9,Paramètres!$A$1:$I$89,3,0)*0.475*44/12</f>
        <v>0.52003808900422166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7.8004571181534992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IF('Données projet'!$A$62&gt;35,AI107+AH108-AQ107,IF(A108&lt;'Données projet'!$A$62,$AF$205^A108,IF(A108='Données projet'!$A$62,'Données projet'!$B$62,AI107+AH108-AQ107)))</f>
        <v>304.99999999999955</v>
      </c>
      <c r="AJ108" s="14">
        <f>AI108*VLOOKUP('Données projet'!$B$10,Paramètres!$A$1:$I$89,3,0)*VLOOKUP('Données projet'!$B$10,Paramètres!$A$1:$I$89,5,0)</f>
        <v>256.93199999999962</v>
      </c>
      <c r="AK108" s="14">
        <f t="shared" si="89"/>
        <v>62.0679532293465</v>
      </c>
      <c r="AL108" s="22">
        <f t="shared" si="58"/>
        <v>555.59158520777794</v>
      </c>
      <c r="AM108" s="62">
        <f t="shared" si="59"/>
        <v>848.92491854111131</v>
      </c>
      <c r="AN108" s="62">
        <f ca="1">AVERAGE(OFFSET($AM$3,0,0,'Données projet'!$E$10+1,1))-AVERAGE(OFFSET($H$3,0,0,'Données projet'!$E$10+1,1))</f>
        <v>237.45928008030023</v>
      </c>
      <c r="AO108" s="62">
        <f t="shared" si="90"/>
        <v>126.78839015508379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3.4106051316484809E-13</v>
      </c>
      <c r="BE108" s="14">
        <f>BD108*VLOOKUP('Données projet'!$B$11,Paramètres!$A$1:$I$89,3,0)*VLOOKUP('Données projet'!$B$11,Paramètres!$A$1:$I$89,5,0)</f>
        <v>2.7134774427395314E-13</v>
      </c>
      <c r="BF108" s="14">
        <f t="shared" si="91"/>
        <v>3.6292411711343559E-12</v>
      </c>
      <c r="BG108" s="22">
        <f t="shared" si="61"/>
        <v>6.7935256943361388E-12</v>
      </c>
      <c r="BH108" s="62">
        <f t="shared" si="62"/>
        <v>293.33333333334014</v>
      </c>
      <c r="BI108" s="62">
        <f ca="1">AVERAGE(OFFSET($BH$3,0,0,'Données projet'!$E$11+1,1))-AVERAGE(OFFSET($H$3,0,0,'Données projet'!$E$11+1,1))</f>
        <v>210.55867376929405</v>
      </c>
      <c r="BJ108" s="62">
        <f t="shared" si="92"/>
        <v>249.73837672556022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84.333599999999848</v>
      </c>
      <c r="D109" s="12">
        <f t="shared" si="86"/>
        <v>23.1934967751139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830.03372949210609</v>
      </c>
      <c r="H109" s="70">
        <f t="shared" si="56"/>
        <v>480.60969354998974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8.0000000000012506E-2</v>
      </c>
      <c r="O109" s="14">
        <f>N109*VLOOKUP('Données projet'!$B$9,Paramètres!$A$1:$I$89,3,0)*VLOOKUP('Données projet'!$B$9,Paramètres!$A$1:$I$89,5,0)</f>
        <v>4.0684800000006363E-2</v>
      </c>
      <c r="P109" s="14">
        <f t="shared" si="87"/>
        <v>2.7217381697540451E-2</v>
      </c>
      <c r="Q109" s="22">
        <f t="shared" si="107"/>
        <v>0.11826296645656069</v>
      </c>
      <c r="R109" s="62">
        <f t="shared" si="55"/>
        <v>293.45159629978986</v>
      </c>
      <c r="S109" s="62">
        <f ca="1">AVERAGE(OFFSET($R$3,0,0,'Données projet'!$E$9+1,1))-AVERAGE(OFFSET($H$3,0,0,'Données projet'!$E$9+1,1))</f>
        <v>57.778110971082867</v>
      </c>
      <c r="T109" s="62">
        <f t="shared" si="88"/>
        <v>144.26475989880868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7.137654452604794</v>
      </c>
      <c r="AA109" s="23">
        <f>EXP(-LN(2)/25)*AA108+(1-EXP(-LN(2)/25))/(LN(2)/25)*Calculateur!V109*Calculateur!X109*VLOOKUP('Données projet'!$B$9,Paramètres!$A$1:$I$89,3,0)*0.475*44/12</f>
        <v>0.50581762011278664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7.6434720727175804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267.99999999999955</v>
      </c>
      <c r="AJ109" s="14">
        <f>AI109*VLOOKUP('Données projet'!$B$10,Paramètres!$A$1:$I$89,3,0)*VLOOKUP('Données projet'!$B$10,Paramètres!$A$1:$I$89,5,0)</f>
        <v>225.76319999999964</v>
      </c>
      <c r="AK109" s="14">
        <f t="shared" si="89"/>
        <v>55.365597375021302</v>
      </c>
      <c r="AL109" s="22">
        <f t="shared" si="58"/>
        <v>489.63265542816151</v>
      </c>
      <c r="AM109" s="62">
        <f t="shared" si="59"/>
        <v>782.96598876149483</v>
      </c>
      <c r="AN109" s="62">
        <f ca="1">AVERAGE(OFFSET($AM$3,0,0,'Données projet'!$E$10+1,1))-AVERAGE(OFFSET($H$3,0,0,'Données projet'!$E$10+1,1))</f>
        <v>237.45928008030023</v>
      </c>
      <c r="AO109" s="62">
        <f t="shared" si="90"/>
        <v>126.78839015508379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2.7134774427395314E-13</v>
      </c>
      <c r="BF109" s="14">
        <f t="shared" si="91"/>
        <v>3.6292411711343559E-12</v>
      </c>
      <c r="BG109" s="22">
        <f t="shared" si="61"/>
        <v>6.7935256943361388E-12</v>
      </c>
      <c r="BH109" s="62">
        <f t="shared" si="62"/>
        <v>293.33333333334014</v>
      </c>
      <c r="BI109" s="62">
        <f ca="1">AVERAGE(OFFSET($BH$3,0,0,'Données projet'!$E$11+1,1))-AVERAGE(OFFSET($H$3,0,0,'Données projet'!$E$11+1,1))</f>
        <v>210.55867376929405</v>
      </c>
      <c r="BJ109" s="62">
        <f t="shared" si="92"/>
        <v>249.73837672556022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85.129199999999841</v>
      </c>
      <c r="D110" s="12">
        <f t="shared" si="86"/>
        <v>23.386728480923349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837.66681634396855</v>
      </c>
      <c r="H110" s="70">
        <f t="shared" si="56"/>
        <v>482.3319087709412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8.0000000000012506E-2</v>
      </c>
      <c r="O110" s="14">
        <f>N110*VLOOKUP('Données projet'!$B$9,Paramètres!$A$1:$I$89,3,0)*VLOOKUP('Données projet'!$B$9,Paramètres!$A$1:$I$89,5,0)</f>
        <v>4.0684800000006363E-2</v>
      </c>
      <c r="P110" s="14">
        <f t="shared" si="87"/>
        <v>2.7217381697540451E-2</v>
      </c>
      <c r="Q110" s="22">
        <f t="shared" si="107"/>
        <v>0.11826296645656069</v>
      </c>
      <c r="R110" s="62">
        <f t="shared" si="55"/>
        <v>293.45159629978986</v>
      </c>
      <c r="S110" s="62">
        <f ca="1">AVERAGE(OFFSET($R$3,0,0,'Données projet'!$E$9+1,1))-AVERAGE(OFFSET($H$3,0,0,'Données projet'!$E$9+1,1))</f>
        <v>57.778110971082867</v>
      </c>
      <c r="T110" s="62">
        <f t="shared" si="88"/>
        <v>144.26475989880868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6.9976894023285539</v>
      </c>
      <c r="AA110" s="23">
        <f>EXP(-LN(2)/25)*AA109+(1-EXP(-LN(2)/25))/(LN(2)/25)*Calculateur!V110*Calculateur!X110*VLOOKUP('Données projet'!$B$9,Paramètres!$A$1:$I$89,3,0)*0.475*44/12</f>
        <v>0.49198601069100989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7.4896754130195635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271.99999999999955</v>
      </c>
      <c r="AJ110" s="14">
        <f>AI110*VLOOKUP('Données projet'!$B$10,Paramètres!$A$1:$I$89,3,0)*VLOOKUP('Données projet'!$B$10,Paramètres!$A$1:$I$89,5,0)</f>
        <v>229.13279999999963</v>
      </c>
      <c r="AK110" s="14">
        <f t="shared" si="89"/>
        <v>56.095131411326832</v>
      </c>
      <c r="AL110" s="22">
        <f t="shared" si="58"/>
        <v>496.7719805413937</v>
      </c>
      <c r="AM110" s="62">
        <f t="shared" si="59"/>
        <v>790.10531387472702</v>
      </c>
      <c r="AN110" s="62">
        <f ca="1">AVERAGE(OFFSET($AM$3,0,0,'Données projet'!$E$10+1,1))-AVERAGE(OFFSET($H$3,0,0,'Données projet'!$E$10+1,1))</f>
        <v>237.45928008030023</v>
      </c>
      <c r="AO110" s="62">
        <f t="shared" si="90"/>
        <v>126.78839015508379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2.7134774427395314E-13</v>
      </c>
      <c r="BF110" s="14">
        <f t="shared" si="91"/>
        <v>3.6292411711343559E-12</v>
      </c>
      <c r="BG110" s="22">
        <f t="shared" si="61"/>
        <v>6.7935256943361388E-12</v>
      </c>
      <c r="BH110" s="62">
        <f t="shared" si="62"/>
        <v>293.33333333334014</v>
      </c>
      <c r="BI110" s="62">
        <f ca="1">AVERAGE(OFFSET($BH$3,0,0,'Données projet'!$E$11+1,1))-AVERAGE(OFFSET($H$3,0,0,'Données projet'!$E$11+1,1))</f>
        <v>210.55867376929405</v>
      </c>
      <c r="BJ110" s="62">
        <f t="shared" si="92"/>
        <v>249.73837672556022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85.924799999999834</v>
      </c>
      <c r="D111" s="12">
        <f t="shared" si="86"/>
        <v>23.579750090592139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845.29828140106076</v>
      </c>
      <c r="H111" s="70">
        <f t="shared" si="56"/>
        <v>484.05375807444767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8.0000000000012506E-2</v>
      </c>
      <c r="O111" s="14">
        <f>N111*VLOOKUP('Données projet'!$B$9,Paramètres!$A$1:$I$89,3,0)*VLOOKUP('Données projet'!$B$9,Paramètres!$A$1:$I$89,5,0)</f>
        <v>4.0684800000006363E-2</v>
      </c>
      <c r="P111" s="14">
        <f t="shared" si="87"/>
        <v>2.7217381697540451E-2</v>
      </c>
      <c r="Q111" s="22">
        <f t="shared" si="107"/>
        <v>0.11826296645656069</v>
      </c>
      <c r="R111" s="62">
        <f t="shared" si="55"/>
        <v>293.45159629978986</v>
      </c>
      <c r="S111" s="62">
        <f ca="1">AVERAGE(OFFSET($R$3,0,0,'Données projet'!$E$9+1,1))-AVERAGE(OFFSET($H$3,0,0,'Données projet'!$E$9+1,1))</f>
        <v>57.778110971082867</v>
      </c>
      <c r="T111" s="62">
        <f t="shared" si="88"/>
        <v>144.26475989880868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6.8604689813179798</v>
      </c>
      <c r="AA111" s="23">
        <f>EXP(-LN(2)/25)*AA110+(1-EXP(-LN(2)/25))/(LN(2)/25)*Calculateur!V111*Calculateur!X111*VLOOKUP('Données projet'!$B$9,Paramètres!$A$1:$I$89,3,0)*0.475*44/12</f>
        <v>0.47853262735624436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7.3390016086742245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275.99999999999955</v>
      </c>
      <c r="AJ111" s="14">
        <f>AI111*VLOOKUP('Données projet'!$B$10,Paramètres!$A$1:$I$89,3,0)*VLOOKUP('Données projet'!$B$10,Paramètres!$A$1:$I$89,5,0)</f>
        <v>232.50239999999965</v>
      </c>
      <c r="AK111" s="14">
        <f t="shared" si="89"/>
        <v>56.823417677671891</v>
      </c>
      <c r="AL111" s="22">
        <f t="shared" si="58"/>
        <v>503.90913245527787</v>
      </c>
      <c r="AM111" s="62">
        <f t="shared" si="59"/>
        <v>797.24246578861118</v>
      </c>
      <c r="AN111" s="62">
        <f ca="1">AVERAGE(OFFSET($AM$3,0,0,'Données projet'!$E$10+1,1))-AVERAGE(OFFSET($H$3,0,0,'Données projet'!$E$10+1,1))</f>
        <v>237.45928008030023</v>
      </c>
      <c r="AO111" s="62">
        <f t="shared" si="90"/>
        <v>126.78839015508379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2.7134774427395314E-13</v>
      </c>
      <c r="BF111" s="14">
        <f t="shared" si="91"/>
        <v>3.6292411711343559E-12</v>
      </c>
      <c r="BG111" s="22">
        <f t="shared" si="61"/>
        <v>6.7935256943361388E-12</v>
      </c>
      <c r="BH111" s="62">
        <f t="shared" si="62"/>
        <v>293.33333333334014</v>
      </c>
      <c r="BI111" s="62">
        <f ca="1">AVERAGE(OFFSET($BH$3,0,0,'Données projet'!$E$11+1,1))-AVERAGE(OFFSET($H$3,0,0,'Données projet'!$E$11+1,1))</f>
        <v>210.55867376929405</v>
      </c>
      <c r="BJ111" s="62">
        <f t="shared" si="92"/>
        <v>249.73837672556022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86.720399999999827</v>
      </c>
      <c r="D112" s="12">
        <f t="shared" si="86"/>
        <v>23.772563774784253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852.92814141938595</v>
      </c>
      <c r="H112" s="70">
        <f t="shared" si="56"/>
        <v>485.77524524108225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8.0000000000012506E-2</v>
      </c>
      <c r="O112" s="14">
        <f>N112*VLOOKUP('Données projet'!$B$9,Paramètres!$A$1:$I$89,3,0)*VLOOKUP('Données projet'!$B$9,Paramètres!$A$1:$I$89,5,0)</f>
        <v>4.0684800000006363E-2</v>
      </c>
      <c r="P112" s="14">
        <f t="shared" si="87"/>
        <v>2.7217381697540451E-2</v>
      </c>
      <c r="Q112" s="22">
        <f t="shared" si="107"/>
        <v>0.11826296645656069</v>
      </c>
      <c r="R112" s="62">
        <f t="shared" si="55"/>
        <v>293.45159629978986</v>
      </c>
      <c r="S112" s="62">
        <f ca="1">AVERAGE(OFFSET($R$3,0,0,'Données projet'!$E$9+1,1))-AVERAGE(OFFSET($H$3,0,0,'Données projet'!$E$9+1,1))</f>
        <v>57.778110971082867</v>
      </c>
      <c r="T112" s="62">
        <f t="shared" si="88"/>
        <v>144.26475989880868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6.7259393690672304</v>
      </c>
      <c r="AA112" s="23">
        <f>EXP(-LN(2)/25)*AA111+(1-EXP(-LN(2)/25))/(LN(2)/25)*Calculateur!V112*Calculateur!X112*VLOOKUP('Données projet'!$B$9,Paramètres!$A$1:$I$89,3,0)*0.475*44/12</f>
        <v>0.46544712749625067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7.1913864965634815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279.99999999999955</v>
      </c>
      <c r="AJ112" s="14">
        <f>AI112*VLOOKUP('Données projet'!$B$10,Paramètres!$A$1:$I$89,3,0)*VLOOKUP('Données projet'!$B$10,Paramètres!$A$1:$I$89,5,0)</f>
        <v>235.87199999999964</v>
      </c>
      <c r="AK112" s="14">
        <f t="shared" si="89"/>
        <v>57.55047634701517</v>
      </c>
      <c r="AL112" s="22">
        <f t="shared" si="58"/>
        <v>511.04414630438413</v>
      </c>
      <c r="AM112" s="62">
        <f t="shared" si="59"/>
        <v>804.37747963771744</v>
      </c>
      <c r="AN112" s="62">
        <f ca="1">AVERAGE(OFFSET($AM$3,0,0,'Données projet'!$E$10+1,1))-AVERAGE(OFFSET($H$3,0,0,'Données projet'!$E$10+1,1))</f>
        <v>237.45928008030023</v>
      </c>
      <c r="AO112" s="62">
        <f t="shared" si="90"/>
        <v>126.78839015508379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2.7134774427395314E-13</v>
      </c>
      <c r="BF112" s="14">
        <f t="shared" si="91"/>
        <v>3.6292411711343559E-12</v>
      </c>
      <c r="BG112" s="22">
        <f t="shared" si="61"/>
        <v>6.7935256943361388E-12</v>
      </c>
      <c r="BH112" s="62">
        <f t="shared" si="62"/>
        <v>293.33333333334014</v>
      </c>
      <c r="BI112" s="62">
        <f ca="1">AVERAGE(OFFSET($BH$3,0,0,'Données projet'!$E$11+1,1))-AVERAGE(OFFSET($H$3,0,0,'Données projet'!$E$11+1,1))</f>
        <v>210.55867376929405</v>
      </c>
      <c r="BJ112" s="62">
        <f t="shared" si="92"/>
        <v>249.73837672556022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87.515999999999821</v>
      </c>
      <c r="D113" s="12">
        <f t="shared" si="86"/>
        <v>23.965171662037612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860.55641282976273</v>
      </c>
      <c r="H113" s="70">
        <f t="shared" si="56"/>
        <v>487.4963739780485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8.0000000000012506E-2</v>
      </c>
      <c r="O113" s="14">
        <f>N113*VLOOKUP('Données projet'!$B$9,Paramètres!$A$1:$I$89,3,0)*VLOOKUP('Données projet'!$B$9,Paramètres!$A$1:$I$89,5,0)</f>
        <v>4.0684800000006363E-2</v>
      </c>
      <c r="P113" s="14">
        <f t="shared" si="87"/>
        <v>2.7217381697540451E-2</v>
      </c>
      <c r="Q113" s="22">
        <f t="shared" si="107"/>
        <v>0.11826296645656069</v>
      </c>
      <c r="R113" s="62">
        <f t="shared" si="55"/>
        <v>293.45159629978986</v>
      </c>
      <c r="S113" s="62">
        <f ca="1">AVERAGE(OFFSET($R$3,0,0,'Données projet'!$E$9+1,1))-AVERAGE(OFFSET($H$3,0,0,'Données projet'!$E$9+1,1))</f>
        <v>57.778110971082867</v>
      </c>
      <c r="T113" s="62">
        <f t="shared" si="88"/>
        <v>144.26475989880868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6.5940478004577567</v>
      </c>
      <c r="AA113" s="23">
        <f>EXP(-LN(2)/25)*AA112+(1-EXP(-LN(2)/25))/(LN(2)/25)*Calculateur!V113*Calculateur!X113*VLOOKUP('Données projet'!$B$9,Paramètres!$A$1:$I$89,3,0)*0.475*44/12</f>
        <v>0.45271945131806507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7.0467672517758215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283.99999999999955</v>
      </c>
      <c r="AJ113" s="14">
        <f>AI113*VLOOKUP('Données projet'!$B$10,Paramètres!$A$1:$I$89,3,0)*VLOOKUP('Données projet'!$B$10,Paramètres!$A$1:$I$89,5,0)</f>
        <v>239.24159999999964</v>
      </c>
      <c r="AK113" s="14">
        <f t="shared" si="89"/>
        <v>58.276326982845781</v>
      </c>
      <c r="AL113" s="22">
        <f t="shared" si="58"/>
        <v>518.1770561617891</v>
      </c>
      <c r="AM113" s="62">
        <f t="shared" si="59"/>
        <v>811.51038949512235</v>
      </c>
      <c r="AN113" s="62">
        <f ca="1">AVERAGE(OFFSET($AM$3,0,0,'Données projet'!$E$10+1,1))-AVERAGE(OFFSET($H$3,0,0,'Données projet'!$E$10+1,1))</f>
        <v>237.45928008030023</v>
      </c>
      <c r="AO113" s="62">
        <f t="shared" si="90"/>
        <v>126.78839015508379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2.7134774427395314E-13</v>
      </c>
      <c r="BF113" s="14">
        <f t="shared" si="91"/>
        <v>3.6292411711343559E-12</v>
      </c>
      <c r="BG113" s="22">
        <f t="shared" si="61"/>
        <v>6.7935256943361388E-12</v>
      </c>
      <c r="BH113" s="62">
        <f t="shared" si="62"/>
        <v>293.33333333334014</v>
      </c>
      <c r="BI113" s="62">
        <f ca="1">AVERAGE(OFFSET($BH$3,0,0,'Données projet'!$E$11+1,1))-AVERAGE(OFFSET($H$3,0,0,'Données projet'!$E$11+1,1))</f>
        <v>210.55867376929405</v>
      </c>
      <c r="BJ113" s="62">
        <f t="shared" si="92"/>
        <v>249.73837672556022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88.311599999999814</v>
      </c>
      <c r="D114" s="12">
        <f t="shared" si="86"/>
        <v>24.157575839957133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868.18311174703604</v>
      </c>
      <c r="H114" s="70">
        <f t="shared" si="56"/>
        <v>489.21714792125834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8.0000000000012506E-2</v>
      </c>
      <c r="O114" s="14">
        <f>N114*VLOOKUP('Données projet'!$B$9,Paramètres!$A$1:$I$89,3,0)*VLOOKUP('Données projet'!$B$9,Paramètres!$A$1:$I$89,5,0)</f>
        <v>4.0684800000006363E-2</v>
      </c>
      <c r="P114" s="14">
        <f t="shared" si="87"/>
        <v>2.7217381697540451E-2</v>
      </c>
      <c r="Q114" s="22">
        <f t="shared" si="107"/>
        <v>0.11826296645656069</v>
      </c>
      <c r="R114" s="62">
        <f t="shared" si="55"/>
        <v>293.45159629978986</v>
      </c>
      <c r="S114" s="62">
        <f ca="1">AVERAGE(OFFSET($R$3,0,0,'Données projet'!$E$9+1,1))-AVERAGE(OFFSET($H$3,0,0,'Données projet'!$E$9+1,1))</f>
        <v>57.778110971082867</v>
      </c>
      <c r="T114" s="62">
        <f t="shared" si="88"/>
        <v>144.26475989880868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6.4647425450628013</v>
      </c>
      <c r="AA114" s="23">
        <f>EXP(-LN(2)/25)*AA113+(1-EXP(-LN(2)/25))/(LN(2)/25)*Calculateur!V114*Calculateur!X114*VLOOKUP('Données projet'!$B$9,Paramètres!$A$1:$I$89,3,0)*0.475*44/12</f>
        <v>0.44033981411429135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6.9050823591770927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IF('Données projet'!$A$62&gt;35,AI113+AH114-AQ113,IF(A114&lt;'Données projet'!$A$62,$AF$205^A114,IF(A114='Données projet'!$A$62,'Données projet'!$B$62,AI113+AH114-AQ113)))</f>
        <v>287.99999999999955</v>
      </c>
      <c r="AJ114" s="14">
        <f>AI114*VLOOKUP('Données projet'!$B$10,Paramètres!$A$1:$I$89,3,0)*VLOOKUP('Données projet'!$B$10,Paramètres!$A$1:$I$89,5,0)</f>
        <v>242.61119999999963</v>
      </c>
      <c r="AK114" s="14">
        <f t="shared" si="89"/>
        <v>59.00098856591547</v>
      </c>
      <c r="AL114" s="22">
        <f t="shared" si="58"/>
        <v>525.30789508563555</v>
      </c>
      <c r="AM114" s="62">
        <f t="shared" si="59"/>
        <v>818.64122841896892</v>
      </c>
      <c r="AN114" s="62">
        <f ca="1">AVERAGE(OFFSET($AM$3,0,0,'Données projet'!$E$10+1,1))-AVERAGE(OFFSET($H$3,0,0,'Données projet'!$E$10+1,1))</f>
        <v>237.45928008030023</v>
      </c>
      <c r="AO114" s="62">
        <f t="shared" si="90"/>
        <v>126.78839015508379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2.7134774427395314E-13</v>
      </c>
      <c r="BF114" s="14">
        <f t="shared" si="91"/>
        <v>3.6292411711343559E-12</v>
      </c>
      <c r="BG114" s="22">
        <f t="shared" si="61"/>
        <v>6.7935256943361388E-12</v>
      </c>
      <c r="BH114" s="62">
        <f t="shared" si="62"/>
        <v>293.33333333334014</v>
      </c>
      <c r="BI114" s="62">
        <f ca="1">AVERAGE(OFFSET($BH$3,0,0,'Données projet'!$E$11+1,1))-AVERAGE(OFFSET($H$3,0,0,'Données projet'!$E$11+1,1))</f>
        <v>210.55867376929405</v>
      </c>
      <c r="BJ114" s="62">
        <f t="shared" si="92"/>
        <v>249.73837672556022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89.107199999999807</v>
      </c>
      <c r="D115" s="12">
        <f t="shared" si="86"/>
        <v>24.349778356363299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875.8082539789433</v>
      </c>
      <c r="H115" s="70">
        <f t="shared" si="56"/>
        <v>490.93757063733239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8.0000000000012506E-2</v>
      </c>
      <c r="O115" s="14">
        <f>N115*VLOOKUP('Données projet'!$B$9,Paramètres!$A$1:$I$89,3,0)*VLOOKUP('Données projet'!$B$9,Paramètres!$A$1:$I$89,5,0)</f>
        <v>4.0684800000006363E-2</v>
      </c>
      <c r="P115" s="14">
        <f t="shared" si="87"/>
        <v>2.7217381697540451E-2</v>
      </c>
      <c r="Q115" s="22">
        <f t="shared" si="107"/>
        <v>0.11826296645656069</v>
      </c>
      <c r="R115" s="62">
        <f t="shared" si="55"/>
        <v>293.45159629978986</v>
      </c>
      <c r="S115" s="62">
        <f ca="1">AVERAGE(OFFSET($R$3,0,0,'Données projet'!$E$9+1,1))-AVERAGE(OFFSET($H$3,0,0,'Données projet'!$E$9+1,1))</f>
        <v>57.778110971082867</v>
      </c>
      <c r="T115" s="62">
        <f t="shared" si="88"/>
        <v>144.26475989880868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6.337972886857723</v>
      </c>
      <c r="AA115" s="23">
        <f>EXP(-LN(2)/25)*AA114+(1-EXP(-LN(2)/25))/(LN(2)/25)*Calculateur!V115*Calculateur!X115*VLOOKUP('Données projet'!$B$9,Paramètres!$A$1:$I$89,3,0)*0.475*44/12</f>
        <v>0.42829869874087162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6.7662715855985942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IF('Données projet'!$A$62&gt;35,AI114+AH115-AQ114,IF(A115&lt;'Données projet'!$A$62,$AF$205^A115,IF(A115='Données projet'!$A$62,'Données projet'!$B$62,AI114+AH115-AQ114)))</f>
        <v>291.99999999999955</v>
      </c>
      <c r="AJ115" s="14">
        <f>AI115*VLOOKUP('Données projet'!$B$10,Paramètres!$A$1:$I$89,3,0)*VLOOKUP('Données projet'!$B$10,Paramètres!$A$1:$I$89,5,0)</f>
        <v>245.98079999999962</v>
      </c>
      <c r="AK115" s="14">
        <f t="shared" si="89"/>
        <v>59.724479519444756</v>
      </c>
      <c r="AL115" s="22">
        <f t="shared" si="58"/>
        <v>532.43669516303237</v>
      </c>
      <c r="AM115" s="62">
        <f t="shared" si="59"/>
        <v>825.77002849636574</v>
      </c>
      <c r="AN115" s="62">
        <f ca="1">AVERAGE(OFFSET($AM$3,0,0,'Données projet'!$E$10+1,1))-AVERAGE(OFFSET($H$3,0,0,'Données projet'!$E$10+1,1))</f>
        <v>237.45928008030023</v>
      </c>
      <c r="AO115" s="62">
        <f t="shared" si="90"/>
        <v>126.78839015508379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2.7134774427395314E-13</v>
      </c>
      <c r="BF115" s="14">
        <f t="shared" si="91"/>
        <v>3.6292411711343559E-12</v>
      </c>
      <c r="BG115" s="22">
        <f t="shared" si="61"/>
        <v>6.7935256943361388E-12</v>
      </c>
      <c r="BH115" s="62">
        <f t="shared" si="62"/>
        <v>293.33333333334014</v>
      </c>
      <c r="BI115" s="62">
        <f ca="1">AVERAGE(OFFSET($BH$3,0,0,'Données projet'!$E$11+1,1))-AVERAGE(OFFSET($H$3,0,0,'Données projet'!$E$11+1,1))</f>
        <v>210.55867376929405</v>
      </c>
      <c r="BJ115" s="62">
        <f t="shared" si="92"/>
        <v>249.73837672556022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89.9027999999998</v>
      </c>
      <c r="D116" s="12">
        <f t="shared" si="86"/>
        <v>24.541781220398697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883.43185503465509</v>
      </c>
      <c r="H116" s="70">
        <f t="shared" si="56"/>
        <v>492.65764562552738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8.0000000000012506E-2</v>
      </c>
      <c r="O116" s="14">
        <f>N116*VLOOKUP('Données projet'!$B$9,Paramètres!$A$1:$I$89,3,0)*VLOOKUP('Données projet'!$B$9,Paramètres!$A$1:$I$89,5,0)</f>
        <v>4.0684800000006363E-2</v>
      </c>
      <c r="P116" s="14">
        <f t="shared" si="87"/>
        <v>2.7217381697540451E-2</v>
      </c>
      <c r="Q116" s="22">
        <f t="shared" si="107"/>
        <v>0.11826296645656069</v>
      </c>
      <c r="R116" s="62">
        <f t="shared" si="55"/>
        <v>293.45159629978986</v>
      </c>
      <c r="S116" s="62">
        <f ca="1">AVERAGE(OFFSET($R$3,0,0,'Données projet'!$E$9+1,1))-AVERAGE(OFFSET($H$3,0,0,'Données projet'!$E$9+1,1))</f>
        <v>57.778110971082867</v>
      </c>
      <c r="T116" s="62">
        <f t="shared" si="88"/>
        <v>144.26475989880868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6.2136891043281901</v>
      </c>
      <c r="AA116" s="23">
        <f>EXP(-LN(2)/25)*AA115+(1-EXP(-LN(2)/25))/(LN(2)/25)*Calculateur!V116*Calculateur!X116*VLOOKUP('Données projet'!$B$9,Paramètres!$A$1:$I$89,3,0)*0.475*44/12</f>
        <v>0.41658684830055281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6.6302759526287431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IF('Données projet'!$A$62&gt;35,AI115+AH116-AQ115,IF(A116&lt;'Données projet'!$A$62,$AF$205^A116,IF(A116='Données projet'!$A$62,'Données projet'!$B$62,AI115+AH116-AQ115)))</f>
        <v>295.99999999999955</v>
      </c>
      <c r="AJ116" s="14">
        <f>AI116*VLOOKUP('Données projet'!$B$10,Paramètres!$A$1:$I$89,3,0)*VLOOKUP('Données projet'!$B$10,Paramètres!$A$1:$I$89,5,0)</f>
        <v>249.35039999999967</v>
      </c>
      <c r="AK116" s="14">
        <f t="shared" si="89"/>
        <v>60.446817732908109</v>
      </c>
      <c r="AL116" s="22">
        <f t="shared" si="58"/>
        <v>539.56348755148099</v>
      </c>
      <c r="AM116" s="62">
        <f t="shared" si="59"/>
        <v>832.89682088481436</v>
      </c>
      <c r="AN116" s="62">
        <f ca="1">AVERAGE(OFFSET($AM$3,0,0,'Données projet'!$E$10+1,1))-AVERAGE(OFFSET($H$3,0,0,'Données projet'!$E$10+1,1))</f>
        <v>237.45928008030023</v>
      </c>
      <c r="AO116" s="62">
        <f t="shared" si="90"/>
        <v>126.78839015508379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2.7134774427395314E-13</v>
      </c>
      <c r="BF116" s="14">
        <f t="shared" si="91"/>
        <v>3.6292411711343559E-12</v>
      </c>
      <c r="BG116" s="22">
        <f t="shared" si="61"/>
        <v>6.7935256943361388E-12</v>
      </c>
      <c r="BH116" s="62">
        <f t="shared" si="62"/>
        <v>293.33333333334014</v>
      </c>
      <c r="BI116" s="62">
        <f ca="1">AVERAGE(OFFSET($BH$3,0,0,'Données projet'!$E$11+1,1))-AVERAGE(OFFSET($H$3,0,0,'Données projet'!$E$11+1,1))</f>
        <v>210.55867376929405</v>
      </c>
      <c r="BJ116" s="62">
        <f t="shared" si="92"/>
        <v>249.73837672556022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90.698399999999793</v>
      </c>
      <c r="D117" s="12">
        <f t="shared" si="86"/>
        <v>24.733586403594142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891.05393013300591</v>
      </c>
      <c r="H117" s="70">
        <f t="shared" si="56"/>
        <v>494.37737631959271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8.0000000000012506E-2</v>
      </c>
      <c r="O117" s="14">
        <f>N117*VLOOKUP('Données projet'!$B$9,Paramètres!$A$1:$I$89,3,0)*VLOOKUP('Données projet'!$B$9,Paramètres!$A$1:$I$89,5,0)</f>
        <v>4.0684800000006363E-2</v>
      </c>
      <c r="P117" s="14">
        <f t="shared" si="87"/>
        <v>2.7217381697540451E-2</v>
      </c>
      <c r="Q117" s="22">
        <f t="shared" si="107"/>
        <v>0.11826296645656069</v>
      </c>
      <c r="R117" s="62">
        <f t="shared" si="55"/>
        <v>293.45159629978986</v>
      </c>
      <c r="S117" s="62">
        <f ca="1">AVERAGE(OFFSET($R$3,0,0,'Données projet'!$E$9+1,1))-AVERAGE(OFFSET($H$3,0,0,'Données projet'!$E$9+1,1))</f>
        <v>57.778110971082867</v>
      </c>
      <c r="T117" s="62">
        <f t="shared" si="88"/>
        <v>144.26475989880868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6.0918424509684392</v>
      </c>
      <c r="AA117" s="23">
        <f>EXP(-LN(2)/25)*AA116+(1-EXP(-LN(2)/25))/(LN(2)/25)*Calculateur!V117*Calculateur!X117*VLOOKUP('Données projet'!$B$9,Paramètres!$A$1:$I$89,3,0)*0.475*44/12</f>
        <v>0.40519525902642395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6.4970377099948635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IF('Données projet'!$A$62&gt;35,AI116+AH117-AQ116,IF(A117&lt;'Données projet'!$A$62,$AF$205^A117,IF(A117='Données projet'!$A$62,'Données projet'!$B$62,AI116+AH117-AQ116)))</f>
        <v>299.99999999999955</v>
      </c>
      <c r="AJ117" s="14">
        <f>AI117*VLOOKUP('Données projet'!$B$10,Paramètres!$A$1:$I$89,3,0)*VLOOKUP('Données projet'!$B$10,Paramètres!$A$1:$I$89,5,0)</f>
        <v>252.71999999999966</v>
      </c>
      <c r="AK117" s="14">
        <f t="shared" si="89"/>
        <v>61.168020584496766</v>
      </c>
      <c r="AL117" s="22">
        <f t="shared" si="58"/>
        <v>546.68830251799795</v>
      </c>
      <c r="AM117" s="62">
        <f t="shared" si="59"/>
        <v>840.02163585133121</v>
      </c>
      <c r="AN117" s="62">
        <f ca="1">AVERAGE(OFFSET($AM$3,0,0,'Données projet'!$E$10+1,1))-AVERAGE(OFFSET($H$3,0,0,'Données projet'!$E$10+1,1))</f>
        <v>237.45928008030023</v>
      </c>
      <c r="AO117" s="62">
        <f t="shared" si="90"/>
        <v>126.78839015508379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2.7134774427395314E-13</v>
      </c>
      <c r="BF117" s="14">
        <f t="shared" si="91"/>
        <v>3.6292411711343559E-12</v>
      </c>
      <c r="BG117" s="22">
        <f t="shared" si="61"/>
        <v>6.7935256943361388E-12</v>
      </c>
      <c r="BH117" s="62">
        <f t="shared" si="62"/>
        <v>293.33333333334014</v>
      </c>
      <c r="BI117" s="62">
        <f ca="1">AVERAGE(OFFSET($BH$3,0,0,'Données projet'!$E$11+1,1))-AVERAGE(OFFSET($H$3,0,0,'Données projet'!$E$11+1,1))</f>
        <v>210.55867376929405</v>
      </c>
      <c r="BJ117" s="62">
        <f t="shared" si="92"/>
        <v>249.73837672556022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91.493999999999787</v>
      </c>
      <c r="D118" s="12">
        <f t="shared" si="86"/>
        <v>24.925195840896485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898.67449421042727</v>
      </c>
      <c r="H118" s="70">
        <f t="shared" si="56"/>
        <v>496.09676608956096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8.0000000000012506E-2</v>
      </c>
      <c r="O118" s="14">
        <f>N118*VLOOKUP('Données projet'!$B$9,Paramètres!$A$1:$I$89,3,0)*VLOOKUP('Données projet'!$B$9,Paramètres!$A$1:$I$89,5,0)</f>
        <v>4.0684800000006363E-2</v>
      </c>
      <c r="P118" s="14">
        <f t="shared" si="87"/>
        <v>2.7217381697540451E-2</v>
      </c>
      <c r="Q118" s="22">
        <f t="shared" si="107"/>
        <v>0.11826296645656069</v>
      </c>
      <c r="R118" s="62">
        <f t="shared" si="55"/>
        <v>293.45159629978986</v>
      </c>
      <c r="S118" s="62">
        <f ca="1">AVERAGE(OFFSET($R$3,0,0,'Données projet'!$E$9+1,1))-AVERAGE(OFFSET($H$3,0,0,'Données projet'!$E$9+1,1))</f>
        <v>57.778110971082867</v>
      </c>
      <c r="T118" s="62">
        <f t="shared" si="88"/>
        <v>144.26475989880868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5.9723851361619529</v>
      </c>
      <c r="AA118" s="23">
        <f>EXP(-LN(2)/25)*AA117+(1-EXP(-LN(2)/25))/(LN(2)/25)*Calculateur!V118*Calculateur!X118*VLOOKUP('Données projet'!$B$9,Paramètres!$A$1:$I$89,3,0)*0.475*44/12</f>
        <v>0.39411517336005381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6.3665003095220065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IF('Données projet'!$A$62&gt;35,AI117+AH118-AQ117,IF(A118&lt;'Données projet'!$A$62,$AF$205^A118,IF(A118='Données projet'!$A$62,'Données projet'!$B$62,AI117+AH118-AQ117)))</f>
        <v>303.99999999999955</v>
      </c>
      <c r="AJ118" s="14">
        <f>AI118*VLOOKUP('Données projet'!$B$10,Paramètres!$A$1:$I$89,3,0)*VLOOKUP('Données projet'!$B$10,Paramètres!$A$1:$I$89,5,0)</f>
        <v>256.08959999999962</v>
      </c>
      <c r="AK118" s="14">
        <f t="shared" si="89"/>
        <v>61.888104962349665</v>
      </c>
      <c r="AL118" s="22">
        <f t="shared" si="58"/>
        <v>553.81116947609155</v>
      </c>
      <c r="AM118" s="62">
        <f t="shared" si="59"/>
        <v>847.14450280942492</v>
      </c>
      <c r="AN118" s="62">
        <f ca="1">AVERAGE(OFFSET($AM$3,0,0,'Données projet'!$E$10+1,1))-AVERAGE(OFFSET($H$3,0,0,'Données projet'!$E$10+1,1))</f>
        <v>237.45928008030023</v>
      </c>
      <c r="AO118" s="62">
        <f t="shared" si="90"/>
        <v>126.78839015508379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2.7134774427395314E-13</v>
      </c>
      <c r="BF118" s="14">
        <f t="shared" si="91"/>
        <v>3.6292411711343559E-12</v>
      </c>
      <c r="BG118" s="22">
        <f t="shared" si="61"/>
        <v>6.7935256943361388E-12</v>
      </c>
      <c r="BH118" s="62">
        <f t="shared" si="62"/>
        <v>293.33333333334014</v>
      </c>
      <c r="BI118" s="62">
        <f ca="1">AVERAGE(OFFSET($BH$3,0,0,'Données projet'!$E$11+1,1))-AVERAGE(OFFSET($H$3,0,0,'Données projet'!$E$11+1,1))</f>
        <v>210.55867376929405</v>
      </c>
      <c r="BJ118" s="62">
        <f t="shared" si="92"/>
        <v>249.73837672556022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92.28959999999978</v>
      </c>
      <c r="D119" s="12">
        <f t="shared" si="86"/>
        <v>25.116611431659489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906.29356192859802</v>
      </c>
      <c r="H119" s="70">
        <f t="shared" si="56"/>
        <v>497.81581824347325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8.0000000000012506E-2</v>
      </c>
      <c r="O119" s="14">
        <f>N119*VLOOKUP('Données projet'!$B$9,Paramètres!$A$1:$I$89,3,0)*VLOOKUP('Données projet'!$B$9,Paramètres!$A$1:$I$89,5,0)</f>
        <v>4.0684800000006363E-2</v>
      </c>
      <c r="P119" s="14">
        <f t="shared" si="87"/>
        <v>2.7217381697540451E-2</v>
      </c>
      <c r="Q119" s="22">
        <f t="shared" si="107"/>
        <v>0.11826296645656069</v>
      </c>
      <c r="R119" s="62">
        <f t="shared" si="55"/>
        <v>293.45159629978986</v>
      </c>
      <c r="S119" s="62">
        <f ca="1">AVERAGE(OFFSET($R$3,0,0,'Données projet'!$E$9+1,1))-AVERAGE(OFFSET($H$3,0,0,'Données projet'!$E$9+1,1))</f>
        <v>57.778110971082867</v>
      </c>
      <c r="T119" s="62">
        <f t="shared" si="88"/>
        <v>144.26475989880868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5.8552703064370535</v>
      </c>
      <c r="AA119" s="23">
        <f>EXP(-LN(2)/25)*AA118+(1-EXP(-LN(2)/25))/(LN(2)/25)*Calculateur!V119*Calculateur!X119*VLOOKUP('Données projet'!$B$9,Paramètres!$A$1:$I$89,3,0)*0.475*44/12</f>
        <v>0.38333807321890695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6.2386083796559602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IF('Données projet'!$A$62&gt;35,AI118+AH119-AQ118,IF(A119&lt;'Données projet'!$A$62,$AF$205^A119,IF(A119='Données projet'!$A$62,'Données projet'!$B$62,AI118+AH119-AQ118)))</f>
        <v>270.39999999999952</v>
      </c>
      <c r="AJ119" s="14">
        <f>AI119*VLOOKUP('Données projet'!$B$10,Paramètres!$A$1:$I$89,3,0)*VLOOKUP('Données projet'!$B$10,Paramètres!$A$1:$I$89,5,0)</f>
        <v>227.78495999999964</v>
      </c>
      <c r="AK119" s="14">
        <f t="shared" si="89"/>
        <v>55.803468680001643</v>
      </c>
      <c r="AL119" s="22">
        <f t="shared" si="58"/>
        <v>493.91651328433562</v>
      </c>
      <c r="AM119" s="62">
        <f t="shared" si="59"/>
        <v>787.24984661766894</v>
      </c>
      <c r="AN119" s="62">
        <f ca="1">AVERAGE(OFFSET($AM$3,0,0,'Données projet'!$E$10+1,1))-AVERAGE(OFFSET($H$3,0,0,'Données projet'!$E$10+1,1))</f>
        <v>237.45928008030023</v>
      </c>
      <c r="AO119" s="62">
        <f t="shared" si="90"/>
        <v>126.78839015508379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2.7134774427395314E-13</v>
      </c>
      <c r="BF119" s="14">
        <f t="shared" si="91"/>
        <v>3.6292411711343559E-12</v>
      </c>
      <c r="BG119" s="22">
        <f t="shared" si="61"/>
        <v>6.7935256943361388E-12</v>
      </c>
      <c r="BH119" s="62">
        <f t="shared" si="62"/>
        <v>293.33333333334014</v>
      </c>
      <c r="BI119" s="62">
        <f ca="1">AVERAGE(OFFSET($BH$3,0,0,'Données projet'!$E$11+1,1))-AVERAGE(OFFSET($H$3,0,0,'Données projet'!$E$11+1,1))</f>
        <v>210.55867376929405</v>
      </c>
      <c r="BJ119" s="62">
        <f t="shared" si="92"/>
        <v>249.73837672556022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93.085199999999773</v>
      </c>
      <c r="D120" s="12">
        <f t="shared" si="86"/>
        <v>25.307835040599684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913.91114768182035</v>
      </c>
      <c r="H120" s="70">
        <f t="shared" si="56"/>
        <v>499.53453602904403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8.0000000000012506E-2</v>
      </c>
      <c r="O120" s="14">
        <f>N120*VLOOKUP('Données projet'!$B$9,Paramètres!$A$1:$I$89,3,0)*VLOOKUP('Données projet'!$B$9,Paramètres!$A$1:$I$89,5,0)</f>
        <v>4.0684800000006363E-2</v>
      </c>
      <c r="P120" s="14">
        <f t="shared" si="87"/>
        <v>2.7217381697540451E-2</v>
      </c>
      <c r="Q120" s="22">
        <f t="shared" si="107"/>
        <v>0.11826296645656069</v>
      </c>
      <c r="R120" s="62">
        <f t="shared" si="55"/>
        <v>293.45159629978986</v>
      </c>
      <c r="S120" s="62">
        <f ca="1">AVERAGE(OFFSET($R$3,0,0,'Données projet'!$E$9+1,1))-AVERAGE(OFFSET($H$3,0,0,'Données projet'!$E$9+1,1))</f>
        <v>57.778110971082867</v>
      </c>
      <c r="T120" s="62">
        <f t="shared" si="88"/>
        <v>144.26475989880868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5.7404520270900674</v>
      </c>
      <c r="AA120" s="23">
        <f>EXP(-LN(2)/25)*AA119+(1-EXP(-LN(2)/25))/(LN(2)/25)*Calculateur!V120*Calculateur!X120*VLOOKUP('Données projet'!$B$9,Paramètres!$A$1:$I$89,3,0)*0.475*44/12</f>
        <v>0.3728556734478628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6.1133077005379306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IF('Données projet'!$A$62&gt;35,AI119+AH120-AQ119,IF(A120&lt;'Données projet'!$A$62,$AF$205^A120,IF(A120='Données projet'!$A$62,'Données projet'!$B$62,AI119+AH120-AQ119)))</f>
        <v>273.7999999999995</v>
      </c>
      <c r="AJ120" s="14">
        <f>AI120*VLOOKUP('Données projet'!$B$10,Paramètres!$A$1:$I$89,3,0)*VLOOKUP('Données projet'!$B$10,Paramètres!$A$1:$I$89,5,0)</f>
        <v>230.64911999999961</v>
      </c>
      <c r="AK120" s="14">
        <f t="shared" si="89"/>
        <v>56.423013421666482</v>
      </c>
      <c r="AL120" s="22">
        <f t="shared" si="58"/>
        <v>499.98396570940173</v>
      </c>
      <c r="AM120" s="62">
        <f t="shared" si="59"/>
        <v>793.31729904273504</v>
      </c>
      <c r="AN120" s="62">
        <f ca="1">AVERAGE(OFFSET($AM$3,0,0,'Données projet'!$E$10+1,1))-AVERAGE(OFFSET($H$3,0,0,'Données projet'!$E$10+1,1))</f>
        <v>237.45928008030023</v>
      </c>
      <c r="AO120" s="62">
        <f t="shared" si="90"/>
        <v>126.78839015508379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2.7134774427395314E-13</v>
      </c>
      <c r="BF120" s="14">
        <f t="shared" si="91"/>
        <v>3.6292411711343559E-12</v>
      </c>
      <c r="BG120" s="22">
        <f t="shared" si="61"/>
        <v>6.7935256943361388E-12</v>
      </c>
      <c r="BH120" s="62">
        <f t="shared" si="62"/>
        <v>293.33333333334014</v>
      </c>
      <c r="BI120" s="62">
        <f ca="1">AVERAGE(OFFSET($BH$3,0,0,'Données projet'!$E$11+1,1))-AVERAGE(OFFSET($H$3,0,0,'Données projet'!$E$11+1,1))</f>
        <v>210.55867376929405</v>
      </c>
      <c r="BJ120" s="62">
        <f t="shared" si="92"/>
        <v>249.73837672556022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93.880799999999766</v>
      </c>
      <c r="D121" s="12">
        <f t="shared" si="86"/>
        <v>25.498868498718394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921.52726560414021</v>
      </c>
      <c r="H121" s="70">
        <f t="shared" si="56"/>
        <v>501.25292263526745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8.0000000000012506E-2</v>
      </c>
      <c r="O121" s="14">
        <f>N121*VLOOKUP('Données projet'!$B$9,Paramètres!$A$1:$I$89,3,0)*VLOOKUP('Données projet'!$B$9,Paramètres!$A$1:$I$89,5,0)</f>
        <v>4.0684800000006363E-2</v>
      </c>
      <c r="P121" s="14">
        <f t="shared" si="87"/>
        <v>2.7217381697540451E-2</v>
      </c>
      <c r="Q121" s="22">
        <f t="shared" si="107"/>
        <v>0.11826296645656069</v>
      </c>
      <c r="R121" s="62">
        <f t="shared" si="55"/>
        <v>293.45159629978986</v>
      </c>
      <c r="S121" s="62">
        <f ca="1">AVERAGE(OFFSET($R$3,0,0,'Données projet'!$E$9+1,1))-AVERAGE(OFFSET($H$3,0,0,'Données projet'!$E$9+1,1))</f>
        <v>57.778110971082867</v>
      </c>
      <c r="T121" s="62">
        <f t="shared" si="88"/>
        <v>144.26475989880868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5.6278852641688397</v>
      </c>
      <c r="AA121" s="23">
        <f>EXP(-LN(2)/25)*AA120+(1-EXP(-LN(2)/25))/(LN(2)/25)*Calculateur!V121*Calculateur!X121*VLOOKUP('Données projet'!$B$9,Paramètres!$A$1:$I$89,3,0)*0.475*44/12</f>
        <v>0.36265991544980331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5.9905451796186426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IF('Données projet'!$A$62&gt;35,AI120+AH121-AQ120,IF(A121&lt;'Données projet'!$A$62,$AF$205^A121,IF(A121='Données projet'!$A$62,'Données projet'!$B$62,AI120+AH121-AQ120)))</f>
        <v>277.19999999999948</v>
      </c>
      <c r="AJ121" s="14">
        <f>AI121*VLOOKUP('Données projet'!$B$10,Paramètres!$A$1:$I$89,3,0)*VLOOKUP('Données projet'!$B$10,Paramètres!$A$1:$I$89,5,0)</f>
        <v>233.51327999999958</v>
      </c>
      <c r="AK121" s="14">
        <f t="shared" si="89"/>
        <v>57.041663274479788</v>
      </c>
      <c r="AL121" s="22">
        <f t="shared" si="58"/>
        <v>506.04985953638487</v>
      </c>
      <c r="AM121" s="62">
        <f t="shared" si="59"/>
        <v>799.38319286971819</v>
      </c>
      <c r="AN121" s="62">
        <f ca="1">AVERAGE(OFFSET($AM$3,0,0,'Données projet'!$E$10+1,1))-AVERAGE(OFFSET($H$3,0,0,'Données projet'!$E$10+1,1))</f>
        <v>237.45928008030023</v>
      </c>
      <c r="AO121" s="62">
        <f t="shared" si="90"/>
        <v>126.78839015508379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2.7134774427395314E-13</v>
      </c>
      <c r="BF121" s="14">
        <f t="shared" si="91"/>
        <v>3.6292411711343559E-12</v>
      </c>
      <c r="BG121" s="22">
        <f t="shared" si="61"/>
        <v>6.7935256943361388E-12</v>
      </c>
      <c r="BH121" s="62">
        <f t="shared" si="62"/>
        <v>293.33333333334014</v>
      </c>
      <c r="BI121" s="62">
        <f ca="1">AVERAGE(OFFSET($BH$3,0,0,'Données projet'!$E$11+1,1))-AVERAGE(OFFSET($H$3,0,0,'Données projet'!$E$11+1,1))</f>
        <v>210.55867376929405</v>
      </c>
      <c r="BJ121" s="62">
        <f t="shared" si="92"/>
        <v>249.73837672556022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94.676399999999759</v>
      </c>
      <c r="D122" s="12">
        <f t="shared" si="86"/>
        <v>25.689713604192043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929.14192957621754</v>
      </c>
      <c r="H122" s="70">
        <f t="shared" si="56"/>
        <v>502.97098119396736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8.0000000000012506E-2</v>
      </c>
      <c r="O122" s="14">
        <f>N122*VLOOKUP('Données projet'!$B$9,Paramètres!$A$1:$I$89,3,0)*VLOOKUP('Données projet'!$B$9,Paramètres!$A$1:$I$89,5,0)</f>
        <v>4.0684800000006363E-2</v>
      </c>
      <c r="P122" s="14">
        <f t="shared" si="87"/>
        <v>2.7217381697540451E-2</v>
      </c>
      <c r="Q122" s="22">
        <f t="shared" si="107"/>
        <v>0.11826296645656069</v>
      </c>
      <c r="R122" s="62">
        <f t="shared" si="55"/>
        <v>293.45159629978986</v>
      </c>
      <c r="S122" s="62">
        <f ca="1">AVERAGE(OFFSET($R$3,0,0,'Données projet'!$E$9+1,1))-AVERAGE(OFFSET($H$3,0,0,'Données projet'!$E$9+1,1))</f>
        <v>57.778110971082867</v>
      </c>
      <c r="T122" s="62">
        <f t="shared" si="88"/>
        <v>144.26475989880868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5.5175258668095521</v>
      </c>
      <c r="AA122" s="23">
        <f>EXP(-LN(2)/25)*AA121+(1-EXP(-LN(2)/25))/(LN(2)/25)*Calculateur!V122*Calculateur!X122*VLOOKUP('Données projet'!$B$9,Paramètres!$A$1:$I$89,3,0)*0.475*44/12</f>
        <v>0.35274296099037233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5.8702688277999249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IF('Données projet'!$A$62&gt;35,AI121+AH122-AQ121,IF(A122&lt;'Données projet'!$A$62,$AF$205^A122,IF(A122='Données projet'!$A$62,'Données projet'!$B$62,AI121+AH122-AQ121)))</f>
        <v>280.59999999999945</v>
      </c>
      <c r="AJ122" s="14">
        <f>AI122*VLOOKUP('Données projet'!$B$10,Paramètres!$A$1:$I$89,3,0)*VLOOKUP('Données projet'!$B$10,Paramètres!$A$1:$I$89,5,0)</f>
        <v>236.37743999999955</v>
      </c>
      <c r="AK122" s="14">
        <f t="shared" si="89"/>
        <v>57.659430484223719</v>
      </c>
      <c r="AL122" s="22">
        <f t="shared" si="58"/>
        <v>512.11421609335548</v>
      </c>
      <c r="AM122" s="62">
        <f t="shared" si="59"/>
        <v>805.44754942668874</v>
      </c>
      <c r="AN122" s="62">
        <f ca="1">AVERAGE(OFFSET($AM$3,0,0,'Données projet'!$E$10+1,1))-AVERAGE(OFFSET($H$3,0,0,'Données projet'!$E$10+1,1))</f>
        <v>237.45928008030023</v>
      </c>
      <c r="AO122" s="62">
        <f t="shared" si="90"/>
        <v>126.78839015508379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2.7134774427395314E-13</v>
      </c>
      <c r="BF122" s="14">
        <f t="shared" si="91"/>
        <v>3.6292411711343559E-12</v>
      </c>
      <c r="BG122" s="22">
        <f t="shared" si="61"/>
        <v>6.7935256943361388E-12</v>
      </c>
      <c r="BH122" s="62">
        <f t="shared" si="62"/>
        <v>293.33333333334014</v>
      </c>
      <c r="BI122" s="62">
        <f ca="1">AVERAGE(OFFSET($BH$3,0,0,'Données projet'!$E$11+1,1))-AVERAGE(OFFSET($H$3,0,0,'Données projet'!$E$11+1,1))</f>
        <v>210.55867376929405</v>
      </c>
      <c r="BJ122" s="62">
        <f t="shared" si="92"/>
        <v>249.73837672556022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95.471999999999753</v>
      </c>
      <c r="D123" s="12">
        <f t="shared" si="86"/>
        <v>25.880372123231123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936.75515323195771</v>
      </c>
      <c r="H123" s="70">
        <f t="shared" si="56"/>
        <v>504.68871478129375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8.0000000000012506E-2</v>
      </c>
      <c r="O123" s="14">
        <f>N123*VLOOKUP('Données projet'!$B$9,Paramètres!$A$1:$I$89,3,0)*VLOOKUP('Données projet'!$B$9,Paramètres!$A$1:$I$89,5,0)</f>
        <v>4.0684800000006363E-2</v>
      </c>
      <c r="P123" s="14">
        <f t="shared" si="87"/>
        <v>2.7217381697540451E-2</v>
      </c>
      <c r="Q123" s="22">
        <f t="shared" si="107"/>
        <v>0.11826296645656069</v>
      </c>
      <c r="R123" s="62">
        <f t="shared" si="55"/>
        <v>293.45159629978986</v>
      </c>
      <c r="S123" s="62">
        <f ca="1">AVERAGE(OFFSET($R$3,0,0,'Données projet'!$E$9+1,1))-AVERAGE(OFFSET($H$3,0,0,'Données projet'!$E$9+1,1))</f>
        <v>57.778110971082867</v>
      </c>
      <c r="T123" s="62">
        <f t="shared" si="88"/>
        <v>144.26475989880868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5.4093305499198943</v>
      </c>
      <c r="AA123" s="23">
        <f>EXP(-LN(2)/25)*AA122+(1-EXP(-LN(2)/25))/(LN(2)/25)*Calculateur!V123*Calculateur!X123*VLOOKUP('Données projet'!$B$9,Paramètres!$A$1:$I$89,3,0)*0.475*44/12</f>
        <v>0.34309718617214446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5.7524277360920388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IF('Données projet'!$A$62&gt;35,AI122+AH123-AQ122,IF(A123&lt;'Données projet'!$A$62,$AF$205^A123,IF(A123='Données projet'!$A$62,'Données projet'!$B$62,AI122+AH123-AQ122)))</f>
        <v>283.99999999999943</v>
      </c>
      <c r="AJ123" s="14">
        <f>AI123*VLOOKUP('Données projet'!$B$10,Paramètres!$A$1:$I$89,3,0)*VLOOKUP('Données projet'!$B$10,Paramètres!$A$1:$I$89,5,0)</f>
        <v>239.24159999999955</v>
      </c>
      <c r="AK123" s="14">
        <f t="shared" si="89"/>
        <v>58.276326982845731</v>
      </c>
      <c r="AL123" s="22">
        <f t="shared" si="58"/>
        <v>518.17705616178876</v>
      </c>
      <c r="AM123" s="62">
        <f t="shared" si="59"/>
        <v>811.51038949512213</v>
      </c>
      <c r="AN123" s="62">
        <f ca="1">AVERAGE(OFFSET($AM$3,0,0,'Données projet'!$E$10+1,1))-AVERAGE(OFFSET($H$3,0,0,'Données projet'!$E$10+1,1))</f>
        <v>237.45928008030023</v>
      </c>
      <c r="AO123" s="62">
        <f t="shared" si="90"/>
        <v>126.78839015508379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2.7134774427395314E-13</v>
      </c>
      <c r="BF123" s="14">
        <f t="shared" si="91"/>
        <v>3.6292411711343559E-12</v>
      </c>
      <c r="BG123" s="22">
        <f t="shared" si="61"/>
        <v>6.7935256943361388E-12</v>
      </c>
      <c r="BH123" s="62">
        <f t="shared" si="62"/>
        <v>293.33333333334014</v>
      </c>
      <c r="BI123" s="62">
        <f ca="1">AVERAGE(OFFSET($BH$3,0,0,'Données projet'!$E$11+1,1))-AVERAGE(OFFSET($H$3,0,0,'Données projet'!$E$11+1,1))</f>
        <v>210.55867376929405</v>
      </c>
      <c r="BJ123" s="62">
        <f t="shared" si="92"/>
        <v>249.73837672556022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96.267599999999746</v>
      </c>
      <c r="D124" s="12">
        <f t="shared" si="86"/>
        <v>26.070845790910063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944.36694996491804</v>
      </c>
      <c r="H124" s="70">
        <f t="shared" si="56"/>
        <v>506.40612641916789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8.0000000000012506E-2</v>
      </c>
      <c r="O124" s="14">
        <f>N124*VLOOKUP('Données projet'!$B$9,Paramètres!$A$1:$I$89,3,0)*VLOOKUP('Données projet'!$B$9,Paramètres!$A$1:$I$89,5,0)</f>
        <v>4.0684800000006363E-2</v>
      </c>
      <c r="P124" s="14">
        <f t="shared" si="87"/>
        <v>2.7217381697540451E-2</v>
      </c>
      <c r="Q124" s="22">
        <f t="shared" si="107"/>
        <v>0.11826296645656069</v>
      </c>
      <c r="R124" s="62">
        <f t="shared" si="55"/>
        <v>293.45159629978986</v>
      </c>
      <c r="S124" s="62">
        <f ca="1">AVERAGE(OFFSET($R$3,0,0,'Données projet'!$E$9+1,1))-AVERAGE(OFFSET($H$3,0,0,'Données projet'!$E$9+1,1))</f>
        <v>57.778110971082867</v>
      </c>
      <c r="T124" s="62">
        <f t="shared" si="88"/>
        <v>144.26475989880868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5.3032568772018154</v>
      </c>
      <c r="AA124" s="23">
        <f>EXP(-LN(2)/25)*AA123+(1-EXP(-LN(2)/25))/(LN(2)/25)*Calculateur!V124*Calculateur!X124*VLOOKUP('Données projet'!$B$9,Paramètres!$A$1:$I$89,3,0)*0.475*44/12</f>
        <v>0.33371517557357033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5.6369720527753859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IF('Données projet'!$A$62&gt;35,AI123+AH124-AQ123,IF(A124&lt;'Données projet'!$A$62,$AF$205^A124,IF(A124='Données projet'!$A$62,'Données projet'!$B$62,AI123+AH124-AQ123)))</f>
        <v>287.39999999999941</v>
      </c>
      <c r="AJ124" s="14">
        <f>AI124*VLOOKUP('Données projet'!$B$10,Paramètres!$A$1:$I$89,3,0)*VLOOKUP('Données projet'!$B$10,Paramètres!$A$1:$I$89,5,0)</f>
        <v>242.10575999999952</v>
      </c>
      <c r="AK124" s="14">
        <f t="shared" si="89"/>
        <v>58.892364400160623</v>
      </c>
      <c r="AL124" s="22">
        <f t="shared" si="58"/>
        <v>524.23839999694553</v>
      </c>
      <c r="AM124" s="62">
        <f t="shared" si="59"/>
        <v>817.5717333302789</v>
      </c>
      <c r="AN124" s="62">
        <f ca="1">AVERAGE(OFFSET($AM$3,0,0,'Données projet'!$E$10+1,1))-AVERAGE(OFFSET($H$3,0,0,'Données projet'!$E$10+1,1))</f>
        <v>237.45928008030023</v>
      </c>
      <c r="AO124" s="62">
        <f t="shared" si="90"/>
        <v>126.78839015508379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2.7134774427395314E-13</v>
      </c>
      <c r="BF124" s="14">
        <f t="shared" si="91"/>
        <v>3.6292411711343559E-12</v>
      </c>
      <c r="BG124" s="22">
        <f t="shared" si="61"/>
        <v>6.7935256943361388E-12</v>
      </c>
      <c r="BH124" s="62">
        <f t="shared" si="62"/>
        <v>293.33333333334014</v>
      </c>
      <c r="BI124" s="62">
        <f ca="1">AVERAGE(OFFSET($BH$3,0,0,'Données projet'!$E$11+1,1))-AVERAGE(OFFSET($H$3,0,0,'Données projet'!$E$11+1,1))</f>
        <v>210.55867376929405</v>
      </c>
      <c r="BJ124" s="62">
        <f t="shared" si="92"/>
        <v>249.73837672556022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97.063199999999739</v>
      </c>
      <c r="D125" s="12">
        <f t="shared" si="86"/>
        <v>26.261136311968926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951.97733293449494</v>
      </c>
      <c r="H125" s="70">
        <f t="shared" si="56"/>
        <v>508.12321907667877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8.0000000000012506E-2</v>
      </c>
      <c r="O125" s="14">
        <f>N125*VLOOKUP('Données projet'!$B$9,Paramètres!$A$1:$I$89,3,0)*VLOOKUP('Données projet'!$B$9,Paramètres!$A$1:$I$89,5,0)</f>
        <v>4.0684800000006363E-2</v>
      </c>
      <c r="P125" s="14">
        <f t="shared" si="87"/>
        <v>2.7217381697540451E-2</v>
      </c>
      <c r="Q125" s="22">
        <f t="shared" si="107"/>
        <v>0.11826296645656069</v>
      </c>
      <c r="R125" s="62">
        <f t="shared" si="55"/>
        <v>293.45159629978986</v>
      </c>
      <c r="S125" s="62">
        <f ca="1">AVERAGE(OFFSET($R$3,0,0,'Données projet'!$E$9+1,1))-AVERAGE(OFFSET($H$3,0,0,'Données projet'!$E$9+1,1))</f>
        <v>57.778110971082867</v>
      </c>
      <c r="T125" s="62">
        <f t="shared" si="88"/>
        <v>144.26475989880868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5.1992632445071862</v>
      </c>
      <c r="AA125" s="23">
        <f>EXP(-LN(2)/25)*AA124+(1-EXP(-LN(2)/25))/(LN(2)/25)*Calculateur!V125*Calculateur!X125*VLOOKUP('Données projet'!$B$9,Paramètres!$A$1:$I$89,3,0)*0.475*44/12</f>
        <v>0.32458971654819269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5.523852961055379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IF('Données projet'!$A$62&gt;35,AI124+AH125-AQ124,IF(A125&lt;'Données projet'!$A$62,$AF$205^A125,IF(A125='Données projet'!$A$62,'Données projet'!$B$62,AI124+AH125-AQ124)))</f>
        <v>290.79999999999939</v>
      </c>
      <c r="AJ125" s="14">
        <f>AI125*VLOOKUP('Données projet'!$B$10,Paramètres!$A$1:$I$89,3,0)*VLOOKUP('Données projet'!$B$10,Paramètres!$A$1:$I$89,5,0)</f>
        <v>244.96991999999949</v>
      </c>
      <c r="AK125" s="14">
        <f t="shared" si="89"/>
        <v>59.507554074982316</v>
      </c>
      <c r="AL125" s="22">
        <f t="shared" si="58"/>
        <v>530.29826734725987</v>
      </c>
      <c r="AM125" s="62">
        <f t="shared" si="59"/>
        <v>823.63160068059324</v>
      </c>
      <c r="AN125" s="62">
        <f ca="1">AVERAGE(OFFSET($AM$3,0,0,'Données projet'!$E$10+1,1))-AVERAGE(OFFSET($H$3,0,0,'Données projet'!$E$10+1,1))</f>
        <v>237.45928008030023</v>
      </c>
      <c r="AO125" s="62">
        <f t="shared" si="90"/>
        <v>126.78839015508379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2.7134774427395314E-13</v>
      </c>
      <c r="BF125" s="14">
        <f t="shared" si="91"/>
        <v>3.6292411711343559E-12</v>
      </c>
      <c r="BG125" s="22">
        <f t="shared" si="61"/>
        <v>6.7935256943361388E-12</v>
      </c>
      <c r="BH125" s="62">
        <f t="shared" si="62"/>
        <v>293.33333333334014</v>
      </c>
      <c r="BI125" s="62">
        <f ca="1">AVERAGE(OFFSET($BH$3,0,0,'Données projet'!$E$11+1,1))-AVERAGE(OFFSET($H$3,0,0,'Données projet'!$E$11+1,1))</f>
        <v>210.55867376929405</v>
      </c>
      <c r="BJ125" s="62">
        <f t="shared" si="92"/>
        <v>249.73837672556022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97.858799999999732</v>
      </c>
      <c r="D126" s="12">
        <f t="shared" si="86"/>
        <v>26.451245361587812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959.58631507190387</v>
      </c>
      <c r="H126" s="70">
        <f t="shared" si="56"/>
        <v>509.83999567143161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8.0000000000012506E-2</v>
      </c>
      <c r="O126" s="14">
        <f>N126*VLOOKUP('Données projet'!$B$9,Paramètres!$A$1:$I$89,3,0)*VLOOKUP('Données projet'!$B$9,Paramètres!$A$1:$I$89,5,0)</f>
        <v>4.0684800000006363E-2</v>
      </c>
      <c r="P126" s="14">
        <f t="shared" si="87"/>
        <v>2.7217381697540451E-2</v>
      </c>
      <c r="Q126" s="22">
        <f t="shared" si="107"/>
        <v>0.11826296645656069</v>
      </c>
      <c r="R126" s="62">
        <f t="shared" si="55"/>
        <v>293.45159629978986</v>
      </c>
      <c r="S126" s="62">
        <f ca="1">AVERAGE(OFFSET($R$3,0,0,'Données projet'!$E$9+1,1))-AVERAGE(OFFSET($H$3,0,0,'Données projet'!$E$9+1,1))</f>
        <v>57.778110971082867</v>
      </c>
      <c r="T126" s="62">
        <f t="shared" si="88"/>
        <v>144.26475989880868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5.0973088635198458</v>
      </c>
      <c r="AA126" s="23">
        <f>EXP(-LN(2)/25)*AA125+(1-EXP(-LN(2)/25))/(LN(2)/25)*Calculateur!V126*Calculateur!X126*VLOOKUP('Données projet'!$B$9,Paramètres!$A$1:$I$89,3,0)*0.475*44/12</f>
        <v>0.315713793679751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5.4130226571995967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IF('Données projet'!$A$62&gt;35,AI125+AH126-AQ125,IF(A126&lt;'Données projet'!$A$62,$AF$205^A126,IF(A126='Données projet'!$A$62,'Données projet'!$B$62,AI125+AH126-AQ125)))</f>
        <v>294.19999999999936</v>
      </c>
      <c r="AJ126" s="14">
        <f>AI126*VLOOKUP('Données projet'!$B$10,Paramètres!$A$1:$I$89,3,0)*VLOOKUP('Données projet'!$B$10,Paramètres!$A$1:$I$89,5,0)</f>
        <v>247.83407999999946</v>
      </c>
      <c r="AK126" s="14">
        <f t="shared" si="89"/>
        <v>60.121907065721118</v>
      </c>
      <c r="AL126" s="22">
        <f t="shared" si="58"/>
        <v>536.35667747279672</v>
      </c>
      <c r="AM126" s="62">
        <f t="shared" si="59"/>
        <v>829.69001080612998</v>
      </c>
      <c r="AN126" s="62">
        <f ca="1">AVERAGE(OFFSET($AM$3,0,0,'Données projet'!$E$10+1,1))-AVERAGE(OFFSET($H$3,0,0,'Données projet'!$E$10+1,1))</f>
        <v>237.45928008030023</v>
      </c>
      <c r="AO126" s="62">
        <f t="shared" si="90"/>
        <v>126.78839015508379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2.7134774427395314E-13</v>
      </c>
      <c r="BF126" s="14">
        <f t="shared" si="91"/>
        <v>3.6292411711343559E-12</v>
      </c>
      <c r="BG126" s="22">
        <f t="shared" si="61"/>
        <v>6.7935256943361388E-12</v>
      </c>
      <c r="BH126" s="62">
        <f t="shared" si="62"/>
        <v>293.33333333334014</v>
      </c>
      <c r="BI126" s="62">
        <f ca="1">AVERAGE(OFFSET($BH$3,0,0,'Données projet'!$E$11+1,1))-AVERAGE(OFFSET($H$3,0,0,'Données projet'!$E$11+1,1))</f>
        <v>210.55867376929405</v>
      </c>
      <c r="BJ126" s="62">
        <f t="shared" si="92"/>
        <v>249.73837672556022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98.654399999999725</v>
      </c>
      <c r="D127" s="12">
        <f t="shared" si="86"/>
        <v>26.641174586135502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967.19390908595631</v>
      </c>
      <c r="H127" s="70">
        <f t="shared" si="56"/>
        <v>511.55645907085216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8.0000000000012506E-2</v>
      </c>
      <c r="O127" s="14">
        <f>N127*VLOOKUP('Données projet'!$B$9,Paramètres!$A$1:$I$89,3,0)*VLOOKUP('Données projet'!$B$9,Paramètres!$A$1:$I$89,5,0)</f>
        <v>4.0684800000006363E-2</v>
      </c>
      <c r="P127" s="14">
        <f t="shared" si="87"/>
        <v>2.7217381697540451E-2</v>
      </c>
      <c r="Q127" s="22">
        <f t="shared" si="107"/>
        <v>0.11826296645656069</v>
      </c>
      <c r="R127" s="62">
        <f t="shared" si="55"/>
        <v>293.45159629978986</v>
      </c>
      <c r="S127" s="62">
        <f ca="1">AVERAGE(OFFSET($R$3,0,0,'Données projet'!$E$9+1,1))-AVERAGE(OFFSET($H$3,0,0,'Données projet'!$E$9+1,1))</f>
        <v>57.778110971082867</v>
      </c>
      <c r="T127" s="62">
        <f t="shared" si="88"/>
        <v>144.26475989880868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4.9973537457576347</v>
      </c>
      <c r="AA127" s="23">
        <f>EXP(-LN(2)/25)*AA126+(1-EXP(-LN(2)/25))/(LN(2)/25)*Calculateur!V127*Calculateur!X127*VLOOKUP('Données projet'!$B$9,Paramètres!$A$1:$I$89,3,0)*0.475*44/12</f>
        <v>0.30708058338891137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5.3044343291465461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IF('Données projet'!$A$62&gt;35,AI126+AH127-AQ126,IF(A127&lt;'Données projet'!$A$62,$AF$205^A127,IF(A127='Données projet'!$A$62,'Données projet'!$B$62,AI126+AH127-AQ126)))</f>
        <v>297.59999999999934</v>
      </c>
      <c r="AJ127" s="14">
        <f>AI127*VLOOKUP('Données projet'!$B$10,Paramètres!$A$1:$I$89,3,0)*VLOOKUP('Données projet'!$B$10,Paramètres!$A$1:$I$89,5,0)</f>
        <v>250.69823999999949</v>
      </c>
      <c r="AK127" s="14">
        <f t="shared" si="89"/>
        <v>60.735434160476636</v>
      </c>
      <c r="AL127" s="22">
        <f t="shared" si="58"/>
        <v>542.41364916282919</v>
      </c>
      <c r="AM127" s="62">
        <f t="shared" si="59"/>
        <v>835.74698249616245</v>
      </c>
      <c r="AN127" s="62">
        <f ca="1">AVERAGE(OFFSET($AM$3,0,0,'Données projet'!$E$10+1,1))-AVERAGE(OFFSET($H$3,0,0,'Données projet'!$E$10+1,1))</f>
        <v>237.45928008030023</v>
      </c>
      <c r="AO127" s="62">
        <f t="shared" si="90"/>
        <v>126.78839015508379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2.7134774427395314E-13</v>
      </c>
      <c r="BF127" s="14">
        <f t="shared" si="91"/>
        <v>3.6292411711343559E-12</v>
      </c>
      <c r="BG127" s="22">
        <f t="shared" si="61"/>
        <v>6.7935256943361388E-12</v>
      </c>
      <c r="BH127" s="62">
        <f t="shared" si="62"/>
        <v>293.33333333334014</v>
      </c>
      <c r="BI127" s="62">
        <f ca="1">AVERAGE(OFFSET($BH$3,0,0,'Données projet'!$E$11+1,1))-AVERAGE(OFFSET($H$3,0,0,'Données projet'!$E$11+1,1))</f>
        <v>210.55867376929405</v>
      </c>
      <c r="BJ127" s="62">
        <f t="shared" si="92"/>
        <v>249.73837672556022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99.449999999999719</v>
      </c>
      <c r="D128" s="12">
        <f t="shared" si="86"/>
        <v>26.830925603893281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974.8001274686477</v>
      </c>
      <c r="H128" s="70">
        <f t="shared" si="56"/>
        <v>513.27261209344692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8.0000000000012506E-2</v>
      </c>
      <c r="O128" s="14">
        <f>N128*VLOOKUP('Données projet'!$B$9,Paramètres!$A$1:$I$89,3,0)*VLOOKUP('Données projet'!$B$9,Paramètres!$A$1:$I$89,5,0)</f>
        <v>4.0684800000006363E-2</v>
      </c>
      <c r="P128" s="14">
        <f t="shared" si="87"/>
        <v>2.7217381697540451E-2</v>
      </c>
      <c r="Q128" s="22">
        <f t="shared" si="107"/>
        <v>0.11826296645656069</v>
      </c>
      <c r="R128" s="62">
        <f t="shared" si="55"/>
        <v>293.45159629978986</v>
      </c>
      <c r="S128" s="62">
        <f ca="1">AVERAGE(OFFSET($R$3,0,0,'Données projet'!$E$9+1,1))-AVERAGE(OFFSET($H$3,0,0,'Données projet'!$E$9+1,1))</f>
        <v>57.778110971082867</v>
      </c>
      <c r="T128" s="62">
        <f t="shared" si="88"/>
        <v>144.26475989880868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4.8993586868881387</v>
      </c>
      <c r="AA128" s="23">
        <f>EXP(-LN(2)/25)*AA127+(1-EXP(-LN(2)/25))/(LN(2)/25)*Calculateur!V128*Calculateur!X128*VLOOKUP('Données projet'!$B$9,Paramètres!$A$1:$I$89,3,0)*0.475*44/12</f>
        <v>0.29868344868747554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5.1980421355756139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IF('Données projet'!$A$62&gt;35,AI127+AH128-AQ127,IF(A128&lt;'Données projet'!$A$62,$AF$205^A128,IF(A128='Données projet'!$A$62,'Données projet'!$B$62,AI127+AH128-AQ127)))</f>
        <v>300.99999999999932</v>
      </c>
      <c r="AJ128" s="14">
        <f>AI128*VLOOKUP('Données projet'!$B$10,Paramètres!$A$1:$I$89,3,0)*VLOOKUP('Données projet'!$B$10,Paramètres!$A$1:$I$89,5,0)</f>
        <v>253.56239999999946</v>
      </c>
      <c r="AK128" s="14">
        <f t="shared" si="89"/>
        <v>61.348145886656127</v>
      </c>
      <c r="AL128" s="22">
        <f t="shared" si="58"/>
        <v>548.46920075259175</v>
      </c>
      <c r="AM128" s="62">
        <f t="shared" si="59"/>
        <v>841.80253408592512</v>
      </c>
      <c r="AN128" s="62">
        <f ca="1">AVERAGE(OFFSET($AM$3,0,0,'Données projet'!$E$10+1,1))-AVERAGE(OFFSET($H$3,0,0,'Données projet'!$E$10+1,1))</f>
        <v>237.45928008030023</v>
      </c>
      <c r="AO128" s="62">
        <f t="shared" si="90"/>
        <v>126.78839015508379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2.7134774427395314E-13</v>
      </c>
      <c r="BF128" s="14">
        <f t="shared" si="91"/>
        <v>3.6292411711343559E-12</v>
      </c>
      <c r="BG128" s="22">
        <f t="shared" si="61"/>
        <v>6.7935256943361388E-12</v>
      </c>
      <c r="BH128" s="62">
        <f t="shared" si="62"/>
        <v>293.33333333334014</v>
      </c>
      <c r="BI128" s="62">
        <f ca="1">AVERAGE(OFFSET($BH$3,0,0,'Données projet'!$E$11+1,1))-AVERAGE(OFFSET($H$3,0,0,'Données projet'!$E$11+1,1))</f>
        <v>210.55867376929405</v>
      </c>
      <c r="BJ128" s="62">
        <f t="shared" si="92"/>
        <v>249.73837672556022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100.24559999999971</v>
      </c>
      <c r="D129" s="12">
        <f t="shared" si="86"/>
        <v>27.020500005754865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982.4049825005618</v>
      </c>
      <c r="H129" s="70">
        <f t="shared" si="56"/>
        <v>514.9884575100225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8.0000000000012506E-2</v>
      </c>
      <c r="O129" s="14">
        <f>N129*VLOOKUP('Données projet'!$B$9,Paramètres!$A$1:$I$89,3,0)*VLOOKUP('Données projet'!$B$9,Paramètres!$A$1:$I$89,5,0)</f>
        <v>4.0684800000006363E-2</v>
      </c>
      <c r="P129" s="14">
        <f t="shared" si="87"/>
        <v>2.7217381697540451E-2</v>
      </c>
      <c r="Q129" s="22">
        <f t="shared" si="107"/>
        <v>0.11826296645656069</v>
      </c>
      <c r="R129" s="62">
        <f t="shared" si="55"/>
        <v>293.45159629978986</v>
      </c>
      <c r="S129" s="62">
        <f ca="1">AVERAGE(OFFSET($R$3,0,0,'Données projet'!$E$9+1,1))-AVERAGE(OFFSET($H$3,0,0,'Données projet'!$E$9+1,1))</f>
        <v>57.778110971082867</v>
      </c>
      <c r="T129" s="62">
        <f t="shared" si="88"/>
        <v>144.26475989880868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4.8032852513519897</v>
      </c>
      <c r="AA129" s="23">
        <f>EXP(-LN(2)/25)*AA128+(1-EXP(-LN(2)/25))/(LN(2)/25)*Calculateur!V129*Calculateur!X129*VLOOKUP('Données projet'!$B$9,Paramètres!$A$1:$I$89,3,0)*0.475*44/12</f>
        <v>0.2905159340760366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5.0938011854280258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IF('Données projet'!$A$62&gt;35,AI128+AH129-AQ128,IF(A129&lt;'Données projet'!$A$62,$AF$205^A129,IF(A129='Données projet'!$A$62,'Données projet'!$B$62,AI128+AH129-AQ128)))</f>
        <v>270.99999999999932</v>
      </c>
      <c r="AJ129" s="14">
        <f>AI129*VLOOKUP('Données projet'!$B$10,Paramètres!$A$1:$I$89,3,0)*VLOOKUP('Données projet'!$B$10,Paramètres!$A$1:$I$89,5,0)</f>
        <v>228.29039999999944</v>
      </c>
      <c r="AK129" s="14">
        <f t="shared" si="89"/>
        <v>55.912865682480216</v>
      </c>
      <c r="AL129" s="22">
        <f t="shared" si="58"/>
        <v>494.98735439698538</v>
      </c>
      <c r="AM129" s="62">
        <f t="shared" si="59"/>
        <v>788.3206877303187</v>
      </c>
      <c r="AN129" s="62">
        <f ca="1">AVERAGE(OFFSET($AM$3,0,0,'Données projet'!$E$10+1,1))-AVERAGE(OFFSET($H$3,0,0,'Données projet'!$E$10+1,1))</f>
        <v>237.45928008030023</v>
      </c>
      <c r="AO129" s="62">
        <f t="shared" si="90"/>
        <v>126.78839015508379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2.7134774427395314E-13</v>
      </c>
      <c r="BF129" s="14">
        <f t="shared" si="91"/>
        <v>3.6292411711343559E-12</v>
      </c>
      <c r="BG129" s="22">
        <f t="shared" si="61"/>
        <v>6.7935256943361388E-12</v>
      </c>
      <c r="BH129" s="62">
        <f t="shared" si="62"/>
        <v>293.33333333334014</v>
      </c>
      <c r="BI129" s="62">
        <f ca="1">AVERAGE(OFFSET($BH$3,0,0,'Données projet'!$E$11+1,1))-AVERAGE(OFFSET($H$3,0,0,'Données projet'!$E$11+1,1))</f>
        <v>210.55867376929405</v>
      </c>
      <c r="BJ129" s="62">
        <f t="shared" si="92"/>
        <v>249.73837672556022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101.04119999999971</v>
      </c>
      <c r="D130" s="12">
        <f t="shared" si="86"/>
        <v>27.209899355903548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990.00848625609524</v>
      </c>
      <c r="H130" s="70">
        <f t="shared" si="56"/>
        <v>516.70399804486476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8.0000000000012506E-2</v>
      </c>
      <c r="O130" s="14">
        <f>N130*VLOOKUP('Données projet'!$B$9,Paramètres!$A$1:$I$89,3,0)*VLOOKUP('Données projet'!$B$9,Paramètres!$A$1:$I$89,5,0)</f>
        <v>4.0684800000006363E-2</v>
      </c>
      <c r="P130" s="14">
        <f t="shared" si="87"/>
        <v>2.7217381697540451E-2</v>
      </c>
      <c r="Q130" s="22">
        <f t="shared" si="107"/>
        <v>0.11826296645656069</v>
      </c>
      <c r="R130" s="62">
        <f t="shared" si="55"/>
        <v>293.45159629978986</v>
      </c>
      <c r="S130" s="62">
        <f ca="1">AVERAGE(OFFSET($R$3,0,0,'Données projet'!$E$9+1,1))-AVERAGE(OFFSET($H$3,0,0,'Données projet'!$E$9+1,1))</f>
        <v>57.778110971082867</v>
      </c>
      <c r="T130" s="62">
        <f t="shared" si="88"/>
        <v>144.26475989880868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4.7090957572876952</v>
      </c>
      <c r="AA130" s="23">
        <f>EXP(-LN(2)/25)*AA129+(1-EXP(-LN(2)/25))/(LN(2)/25)*Calculateur!V130*Calculateur!X130*VLOOKUP('Données projet'!$B$9,Paramètres!$A$1:$I$89,3,0)*0.475*44/12</f>
        <v>0.2825717605811584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4.9916675178688532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IF('Données projet'!$A$62&gt;35,AI129+AH130-AQ129,IF(A130&lt;'Données projet'!$A$62,$AF$205^A130,IF(A130='Données projet'!$A$62,'Données projet'!$B$62,AI129+AH130-AQ129)))</f>
        <v>273.99999999999932</v>
      </c>
      <c r="AJ130" s="14">
        <f>AI130*VLOOKUP('Données projet'!$B$10,Paramètres!$A$1:$I$89,3,0)*VLOOKUP('Données projet'!$B$10,Paramètres!$A$1:$I$89,5,0)</f>
        <v>230.81759999999943</v>
      </c>
      <c r="AK130" s="14">
        <f t="shared" si="89"/>
        <v>56.45942924032579</v>
      </c>
      <c r="AL130" s="22">
        <f t="shared" si="58"/>
        <v>500.3408259268997</v>
      </c>
      <c r="AM130" s="62">
        <f t="shared" si="59"/>
        <v>793.67415926023295</v>
      </c>
      <c r="AN130" s="62">
        <f ca="1">AVERAGE(OFFSET($AM$3,0,0,'Données projet'!$E$10+1,1))-AVERAGE(OFFSET($H$3,0,0,'Données projet'!$E$10+1,1))</f>
        <v>237.45928008030023</v>
      </c>
      <c r="AO130" s="62">
        <f t="shared" si="90"/>
        <v>126.78839015508379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2.7134774427395314E-13</v>
      </c>
      <c r="BF130" s="14">
        <f t="shared" si="91"/>
        <v>3.6292411711343559E-12</v>
      </c>
      <c r="BG130" s="22">
        <f t="shared" si="61"/>
        <v>6.7935256943361388E-12</v>
      </c>
      <c r="BH130" s="62">
        <f t="shared" si="62"/>
        <v>293.33333333334014</v>
      </c>
      <c r="BI130" s="62">
        <f ca="1">AVERAGE(OFFSET($BH$3,0,0,'Données projet'!$E$11+1,1))-AVERAGE(OFFSET($H$3,0,0,'Données projet'!$E$11+1,1))</f>
        <v>210.55867376929405</v>
      </c>
      <c r="BJ130" s="62">
        <f t="shared" si="92"/>
        <v>249.73837672556022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101.8367999999997</v>
      </c>
      <c r="D131" s="12">
        <f t="shared" si="86"/>
        <v>27.399125192467253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997.61065060851672</v>
      </c>
      <c r="H131" s="70">
        <f t="shared" si="56"/>
        <v>518.41923637687989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8.0000000000012506E-2</v>
      </c>
      <c r="O131" s="14">
        <f>N131*VLOOKUP('Données projet'!$B$9,Paramètres!$A$1:$I$89,3,0)*VLOOKUP('Données projet'!$B$9,Paramètres!$A$1:$I$89,5,0)</f>
        <v>4.0684800000006363E-2</v>
      </c>
      <c r="P131" s="14">
        <f t="shared" si="87"/>
        <v>2.7217381697540451E-2</v>
      </c>
      <c r="Q131" s="22">
        <f t="shared" ref="Q131:Q153" si="108">(O131+P131)*0.475*44/12</f>
        <v>0.11826296645656069</v>
      </c>
      <c r="R131" s="62">
        <f t="shared" ref="R131:R194" si="109">Q131+(I131+J131)*44/12</f>
        <v>293.45159629978986</v>
      </c>
      <c r="S131" s="62">
        <f ca="1">AVERAGE(OFFSET($R$3,0,0,'Données projet'!$E$9+1,1))-AVERAGE(OFFSET($H$3,0,0,'Données projet'!$E$9+1,1))</f>
        <v>57.778110971082867</v>
      </c>
      <c r="T131" s="62">
        <f t="shared" si="88"/>
        <v>144.26475989880868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4.6167532617520832</v>
      </c>
      <c r="AA131" s="23">
        <f>EXP(-LN(2)/25)*AA130+(1-EXP(-LN(2)/25))/(LN(2)/25)*Calculateur!V131*Calculateur!X131*VLOOKUP('Données projet'!$B$9,Paramètres!$A$1:$I$89,3,0)*0.475*44/12</f>
        <v>0.27484482092826357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4.8915980826803471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IF('Données projet'!$A$62&gt;35,AI130+AH131-AQ130,IF(A131&lt;'Données projet'!$A$62,$AF$205^A131,IF(A131='Données projet'!$A$62,'Données projet'!$B$62,AI130+AH131-AQ130)))</f>
        <v>276.99999999999932</v>
      </c>
      <c r="AJ131" s="14">
        <f>AI131*VLOOKUP('Données projet'!$B$10,Paramètres!$A$1:$I$89,3,0)*VLOOKUP('Données projet'!$B$10,Paramètres!$A$1:$I$89,5,0)</f>
        <v>233.34479999999945</v>
      </c>
      <c r="AK131" s="14">
        <f t="shared" si="89"/>
        <v>57.005296657823202</v>
      </c>
      <c r="AL131" s="22">
        <f t="shared" si="58"/>
        <v>505.69308501237447</v>
      </c>
      <c r="AM131" s="62">
        <f t="shared" si="59"/>
        <v>799.02641834570773</v>
      </c>
      <c r="AN131" s="62">
        <f ca="1">AVERAGE(OFFSET($AM$3,0,0,'Données projet'!$E$10+1,1))-AVERAGE(OFFSET($H$3,0,0,'Données projet'!$E$10+1,1))</f>
        <v>237.45928008030023</v>
      </c>
      <c r="AO131" s="62">
        <f t="shared" si="90"/>
        <v>126.78839015508379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2.7134774427395314E-13</v>
      </c>
      <c r="BF131" s="14">
        <f t="shared" si="91"/>
        <v>3.6292411711343559E-12</v>
      </c>
      <c r="BG131" s="22">
        <f t="shared" si="61"/>
        <v>6.7935256943361388E-12</v>
      </c>
      <c r="BH131" s="62">
        <f t="shared" si="62"/>
        <v>293.33333333334014</v>
      </c>
      <c r="BI131" s="62">
        <f ca="1">AVERAGE(OFFSET($BH$3,0,0,'Données projet'!$E$11+1,1))-AVERAGE(OFFSET($H$3,0,0,'Données projet'!$E$11+1,1))</f>
        <v>210.55867376929405</v>
      </c>
      <c r="BJ131" s="62">
        <f t="shared" si="92"/>
        <v>249.73837672556022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102.63239999999969</v>
      </c>
      <c r="D132" s="12">
        <f t="shared" si="86"/>
        <v>27.588179028152812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1005.2114872348616</v>
      </c>
      <c r="H132" s="70">
        <f t="shared" ref="H132:H195" si="110">(B132+E132+F132)*44/12+(C132+D132)*0.475*44/12</f>
        <v>520.13417514069897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8.0000000000012506E-2</v>
      </c>
      <c r="O132" s="14">
        <f>N132*VLOOKUP('Données projet'!$B$9,Paramètres!$A$1:$I$89,3,0)*VLOOKUP('Données projet'!$B$9,Paramètres!$A$1:$I$89,5,0)</f>
        <v>4.0684800000006363E-2</v>
      </c>
      <c r="P132" s="14">
        <f t="shared" si="87"/>
        <v>2.7217381697540451E-2</v>
      </c>
      <c r="Q132" s="22">
        <f t="shared" si="108"/>
        <v>0.11826296645656069</v>
      </c>
      <c r="R132" s="62">
        <f t="shared" si="109"/>
        <v>293.45159629978986</v>
      </c>
      <c r="S132" s="62">
        <f ca="1">AVERAGE(OFFSET($R$3,0,0,'Données projet'!$E$9+1,1))-AVERAGE(OFFSET($H$3,0,0,'Données projet'!$E$9+1,1))</f>
        <v>57.778110971082867</v>
      </c>
      <c r="T132" s="62">
        <f t="shared" si="88"/>
        <v>144.26475989880868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4.5262215462305635</v>
      </c>
      <c r="AA132" s="23">
        <f>EXP(-LN(2)/25)*AA131+(1-EXP(-LN(2)/25))/(LN(2)/25)*Calculateur!V132*Calculateur!X132*VLOOKUP('Données projet'!$B$9,Paramètres!$A$1:$I$89,3,0)*0.475*44/12</f>
        <v>0.26732917484651925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4.7935507210770831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IF('Données projet'!$A$62&gt;35,AI131+AH132-AQ131,IF(A132&lt;'Données projet'!$A$62,$AF$205^A132,IF(A132='Données projet'!$A$62,'Données projet'!$B$62,AI131+AH132-AQ131)))</f>
        <v>279.99999999999932</v>
      </c>
      <c r="AJ132" s="14">
        <f>AI132*VLOOKUP('Données projet'!$B$10,Paramètres!$A$1:$I$89,3,0)*VLOOKUP('Données projet'!$B$10,Paramètres!$A$1:$I$89,5,0)</f>
        <v>235.87199999999945</v>
      </c>
      <c r="AK132" s="14">
        <f t="shared" si="89"/>
        <v>57.55047634701517</v>
      </c>
      <c r="AL132" s="22">
        <f t="shared" ref="AL132:AL153" si="112">(AJ132+AK132)*0.475*44/12</f>
        <v>511.04414630438373</v>
      </c>
      <c r="AM132" s="62">
        <f t="shared" ref="AM132:AM195" si="113">AL132+(AD132+AE132)*44/12</f>
        <v>804.37747963771699</v>
      </c>
      <c r="AN132" s="62">
        <f ca="1">AVERAGE(OFFSET($AM$3,0,0,'Données projet'!$E$10+1,1))-AVERAGE(OFFSET($H$3,0,0,'Données projet'!$E$10+1,1))</f>
        <v>237.45928008030023</v>
      </c>
      <c r="AO132" s="62">
        <f t="shared" si="90"/>
        <v>126.78839015508379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2.7134774427395314E-13</v>
      </c>
      <c r="BF132" s="14">
        <f t="shared" si="91"/>
        <v>3.6292411711343559E-12</v>
      </c>
      <c r="BG132" s="22">
        <f t="shared" ref="BG132:BG153" si="115">(BE132+BF132)*0.475*44/12</f>
        <v>6.7935256943361388E-12</v>
      </c>
      <c r="BH132" s="62">
        <f t="shared" ref="BH132:BH195" si="116">BG132+(AY132+AZ132)*44/12</f>
        <v>293.33333333334014</v>
      </c>
      <c r="BI132" s="62">
        <f ca="1">AVERAGE(OFFSET($BH$3,0,0,'Données projet'!$E$11+1,1))-AVERAGE(OFFSET($H$3,0,0,'Données projet'!$E$11+1,1))</f>
        <v>210.55867376929405</v>
      </c>
      <c r="BJ132" s="62">
        <f t="shared" si="92"/>
        <v>249.73837672556022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103.42799999999968</v>
      </c>
      <c r="D133" s="12">
        <f t="shared" ref="D133:D196" si="140">IFERROR(EXP(-1.0587+0.8836*LN(C133)+0.284),0)</f>
        <v>27.777062350859673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1012.8110076206686</v>
      </c>
      <c r="H133" s="70">
        <f t="shared" si="110"/>
        <v>521.84881692774661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8.0000000000012506E-2</v>
      </c>
      <c r="O133" s="14">
        <f>N133*VLOOKUP('Données projet'!$B$9,Paramètres!$A$1:$I$89,3,0)*VLOOKUP('Données projet'!$B$9,Paramètres!$A$1:$I$89,5,0)</f>
        <v>4.0684800000006363E-2</v>
      </c>
      <c r="P133" s="14">
        <f t="shared" ref="P133:P196" si="141">EXP(-1.0587+0.8836*LN(O133)+0.284)</f>
        <v>2.7217381697540451E-2</v>
      </c>
      <c r="Q133" s="22">
        <f t="shared" si="108"/>
        <v>0.11826296645656069</v>
      </c>
      <c r="R133" s="62">
        <f t="shared" si="109"/>
        <v>293.45159629978986</v>
      </c>
      <c r="S133" s="62">
        <f ca="1">AVERAGE(OFFSET($R$3,0,0,'Données projet'!$E$9+1,1))-AVERAGE(OFFSET($H$3,0,0,'Données projet'!$E$9+1,1))</f>
        <v>57.778110971082867</v>
      </c>
      <c r="T133" s="62">
        <f t="shared" ref="T133:T196" si="142">$T$3</f>
        <v>144.26475989880868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4.4374651024315268</v>
      </c>
      <c r="AA133" s="23">
        <f>EXP(-LN(2)/25)*AA132+(1-EXP(-LN(2)/25))/(LN(2)/25)*Calculateur!V133*Calculateur!X133*VLOOKUP('Données projet'!$B$9,Paramètres!$A$1:$I$89,3,0)*0.475*44/12</f>
        <v>0.26001904450211089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4.6974841469336379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IF('Données projet'!$A$62&gt;35,AI132+AH133-AQ132,IF(A133&lt;'Données projet'!$A$62,$AF$205^A133,IF(A133='Données projet'!$A$62,'Données projet'!$B$62,AI132+AH133-AQ132)))</f>
        <v>282.99999999999932</v>
      </c>
      <c r="AJ133" s="14">
        <f>AI133*VLOOKUP('Données projet'!$B$10,Paramètres!$A$1:$I$89,3,0)*VLOOKUP('Données projet'!$B$10,Paramètres!$A$1:$I$89,5,0)</f>
        <v>238.39919999999947</v>
      </c>
      <c r="AK133" s="14">
        <f t="shared" ref="AK133:AK153" si="143">EXP(-1.0587+0.8836*LN(AJ133)+0.284)</f>
        <v>58.094976529303253</v>
      </c>
      <c r="AL133" s="22">
        <f t="shared" si="112"/>
        <v>516.39402412186882</v>
      </c>
      <c r="AM133" s="62">
        <f t="shared" si="113"/>
        <v>809.72735745520208</v>
      </c>
      <c r="AN133" s="62">
        <f ca="1">AVERAGE(OFFSET($AM$3,0,0,'Données projet'!$E$10+1,1))-AVERAGE(OFFSET($H$3,0,0,'Données projet'!$E$10+1,1))</f>
        <v>237.45928008030023</v>
      </c>
      <c r="AO133" s="62">
        <f t="shared" ref="AO133:AO196" si="144">$AO$3</f>
        <v>126.78839015508379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2.7134774427395314E-13</v>
      </c>
      <c r="BF133" s="14">
        <f t="shared" ref="BF133:BF153" si="145">EXP(-1.0587+0.8836*LN(BE133)+0.284)</f>
        <v>3.6292411711343559E-12</v>
      </c>
      <c r="BG133" s="22">
        <f t="shared" si="115"/>
        <v>6.7935256943361388E-12</v>
      </c>
      <c r="BH133" s="62">
        <f t="shared" si="116"/>
        <v>293.33333333334014</v>
      </c>
      <c r="BI133" s="62">
        <f ca="1">AVERAGE(OFFSET($BH$3,0,0,'Données projet'!$E$11+1,1))-AVERAGE(OFFSET($H$3,0,0,'Données projet'!$E$11+1,1))</f>
        <v>210.55867376929405</v>
      </c>
      <c r="BJ133" s="62">
        <f t="shared" ref="BJ133:BJ196" si="146">$BJ$3</f>
        <v>249.73837672556022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104.22359999999968</v>
      </c>
      <c r="D134" s="12">
        <f t="shared" si="140"/>
        <v>27.965776624274419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1020.409223064572</v>
      </c>
      <c r="H134" s="70">
        <f t="shared" si="110"/>
        <v>523.56316428727735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8.0000000000012506E-2</v>
      </c>
      <c r="O134" s="14">
        <f>N134*VLOOKUP('Données projet'!$B$9,Paramètres!$A$1:$I$89,3,0)*VLOOKUP('Données projet'!$B$9,Paramètres!$A$1:$I$89,5,0)</f>
        <v>4.0684800000006363E-2</v>
      </c>
      <c r="P134" s="14">
        <f t="shared" si="141"/>
        <v>2.7217381697540451E-2</v>
      </c>
      <c r="Q134" s="22">
        <f t="shared" si="108"/>
        <v>0.11826296645656069</v>
      </c>
      <c r="R134" s="62">
        <f t="shared" si="109"/>
        <v>293.45159629978986</v>
      </c>
      <c r="S134" s="62">
        <f ca="1">AVERAGE(OFFSET($R$3,0,0,'Données projet'!$E$9+1,1))-AVERAGE(OFFSET($H$3,0,0,'Données projet'!$E$9+1,1))</f>
        <v>57.778110971082867</v>
      </c>
      <c r="T134" s="62">
        <f t="shared" si="142"/>
        <v>144.26475989880868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4.3504491183593039</v>
      </c>
      <c r="AA134" s="23">
        <f>EXP(-LN(2)/25)*AA133+(1-EXP(-LN(2)/25))/(LN(2)/25)*Calculateur!V134*Calculateur!X134*VLOOKUP('Données projet'!$B$9,Paramètres!$A$1:$I$89,3,0)*0.475*44/12</f>
        <v>0.25290881005639337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4.6033579284156971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IF('Données projet'!$A$62&gt;35,AI133+AH134-AQ133,IF(A134&lt;'Données projet'!$A$62,$AF$205^A134,IF(A134='Données projet'!$A$62,'Données projet'!$B$62,AI133+AH134-AQ133)))</f>
        <v>285.99999999999932</v>
      </c>
      <c r="AJ134" s="14">
        <f>AI134*VLOOKUP('Données projet'!$B$10,Paramètres!$A$1:$I$89,3,0)*VLOOKUP('Données projet'!$B$10,Paramètres!$A$1:$I$89,5,0)</f>
        <v>240.92639999999943</v>
      </c>
      <c r="AK134" s="14">
        <f t="shared" si="143"/>
        <v>58.638805241742666</v>
      </c>
      <c r="AL134" s="22">
        <f t="shared" si="112"/>
        <v>521.7427324627007</v>
      </c>
      <c r="AM134" s="62">
        <f t="shared" si="113"/>
        <v>815.07606579603407</v>
      </c>
      <c r="AN134" s="62">
        <f ca="1">AVERAGE(OFFSET($AM$3,0,0,'Données projet'!$E$10+1,1))-AVERAGE(OFFSET($H$3,0,0,'Données projet'!$E$10+1,1))</f>
        <v>237.45928008030023</v>
      </c>
      <c r="AO134" s="62">
        <f t="shared" si="144"/>
        <v>126.78839015508379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2.7134774427395314E-13</v>
      </c>
      <c r="BF134" s="14">
        <f t="shared" si="145"/>
        <v>3.6292411711343559E-12</v>
      </c>
      <c r="BG134" s="22">
        <f t="shared" si="115"/>
        <v>6.7935256943361388E-12</v>
      </c>
      <c r="BH134" s="62">
        <f t="shared" si="116"/>
        <v>293.33333333334014</v>
      </c>
      <c r="BI134" s="62">
        <f ca="1">AVERAGE(OFFSET($BH$3,0,0,'Données projet'!$E$11+1,1))-AVERAGE(OFFSET($H$3,0,0,'Données projet'!$E$11+1,1))</f>
        <v>210.55867376929405</v>
      </c>
      <c r="BJ134" s="62">
        <f t="shared" si="146"/>
        <v>249.73837672556022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105.01919999999967</v>
      </c>
      <c r="D135" s="12">
        <f t="shared" si="140"/>
        <v>28.154323288446594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1028.0061446827433</v>
      </c>
      <c r="H135" s="70">
        <f t="shared" si="110"/>
        <v>525.2772197273772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8.0000000000012506E-2</v>
      </c>
      <c r="O135" s="14">
        <f>N135*VLOOKUP('Données projet'!$B$9,Paramètres!$A$1:$I$89,3,0)*VLOOKUP('Données projet'!$B$9,Paramètres!$A$1:$I$89,5,0)</f>
        <v>4.0684800000006363E-2</v>
      </c>
      <c r="P135" s="14">
        <f t="shared" si="141"/>
        <v>2.7217381697540451E-2</v>
      </c>
      <c r="Q135" s="22">
        <f t="shared" si="108"/>
        <v>0.11826296645656069</v>
      </c>
      <c r="R135" s="62">
        <f t="shared" si="109"/>
        <v>293.45159629978986</v>
      </c>
      <c r="S135" s="62">
        <f ca="1">AVERAGE(OFFSET($R$3,0,0,'Données projet'!$E$9+1,1))-AVERAGE(OFFSET($H$3,0,0,'Données projet'!$E$9+1,1))</f>
        <v>57.778110971082867</v>
      </c>
      <c r="T135" s="62">
        <f t="shared" si="142"/>
        <v>144.26475989880868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4.2651394646602272</v>
      </c>
      <c r="AA135" s="23">
        <f>EXP(-LN(2)/25)*AA134+(1-EXP(-LN(2)/25))/(LN(2)/25)*Calculateur!V135*Calculateur!X135*VLOOKUP('Données projet'!$B$9,Paramètres!$A$1:$I$89,3,0)*0.475*44/12</f>
        <v>0.245993005345505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4.511132470005732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IF('Données projet'!$A$62&gt;35,AI134+AH135-AQ134,IF(A135&lt;'Données projet'!$A$62,$AF$205^A135,IF(A135='Données projet'!$A$62,'Données projet'!$B$62,AI134+AH135-AQ134)))</f>
        <v>288.99999999999932</v>
      </c>
      <c r="AJ135" s="14">
        <f>AI135*VLOOKUP('Données projet'!$B$10,Paramètres!$A$1:$I$89,3,0)*VLOOKUP('Données projet'!$B$10,Paramètres!$A$1:$I$89,5,0)</f>
        <v>243.45359999999943</v>
      </c>
      <c r="AK135" s="14">
        <f t="shared" si="143"/>
        <v>59.18197034306516</v>
      </c>
      <c r="AL135" s="22">
        <f t="shared" si="112"/>
        <v>527.09028501417083</v>
      </c>
      <c r="AM135" s="62">
        <f t="shared" si="113"/>
        <v>820.42361834750409</v>
      </c>
      <c r="AN135" s="62">
        <f ca="1">AVERAGE(OFFSET($AM$3,0,0,'Données projet'!$E$10+1,1))-AVERAGE(OFFSET($H$3,0,0,'Données projet'!$E$10+1,1))</f>
        <v>237.45928008030023</v>
      </c>
      <c r="AO135" s="62">
        <f t="shared" si="144"/>
        <v>126.78839015508379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2.7134774427395314E-13</v>
      </c>
      <c r="BF135" s="14">
        <f t="shared" si="145"/>
        <v>3.6292411711343559E-12</v>
      </c>
      <c r="BG135" s="22">
        <f t="shared" si="115"/>
        <v>6.7935256943361388E-12</v>
      </c>
      <c r="BH135" s="62">
        <f t="shared" si="116"/>
        <v>293.33333333334014</v>
      </c>
      <c r="BI135" s="62">
        <f ca="1">AVERAGE(OFFSET($BH$3,0,0,'Données projet'!$E$11+1,1))-AVERAGE(OFFSET($H$3,0,0,'Données projet'!$E$11+1,1))</f>
        <v>210.55867376929405</v>
      </c>
      <c r="BJ135" s="62">
        <f t="shared" si="146"/>
        <v>249.73837672556022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105.81479999999966</v>
      </c>
      <c r="D136" s="12">
        <f t="shared" si="140"/>
        <v>28.342703760346389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1035.6017834131978</v>
      </c>
      <c r="H136" s="70">
        <f t="shared" si="110"/>
        <v>526.99098571593595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8.0000000000012506E-2</v>
      </c>
      <c r="O136" s="14">
        <f>N136*VLOOKUP('Données projet'!$B$9,Paramètres!$A$1:$I$89,3,0)*VLOOKUP('Données projet'!$B$9,Paramètres!$A$1:$I$89,5,0)</f>
        <v>4.0684800000006363E-2</v>
      </c>
      <c r="P136" s="14">
        <f t="shared" si="141"/>
        <v>2.7217381697540451E-2</v>
      </c>
      <c r="Q136" s="22">
        <f t="shared" si="108"/>
        <v>0.11826296645656069</v>
      </c>
      <c r="R136" s="62">
        <f t="shared" si="109"/>
        <v>293.45159629978986</v>
      </c>
      <c r="S136" s="62">
        <f ca="1">AVERAGE(OFFSET($R$3,0,0,'Données projet'!$E$9+1,1))-AVERAGE(OFFSET($H$3,0,0,'Données projet'!$E$9+1,1))</f>
        <v>57.778110971082867</v>
      </c>
      <c r="T136" s="62">
        <f t="shared" si="142"/>
        <v>144.26475989880868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4.1815026812364389</v>
      </c>
      <c r="AA136" s="23">
        <f>EXP(-LN(2)/25)*AA135+(1-EXP(-LN(2)/25))/(LN(2)/25)*Calculateur!V136*Calculateur!X136*VLOOKUP('Données projet'!$B$9,Paramètres!$A$1:$I$89,3,0)*0.475*44/12</f>
        <v>0.23926631367812223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4.4207689949145612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IF('Données projet'!$A$62&gt;35,AI135+AH136-AQ135,IF(A136&lt;'Données projet'!$A$62,$AF$205^A136,IF(A136='Données projet'!$A$62,'Données projet'!$B$62,AI135+AH136-AQ135)))</f>
        <v>291.99999999999932</v>
      </c>
      <c r="AJ136" s="14">
        <f>AI136*VLOOKUP('Données projet'!$B$10,Paramètres!$A$1:$I$89,3,0)*VLOOKUP('Données projet'!$B$10,Paramètres!$A$1:$I$89,5,0)</f>
        <v>245.98079999999945</v>
      </c>
      <c r="AK136" s="14">
        <f t="shared" si="143"/>
        <v>59.724479519444706</v>
      </c>
      <c r="AL136" s="22">
        <f t="shared" si="112"/>
        <v>532.43669516303191</v>
      </c>
      <c r="AM136" s="62">
        <f t="shared" si="113"/>
        <v>825.77002849636528</v>
      </c>
      <c r="AN136" s="62">
        <f ca="1">AVERAGE(OFFSET($AM$3,0,0,'Données projet'!$E$10+1,1))-AVERAGE(OFFSET($H$3,0,0,'Données projet'!$E$10+1,1))</f>
        <v>237.45928008030023</v>
      </c>
      <c r="AO136" s="62">
        <f t="shared" si="144"/>
        <v>126.78839015508379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2.7134774427395314E-13</v>
      </c>
      <c r="BF136" s="14">
        <f t="shared" si="145"/>
        <v>3.6292411711343559E-12</v>
      </c>
      <c r="BG136" s="22">
        <f t="shared" si="115"/>
        <v>6.7935256943361388E-12</v>
      </c>
      <c r="BH136" s="62">
        <f t="shared" si="116"/>
        <v>293.33333333334014</v>
      </c>
      <c r="BI136" s="62">
        <f ca="1">AVERAGE(OFFSET($BH$3,0,0,'Données projet'!$E$11+1,1))-AVERAGE(OFFSET($H$3,0,0,'Données projet'!$E$11+1,1))</f>
        <v>210.55867376929405</v>
      </c>
      <c r="BJ136" s="62">
        <f t="shared" si="146"/>
        <v>249.73837672556022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106.61039999999966</v>
      </c>
      <c r="D137" s="12">
        <f t="shared" si="140"/>
        <v>28.530919434405348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1043.1961500199686</v>
      </c>
      <c r="H137" s="70">
        <f t="shared" si="110"/>
        <v>528.70446468158866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8.0000000000012506E-2</v>
      </c>
      <c r="O137" s="14">
        <f>N137*VLOOKUP('Données projet'!$B$9,Paramètres!$A$1:$I$89,3,0)*VLOOKUP('Données projet'!$B$9,Paramètres!$A$1:$I$89,5,0)</f>
        <v>4.0684800000006363E-2</v>
      </c>
      <c r="P137" s="14">
        <f t="shared" si="141"/>
        <v>2.7217381697540451E-2</v>
      </c>
      <c r="Q137" s="22">
        <f t="shared" si="108"/>
        <v>0.11826296645656069</v>
      </c>
      <c r="R137" s="62">
        <f t="shared" si="109"/>
        <v>293.45159629978986</v>
      </c>
      <c r="S137" s="62">
        <f ca="1">AVERAGE(OFFSET($R$3,0,0,'Données projet'!$E$9+1,1))-AVERAGE(OFFSET($H$3,0,0,'Données projet'!$E$9+1,1))</f>
        <v>57.778110971082867</v>
      </c>
      <c r="T137" s="62">
        <f t="shared" si="142"/>
        <v>144.26475989880868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4.0995059641221907</v>
      </c>
      <c r="AA137" s="23">
        <f>EXP(-LN(2)/25)*AA136+(1-EXP(-LN(2)/25))/(LN(2)/25)*Calculateur!V137*Calculateur!X137*VLOOKUP('Données projet'!$B$9,Paramètres!$A$1:$I$89,3,0)*0.475*44/12</f>
        <v>0.23272356374812539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4.3322295278703162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IF('Données projet'!$A$62&gt;35,AI136+AH137-AQ136,IF(A137&lt;'Données projet'!$A$62,$AF$205^A137,IF(A137='Données projet'!$A$62,'Données projet'!$B$62,AI136+AH137-AQ136)))</f>
        <v>294.99999999999932</v>
      </c>
      <c r="AJ137" s="14">
        <f>AI137*VLOOKUP('Données projet'!$B$10,Paramètres!$A$1:$I$89,3,0)*VLOOKUP('Données projet'!$B$10,Paramètres!$A$1:$I$89,5,0)</f>
        <v>248.50799999999944</v>
      </c>
      <c r="AK137" s="14">
        <f t="shared" si="143"/>
        <v>60.266340290019563</v>
      </c>
      <c r="AL137" s="22">
        <f t="shared" si="112"/>
        <v>537.78197600511635</v>
      </c>
      <c r="AM137" s="62">
        <f t="shared" si="113"/>
        <v>831.11530933844961</v>
      </c>
      <c r="AN137" s="62">
        <f ca="1">AVERAGE(OFFSET($AM$3,0,0,'Données projet'!$E$10+1,1))-AVERAGE(OFFSET($H$3,0,0,'Données projet'!$E$10+1,1))</f>
        <v>237.45928008030023</v>
      </c>
      <c r="AO137" s="62">
        <f t="shared" si="144"/>
        <v>126.78839015508379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2.7134774427395314E-13</v>
      </c>
      <c r="BF137" s="14">
        <f t="shared" si="145"/>
        <v>3.6292411711343559E-12</v>
      </c>
      <c r="BG137" s="22">
        <f t="shared" si="115"/>
        <v>6.7935256943361388E-12</v>
      </c>
      <c r="BH137" s="62">
        <f t="shared" si="116"/>
        <v>293.33333333334014</v>
      </c>
      <c r="BI137" s="62">
        <f ca="1">AVERAGE(OFFSET($BH$3,0,0,'Données projet'!$E$11+1,1))-AVERAGE(OFFSET($H$3,0,0,'Données projet'!$E$11+1,1))</f>
        <v>210.55867376929405</v>
      </c>
      <c r="BJ137" s="62">
        <f t="shared" si="146"/>
        <v>249.73837672556022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107.40599999999965</v>
      </c>
      <c r="D138" s="12">
        <f t="shared" si="140"/>
        <v>28.718971683040262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1050.7892550971503</v>
      </c>
      <c r="H138" s="70">
        <f t="shared" si="110"/>
        <v>530.41765901462782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8.0000000000012506E-2</v>
      </c>
      <c r="O138" s="14">
        <f>N138*VLOOKUP('Données projet'!$B$9,Paramètres!$A$1:$I$89,3,0)*VLOOKUP('Données projet'!$B$9,Paramètres!$A$1:$I$89,5,0)</f>
        <v>4.0684800000006363E-2</v>
      </c>
      <c r="P138" s="14">
        <f t="shared" si="141"/>
        <v>2.7217381697540451E-2</v>
      </c>
      <c r="Q138" s="22">
        <f t="shared" si="108"/>
        <v>0.11826296645656069</v>
      </c>
      <c r="R138" s="62">
        <f t="shared" si="109"/>
        <v>293.45159629978986</v>
      </c>
      <c r="S138" s="62">
        <f ca="1">AVERAGE(OFFSET($R$3,0,0,'Données projet'!$E$9+1,1))-AVERAGE(OFFSET($H$3,0,0,'Données projet'!$E$9+1,1))</f>
        <v>57.778110971082867</v>
      </c>
      <c r="T138" s="62">
        <f t="shared" si="142"/>
        <v>144.26475989880868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4.0191171526174934</v>
      </c>
      <c r="AA138" s="23">
        <f>EXP(-LN(2)/25)*AA137+(1-EXP(-LN(2)/25))/(LN(2)/25)*Calculateur!V138*Calculateur!X138*VLOOKUP('Données projet'!$B$9,Paramètres!$A$1:$I$89,3,0)*0.475*44/12</f>
        <v>0.22635972565903259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4.2454768782765262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IF('Données projet'!$A$62&gt;35,AI137+AH138-AQ137,IF(A138&lt;'Données projet'!$A$62,$AF$205^A138,IF(A138='Données projet'!$A$62,'Données projet'!$B$62,AI137+AH138-AQ137)))</f>
        <v>297.99999999999932</v>
      </c>
      <c r="AJ138" s="14">
        <f>AI138*VLOOKUP('Données projet'!$B$10,Paramètres!$A$1:$I$89,3,0)*VLOOKUP('Données projet'!$B$10,Paramètres!$A$1:$I$89,5,0)</f>
        <v>251.03519999999946</v>
      </c>
      <c r="AK138" s="14">
        <f t="shared" si="143"/>
        <v>60.807560012183195</v>
      </c>
      <c r="AL138" s="22">
        <f t="shared" si="112"/>
        <v>543.12614035455147</v>
      </c>
      <c r="AM138" s="62">
        <f t="shared" si="113"/>
        <v>836.45947368788484</v>
      </c>
      <c r="AN138" s="62">
        <f ca="1">AVERAGE(OFFSET($AM$3,0,0,'Données projet'!$E$10+1,1))-AVERAGE(OFFSET($H$3,0,0,'Données projet'!$E$10+1,1))</f>
        <v>237.45928008030023</v>
      </c>
      <c r="AO138" s="62">
        <f t="shared" si="144"/>
        <v>126.78839015508379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2.7134774427395314E-13</v>
      </c>
      <c r="BF138" s="14">
        <f t="shared" si="145"/>
        <v>3.6292411711343559E-12</v>
      </c>
      <c r="BG138" s="22">
        <f t="shared" si="115"/>
        <v>6.7935256943361388E-12</v>
      </c>
      <c r="BH138" s="62">
        <f t="shared" si="116"/>
        <v>293.33333333334014</v>
      </c>
      <c r="BI138" s="62">
        <f ca="1">AVERAGE(OFFSET($BH$3,0,0,'Données projet'!$E$11+1,1))-AVERAGE(OFFSET($H$3,0,0,'Données projet'!$E$11+1,1))</f>
        <v>210.55867376929405</v>
      </c>
      <c r="BJ138" s="62">
        <f t="shared" si="146"/>
        <v>249.73837672556022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108.20159999999964</v>
      </c>
      <c r="D139" s="12">
        <f t="shared" si="140"/>
        <v>28.906861857161182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1058.3811090728204</v>
      </c>
      <c r="H139" s="70">
        <f t="shared" si="110"/>
        <v>532.13057106788847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8.0000000000012506E-2</v>
      </c>
      <c r="O139" s="14">
        <f>N139*VLOOKUP('Données projet'!$B$9,Paramètres!$A$1:$I$89,3,0)*VLOOKUP('Données projet'!$B$9,Paramètres!$A$1:$I$89,5,0)</f>
        <v>4.0684800000006363E-2</v>
      </c>
      <c r="P139" s="14">
        <f t="shared" si="141"/>
        <v>2.7217381697540451E-2</v>
      </c>
      <c r="Q139" s="22">
        <f t="shared" si="108"/>
        <v>0.11826296645656069</v>
      </c>
      <c r="R139" s="62">
        <f t="shared" si="109"/>
        <v>293.45159629978986</v>
      </c>
      <c r="S139" s="62">
        <f ca="1">AVERAGE(OFFSET($R$3,0,0,'Données projet'!$E$9+1,1))-AVERAGE(OFFSET($H$3,0,0,'Données projet'!$E$9+1,1))</f>
        <v>57.778110971082867</v>
      </c>
      <c r="T139" s="62">
        <f t="shared" si="142"/>
        <v>144.26475989880868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3.9403047166740697</v>
      </c>
      <c r="AA139" s="23">
        <f>EXP(-LN(2)/25)*AA138+(1-EXP(-LN(2)/25))/(LN(2)/25)*Calculateur!V139*Calculateur!X139*VLOOKUP('Données projet'!$B$9,Paramètres!$A$1:$I$89,3,0)*0.475*44/12</f>
        <v>0.22016990705714573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4.1604746237312158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2.6</v>
      </c>
      <c r="AI139" s="14">
        <f>IF('Données projet'!$A$62&gt;35,AI138+AH139-AQ138,IF(A139&lt;'Données projet'!$A$62,$AF$205^A139,IF(A139='Données projet'!$A$62,'Données projet'!$B$62,AI138+AH139-AQ138)))</f>
        <v>271.59999999999934</v>
      </c>
      <c r="AJ139" s="14">
        <f>AI139*VLOOKUP('Données projet'!$B$10,Paramètres!$A$1:$I$89,3,0)*VLOOKUP('Données projet'!$B$10,Paramètres!$A$1:$I$89,5,0)</f>
        <v>228.79583999999946</v>
      </c>
      <c r="AK139" s="14">
        <f t="shared" si="143"/>
        <v>56.022234495627309</v>
      </c>
      <c r="AL139" s="22">
        <f t="shared" si="112"/>
        <v>496.05814641321666</v>
      </c>
      <c r="AM139" s="62">
        <f t="shared" si="113"/>
        <v>789.39147974654998</v>
      </c>
      <c r="AN139" s="62">
        <f ca="1">AVERAGE(OFFSET($AM$3,0,0,'Données projet'!$E$10+1,1))-AVERAGE(OFFSET($H$3,0,0,'Données projet'!$E$10+1,1))</f>
        <v>237.45928008030023</v>
      </c>
      <c r="AO139" s="62">
        <f t="shared" si="144"/>
        <v>126.78839015508379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2.7134774427395314E-13</v>
      </c>
      <c r="BF139" s="14">
        <f t="shared" si="145"/>
        <v>3.6292411711343559E-12</v>
      </c>
      <c r="BG139" s="22">
        <f t="shared" si="115"/>
        <v>6.7935256943361388E-12</v>
      </c>
      <c r="BH139" s="62">
        <f t="shared" si="116"/>
        <v>293.33333333334014</v>
      </c>
      <c r="BI139" s="62">
        <f ca="1">AVERAGE(OFFSET($BH$3,0,0,'Données projet'!$E$11+1,1))-AVERAGE(OFFSET($H$3,0,0,'Données projet'!$E$11+1,1))</f>
        <v>210.55867376929405</v>
      </c>
      <c r="BJ139" s="62">
        <f t="shared" si="146"/>
        <v>249.73837672556022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108.99719999999964</v>
      </c>
      <c r="D140" s="12">
        <f t="shared" si="140"/>
        <v>29.094591286664073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1065.9717222128429</v>
      </c>
      <c r="H140" s="70">
        <f t="shared" si="110"/>
        <v>533.84320315760601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8.0000000000012506E-2</v>
      </c>
      <c r="O140" s="14">
        <f>N140*VLOOKUP('Données projet'!$B$9,Paramètres!$A$1:$I$89,3,0)*VLOOKUP('Données projet'!$B$9,Paramètres!$A$1:$I$89,5,0)</f>
        <v>4.0684800000006363E-2</v>
      </c>
      <c r="P140" s="14">
        <f t="shared" si="141"/>
        <v>2.7217381697540451E-2</v>
      </c>
      <c r="Q140" s="22">
        <f t="shared" si="108"/>
        <v>0.11826296645656069</v>
      </c>
      <c r="R140" s="62">
        <f t="shared" si="109"/>
        <v>293.45159629978986</v>
      </c>
      <c r="S140" s="62">
        <f ca="1">AVERAGE(OFFSET($R$3,0,0,'Données projet'!$E$9+1,1))-AVERAGE(OFFSET($H$3,0,0,'Données projet'!$E$9+1,1))</f>
        <v>57.778110971082867</v>
      </c>
      <c r="T140" s="62">
        <f t="shared" si="142"/>
        <v>144.26475989880868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3.8630377445286572</v>
      </c>
      <c r="AA140" s="23">
        <f>EXP(-LN(2)/25)*AA139+(1-EXP(-LN(2)/25))/(LN(2)/25)*Calculateur!V140*Calculateur!X140*VLOOKUP('Données projet'!$B$9,Paramètres!$A$1:$I$89,3,0)*0.475*44/12</f>
        <v>0.21414934937043587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4.0771870938990933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2.6</v>
      </c>
      <c r="AI140" s="14">
        <f>IF('Données projet'!$A$62&gt;35,AI139+AH140-AQ139,IF(A140&lt;'Données projet'!$A$62,$AF$205^A140,IF(A140='Données projet'!$A$62,'Données projet'!$B$62,AI139+AH140-AQ139)))</f>
        <v>274.19999999999936</v>
      </c>
      <c r="AJ140" s="14">
        <f>AI140*VLOOKUP('Données projet'!$B$10,Paramètres!$A$1:$I$89,3,0)*VLOOKUP('Données projet'!$B$10,Paramètres!$A$1:$I$89,5,0)</f>
        <v>230.9860799999995</v>
      </c>
      <c r="AK140" s="14">
        <f t="shared" si="143"/>
        <v>56.495841965100695</v>
      </c>
      <c r="AL140" s="22">
        <f t="shared" si="112"/>
        <v>500.69768075588286</v>
      </c>
      <c r="AM140" s="62">
        <f t="shared" si="113"/>
        <v>794.03101408921611</v>
      </c>
      <c r="AN140" s="62">
        <f ca="1">AVERAGE(OFFSET($AM$3,0,0,'Données projet'!$E$10+1,1))-AVERAGE(OFFSET($H$3,0,0,'Données projet'!$E$10+1,1))</f>
        <v>237.45928008030023</v>
      </c>
      <c r="AO140" s="62">
        <f t="shared" si="144"/>
        <v>126.78839015508379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2.7134774427395314E-13</v>
      </c>
      <c r="BF140" s="14">
        <f t="shared" si="145"/>
        <v>3.6292411711343559E-12</v>
      </c>
      <c r="BG140" s="22">
        <f t="shared" si="115"/>
        <v>6.7935256943361388E-12</v>
      </c>
      <c r="BH140" s="62">
        <f t="shared" si="116"/>
        <v>293.33333333334014</v>
      </c>
      <c r="BI140" s="62">
        <f ca="1">AVERAGE(OFFSET($BH$3,0,0,'Données projet'!$E$11+1,1))-AVERAGE(OFFSET($H$3,0,0,'Données projet'!$E$11+1,1))</f>
        <v>210.55867376929405</v>
      </c>
      <c r="BJ140" s="62">
        <f t="shared" si="146"/>
        <v>249.73837672556022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109.79279999999963</v>
      </c>
      <c r="D141" s="12">
        <f t="shared" si="140"/>
        <v>29.282161280908532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1073.5611046245542</v>
      </c>
      <c r="H141" s="70">
        <f t="shared" si="110"/>
        <v>535.55555756424837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8.0000000000012506E-2</v>
      </c>
      <c r="O141" s="14">
        <f>N141*VLOOKUP('Données projet'!$B$9,Paramètres!$A$1:$I$89,3,0)*VLOOKUP('Données projet'!$B$9,Paramètres!$A$1:$I$89,5,0)</f>
        <v>4.0684800000006363E-2</v>
      </c>
      <c r="P141" s="14">
        <f t="shared" si="141"/>
        <v>2.7217381697540451E-2</v>
      </c>
      <c r="Q141" s="22">
        <f t="shared" si="108"/>
        <v>0.11826296645656069</v>
      </c>
      <c r="R141" s="62">
        <f t="shared" si="109"/>
        <v>293.45159629978986</v>
      </c>
      <c r="S141" s="62">
        <f ca="1">AVERAGE(OFFSET($R$3,0,0,'Données projet'!$E$9+1,1))-AVERAGE(OFFSET($H$3,0,0,'Données projet'!$E$9+1,1))</f>
        <v>57.778110971082867</v>
      </c>
      <c r="T141" s="62">
        <f t="shared" si="142"/>
        <v>144.26475989880868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3.7872859305788169</v>
      </c>
      <c r="AA141" s="23">
        <f>EXP(-LN(2)/25)*AA140+(1-EXP(-LN(2)/25))/(LN(2)/25)*Calculateur!V141*Calculateur!X141*VLOOKUP('Données projet'!$B$9,Paramètres!$A$1:$I$89,3,0)*0.475*44/12</f>
        <v>0.20829342415027646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3.9955793547290934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2.6</v>
      </c>
      <c r="AI141" s="14">
        <f>IF('Données projet'!$A$62&gt;35,AI140+AH141-AQ140,IF(A141&lt;'Données projet'!$A$62,$AF$205^A141,IF(A141='Données projet'!$A$62,'Données projet'!$B$62,AI140+AH141-AQ140)))</f>
        <v>276.79999999999939</v>
      </c>
      <c r="AJ141" s="14">
        <f>AI141*VLOOKUP('Données projet'!$B$10,Paramètres!$A$1:$I$89,3,0)*VLOOKUP('Données projet'!$B$10,Paramètres!$A$1:$I$89,5,0)</f>
        <v>233.17631999999949</v>
      </c>
      <c r="AK141" s="14">
        <f t="shared" si="143"/>
        <v>56.968926984666673</v>
      </c>
      <c r="AL141" s="22">
        <f t="shared" si="112"/>
        <v>505.33630516496027</v>
      </c>
      <c r="AM141" s="62">
        <f t="shared" si="113"/>
        <v>798.66963849829358</v>
      </c>
      <c r="AN141" s="62">
        <f ca="1">AVERAGE(OFFSET($AM$3,0,0,'Données projet'!$E$10+1,1))-AVERAGE(OFFSET($H$3,0,0,'Données projet'!$E$10+1,1))</f>
        <v>237.45928008030023</v>
      </c>
      <c r="AO141" s="62">
        <f t="shared" si="144"/>
        <v>126.78839015508379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2.7134774427395314E-13</v>
      </c>
      <c r="BF141" s="14">
        <f t="shared" si="145"/>
        <v>3.6292411711343559E-12</v>
      </c>
      <c r="BG141" s="22">
        <f t="shared" si="115"/>
        <v>6.7935256943361388E-12</v>
      </c>
      <c r="BH141" s="62">
        <f t="shared" si="116"/>
        <v>293.33333333334014</v>
      </c>
      <c r="BI141" s="62">
        <f ca="1">AVERAGE(OFFSET($BH$3,0,0,'Données projet'!$E$11+1,1))-AVERAGE(OFFSET($H$3,0,0,'Données projet'!$E$11+1,1))</f>
        <v>210.55867376929405</v>
      </c>
      <c r="BJ141" s="62">
        <f t="shared" si="146"/>
        <v>249.73837672556022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110.58839999999962</v>
      </c>
      <c r="D142" s="12">
        <f t="shared" si="140"/>
        <v>29.469573129181594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1081.1492662603462</v>
      </c>
      <c r="H142" s="70">
        <f t="shared" si="110"/>
        <v>537.26763653332387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8.0000000000012506E-2</v>
      </c>
      <c r="O142" s="14">
        <f>N142*VLOOKUP('Données projet'!$B$9,Paramètres!$A$1:$I$89,3,0)*VLOOKUP('Données projet'!$B$9,Paramètres!$A$1:$I$89,5,0)</f>
        <v>4.0684800000006363E-2</v>
      </c>
      <c r="P142" s="14">
        <f t="shared" si="141"/>
        <v>2.7217381697540451E-2</v>
      </c>
      <c r="Q142" s="22">
        <f t="shared" si="108"/>
        <v>0.11826296645656069</v>
      </c>
      <c r="R142" s="62">
        <f t="shared" si="109"/>
        <v>293.45159629978986</v>
      </c>
      <c r="S142" s="62">
        <f ca="1">AVERAGE(OFFSET($R$3,0,0,'Données projet'!$E$9+1,1))-AVERAGE(OFFSET($H$3,0,0,'Données projet'!$E$9+1,1))</f>
        <v>57.778110971082867</v>
      </c>
      <c r="T142" s="62">
        <f t="shared" si="142"/>
        <v>144.26475989880868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3.7130195634964887</v>
      </c>
      <c r="AA142" s="23">
        <f>EXP(-LN(2)/25)*AA141+(1-EXP(-LN(2)/25))/(LN(2)/25)*Calculateur!V142*Calculateur!X142*VLOOKUP('Données projet'!$B$9,Paramètres!$A$1:$I$89,3,0)*0.475*44/12</f>
        <v>0.20259762951321203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3.9156171930097008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2.6</v>
      </c>
      <c r="AI142" s="14">
        <f>IF('Données projet'!$A$62&gt;35,AI141+AH142-AQ141,IF(A142&lt;'Données projet'!$A$62,$AF$205^A142,IF(A142='Données projet'!$A$62,'Données projet'!$B$62,AI141+AH142-AQ141)))</f>
        <v>279.39999999999941</v>
      </c>
      <c r="AJ142" s="14">
        <f>AI142*VLOOKUP('Données projet'!$B$10,Paramètres!$A$1:$I$89,3,0)*VLOOKUP('Données projet'!$B$10,Paramètres!$A$1:$I$89,5,0)</f>
        <v>235.36655999999954</v>
      </c>
      <c r="AK142" s="14">
        <f t="shared" si="143"/>
        <v>57.441495030120343</v>
      </c>
      <c r="AL142" s="22">
        <f t="shared" si="112"/>
        <v>509.9740291774587</v>
      </c>
      <c r="AM142" s="62">
        <f t="shared" si="113"/>
        <v>803.30736251079202</v>
      </c>
      <c r="AN142" s="62">
        <f ca="1">AVERAGE(OFFSET($AM$3,0,0,'Données projet'!$E$10+1,1))-AVERAGE(OFFSET($H$3,0,0,'Données projet'!$E$10+1,1))</f>
        <v>237.45928008030023</v>
      </c>
      <c r="AO142" s="62">
        <f t="shared" si="144"/>
        <v>126.78839015508379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2.7134774427395314E-13</v>
      </c>
      <c r="BF142" s="14">
        <f t="shared" si="145"/>
        <v>3.6292411711343559E-12</v>
      </c>
      <c r="BG142" s="22">
        <f t="shared" si="115"/>
        <v>6.7935256943361388E-12</v>
      </c>
      <c r="BH142" s="62">
        <f t="shared" si="116"/>
        <v>293.33333333334014</v>
      </c>
      <c r="BI142" s="62">
        <f ca="1">AVERAGE(OFFSET($BH$3,0,0,'Données projet'!$E$11+1,1))-AVERAGE(OFFSET($H$3,0,0,'Données projet'!$E$11+1,1))</f>
        <v>210.55867376929405</v>
      </c>
      <c r="BJ142" s="62">
        <f t="shared" si="146"/>
        <v>249.73837672556022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111.38399999999962</v>
      </c>
      <c r="D143" s="12">
        <f t="shared" si="140"/>
        <v>29.656828101147326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1088.7362169211342</v>
      </c>
      <c r="H143" s="70">
        <f t="shared" si="110"/>
        <v>538.97944227616415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8.0000000000012506E-2</v>
      </c>
      <c r="O143" s="14">
        <f>N143*VLOOKUP('Données projet'!$B$9,Paramètres!$A$1:$I$89,3,0)*VLOOKUP('Données projet'!$B$9,Paramètres!$A$1:$I$89,5,0)</f>
        <v>4.0684800000006363E-2</v>
      </c>
      <c r="P143" s="14">
        <f t="shared" si="141"/>
        <v>2.7217381697540451E-2</v>
      </c>
      <c r="Q143" s="22">
        <f t="shared" si="108"/>
        <v>0.11826296645656069</v>
      </c>
      <c r="R143" s="62">
        <f t="shared" si="109"/>
        <v>293.45159629978986</v>
      </c>
      <c r="S143" s="62">
        <f ca="1">AVERAGE(OFFSET($R$3,0,0,'Données projet'!$E$9+1,1))-AVERAGE(OFFSET($H$3,0,0,'Données projet'!$E$9+1,1))</f>
        <v>57.778110971082867</v>
      </c>
      <c r="T143" s="62">
        <f t="shared" si="142"/>
        <v>144.26475989880868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3.640209514574634</v>
      </c>
      <c r="AA143" s="23">
        <f>EXP(-LN(2)/25)*AA142+(1-EXP(-LN(2)/25))/(LN(2)/25)*Calculateur!V143*Calculateur!X143*VLOOKUP('Données projet'!$B$9,Paramètres!$A$1:$I$89,3,0)*0.475*44/12</f>
        <v>0.19705758668002696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3.8372671012546609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2.6</v>
      </c>
      <c r="AI143" s="14">
        <f>IF('Données projet'!$A$62&gt;35,AI142+AH143-AQ142,IF(A143&lt;'Données projet'!$A$62,$AF$205^A143,IF(A143='Données projet'!$A$62,'Données projet'!$B$62,AI142+AH143-AQ142)))</f>
        <v>281.99999999999943</v>
      </c>
      <c r="AJ143" s="14">
        <f>AI143*VLOOKUP('Données projet'!$B$10,Paramètres!$A$1:$I$89,3,0)*VLOOKUP('Données projet'!$B$10,Paramètres!$A$1:$I$89,5,0)</f>
        <v>237.55679999999955</v>
      </c>
      <c r="AK143" s="14">
        <f t="shared" si="143"/>
        <v>57.913551469467258</v>
      </c>
      <c r="AL143" s="22">
        <f t="shared" si="112"/>
        <v>514.61086214265481</v>
      </c>
      <c r="AM143" s="62">
        <f t="shared" si="113"/>
        <v>807.94419547598818</v>
      </c>
      <c r="AN143" s="62">
        <f ca="1">AVERAGE(OFFSET($AM$3,0,0,'Données projet'!$E$10+1,1))-AVERAGE(OFFSET($H$3,0,0,'Données projet'!$E$10+1,1))</f>
        <v>237.45928008030023</v>
      </c>
      <c r="AO143" s="62">
        <f t="shared" si="144"/>
        <v>126.78839015508379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2.7134774427395314E-13</v>
      </c>
      <c r="BF143" s="14">
        <f t="shared" si="145"/>
        <v>3.6292411711343559E-12</v>
      </c>
      <c r="BG143" s="22">
        <f t="shared" si="115"/>
        <v>6.7935256943361388E-12</v>
      </c>
      <c r="BH143" s="62">
        <f t="shared" si="116"/>
        <v>293.33333333334014</v>
      </c>
      <c r="BI143" s="62">
        <f ca="1">AVERAGE(OFFSET($BH$3,0,0,'Données projet'!$E$11+1,1))-AVERAGE(OFFSET($H$3,0,0,'Données projet'!$E$11+1,1))</f>
        <v>210.55867376929405</v>
      </c>
      <c r="BJ143" s="62">
        <f t="shared" si="146"/>
        <v>249.73837672556022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112.17959999999961</v>
      </c>
      <c r="D144" s="12">
        <f t="shared" si="140"/>
        <v>29.843927447283722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1096.321966259731</v>
      </c>
      <c r="H144" s="70">
        <f t="shared" si="110"/>
        <v>540.69097697068514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8.0000000000012506E-2</v>
      </c>
      <c r="O144" s="14">
        <f>N144*VLOOKUP('Données projet'!$B$9,Paramètres!$A$1:$I$89,3,0)*VLOOKUP('Données projet'!$B$9,Paramètres!$A$1:$I$89,5,0)</f>
        <v>4.0684800000006363E-2</v>
      </c>
      <c r="P144" s="14">
        <f t="shared" si="141"/>
        <v>2.7217381697540451E-2</v>
      </c>
      <c r="Q144" s="22">
        <f t="shared" si="108"/>
        <v>0.11826296645656069</v>
      </c>
      <c r="R144" s="62">
        <f t="shared" si="109"/>
        <v>293.45159629978986</v>
      </c>
      <c r="S144" s="62">
        <f ca="1">AVERAGE(OFFSET($R$3,0,0,'Données projet'!$E$9+1,1))-AVERAGE(OFFSET($H$3,0,0,'Données projet'!$E$9+1,1))</f>
        <v>57.778110971082867</v>
      </c>
      <c r="T144" s="62">
        <f t="shared" si="142"/>
        <v>144.26475989880868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3.5688272263023921</v>
      </c>
      <c r="AA144" s="23">
        <f>EXP(-LN(2)/25)*AA143+(1-EXP(-LN(2)/25))/(LN(2)/25)*Calculateur!V144*Calculateur!X144*VLOOKUP('Données projet'!$B$9,Paramètres!$A$1:$I$89,3,0)*0.475*44/12</f>
        <v>0.19166903660945353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3.7604962629118455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2.6</v>
      </c>
      <c r="AI144" s="14">
        <f>IF('Données projet'!$A$62&gt;35,AI143+AH144-AQ143,IF(A144&lt;'Données projet'!$A$62,$AF$205^A144,IF(A144='Données projet'!$A$62,'Données projet'!$B$62,AI143+AH144-AQ143)))</f>
        <v>284.59999999999945</v>
      </c>
      <c r="AJ144" s="14">
        <f>AI144*VLOOKUP('Données projet'!$B$10,Paramètres!$A$1:$I$89,3,0)*VLOOKUP('Données projet'!$B$10,Paramètres!$A$1:$I$89,5,0)</f>
        <v>239.74703999999957</v>
      </c>
      <c r="AK144" s="14">
        <f t="shared" si="143"/>
        <v>58.385101566019657</v>
      </c>
      <c r="AL144" s="22">
        <f t="shared" si="112"/>
        <v>519.24681322748347</v>
      </c>
      <c r="AM144" s="62">
        <f t="shared" si="113"/>
        <v>812.58014656081673</v>
      </c>
      <c r="AN144" s="62">
        <f ca="1">AVERAGE(OFFSET($AM$3,0,0,'Données projet'!$E$10+1,1))-AVERAGE(OFFSET($H$3,0,0,'Données projet'!$E$10+1,1))</f>
        <v>237.45928008030023</v>
      </c>
      <c r="AO144" s="62">
        <f t="shared" si="144"/>
        <v>126.78839015508379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2.7134774427395314E-13</v>
      </c>
      <c r="BF144" s="14">
        <f t="shared" si="145"/>
        <v>3.6292411711343559E-12</v>
      </c>
      <c r="BG144" s="22">
        <f t="shared" si="115"/>
        <v>6.7935256943361388E-12</v>
      </c>
      <c r="BH144" s="62">
        <f t="shared" si="116"/>
        <v>293.33333333334014</v>
      </c>
      <c r="BI144" s="62">
        <f ca="1">AVERAGE(OFFSET($BH$3,0,0,'Données projet'!$E$11+1,1))-AVERAGE(OFFSET($H$3,0,0,'Données projet'!$E$11+1,1))</f>
        <v>210.55867376929405</v>
      </c>
      <c r="BJ144" s="62">
        <f t="shared" si="146"/>
        <v>249.73837672556022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112.9751999999996</v>
      </c>
      <c r="D145" s="12">
        <f t="shared" si="140"/>
        <v>30.030872399306329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1103.906523784116</v>
      </c>
      <c r="H145" s="70">
        <f t="shared" si="110"/>
        <v>542.40224276212439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8.0000000000012506E-2</v>
      </c>
      <c r="O145" s="14">
        <f>N145*VLOOKUP('Données projet'!$B$9,Paramètres!$A$1:$I$89,3,0)*VLOOKUP('Données projet'!$B$9,Paramètres!$A$1:$I$89,5,0)</f>
        <v>4.0684800000006363E-2</v>
      </c>
      <c r="P145" s="14">
        <f t="shared" si="141"/>
        <v>2.7217381697540451E-2</v>
      </c>
      <c r="Q145" s="22">
        <f t="shared" si="108"/>
        <v>0.11826296645656069</v>
      </c>
      <c r="R145" s="62">
        <f t="shared" si="109"/>
        <v>293.45159629978986</v>
      </c>
      <c r="S145" s="62">
        <f ca="1">AVERAGE(OFFSET($R$3,0,0,'Données projet'!$E$9+1,1))-AVERAGE(OFFSET($H$3,0,0,'Données projet'!$E$9+1,1))</f>
        <v>57.778110971082867</v>
      </c>
      <c r="T145" s="62">
        <f t="shared" si="142"/>
        <v>144.26475989880868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3.498844701164272</v>
      </c>
      <c r="AA145" s="23">
        <f>EXP(-LN(2)/25)*AA144+(1-EXP(-LN(2)/25))/(LN(2)/25)*Calculateur!V145*Calculateur!X145*VLOOKUP('Données projet'!$B$9,Paramètres!$A$1:$I$89,3,0)*0.475*44/12</f>
        <v>0.18642783672393146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3.6852725378882036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2.6</v>
      </c>
      <c r="AI145" s="14">
        <f>IF('Données projet'!$A$62&gt;35,AI144+AH145-AQ144,IF(A145&lt;'Données projet'!$A$62,$AF$205^A145,IF(A145='Données projet'!$A$62,'Données projet'!$B$62,AI144+AH145-AQ144)))</f>
        <v>287.19999999999948</v>
      </c>
      <c r="AJ145" s="14">
        <f>AI145*VLOOKUP('Données projet'!$B$10,Paramètres!$A$1:$I$89,3,0)*VLOOKUP('Données projet'!$B$10,Paramètres!$A$1:$I$89,5,0)</f>
        <v>241.93727999999959</v>
      </c>
      <c r="AK145" s="14">
        <f t="shared" si="143"/>
        <v>58.85615048137516</v>
      </c>
      <c r="AL145" s="22">
        <f t="shared" si="112"/>
        <v>523.88189142172769</v>
      </c>
      <c r="AM145" s="62">
        <f t="shared" si="113"/>
        <v>817.21522475506094</v>
      </c>
      <c r="AN145" s="62">
        <f ca="1">AVERAGE(OFFSET($AM$3,0,0,'Données projet'!$E$10+1,1))-AVERAGE(OFFSET($H$3,0,0,'Données projet'!$E$10+1,1))</f>
        <v>237.45928008030023</v>
      </c>
      <c r="AO145" s="62">
        <f t="shared" si="144"/>
        <v>126.78839015508379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2.7134774427395314E-13</v>
      </c>
      <c r="BF145" s="14">
        <f t="shared" si="145"/>
        <v>3.6292411711343559E-12</v>
      </c>
      <c r="BG145" s="22">
        <f t="shared" si="115"/>
        <v>6.7935256943361388E-12</v>
      </c>
      <c r="BH145" s="62">
        <f t="shared" si="116"/>
        <v>293.33333333334014</v>
      </c>
      <c r="BI145" s="62">
        <f ca="1">AVERAGE(OFFSET($BH$3,0,0,'Données projet'!$E$11+1,1))-AVERAGE(OFFSET($H$3,0,0,'Données projet'!$E$11+1,1))</f>
        <v>210.55867376929405</v>
      </c>
      <c r="BJ145" s="62">
        <f t="shared" si="146"/>
        <v>249.73837672556022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113.7707999999996</v>
      </c>
      <c r="D146" s="12">
        <f t="shared" si="140"/>
        <v>30.21766417058015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1111.4898988606155</v>
      </c>
      <c r="H146" s="70">
        <f t="shared" si="110"/>
        <v>544.11324176375967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8.0000000000012506E-2</v>
      </c>
      <c r="O146" s="14">
        <f>N146*VLOOKUP('Données projet'!$B$9,Paramètres!$A$1:$I$89,3,0)*VLOOKUP('Données projet'!$B$9,Paramètres!$A$1:$I$89,5,0)</f>
        <v>4.0684800000006363E-2</v>
      </c>
      <c r="P146" s="14">
        <f t="shared" si="141"/>
        <v>2.7217381697540451E-2</v>
      </c>
      <c r="Q146" s="22">
        <f t="shared" si="108"/>
        <v>0.11826296645656069</v>
      </c>
      <c r="R146" s="62">
        <f t="shared" si="109"/>
        <v>293.45159629978986</v>
      </c>
      <c r="S146" s="62">
        <f ca="1">AVERAGE(OFFSET($R$3,0,0,'Données projet'!$E$9+1,1))-AVERAGE(OFFSET($H$3,0,0,'Données projet'!$E$9+1,1))</f>
        <v>57.778110971082867</v>
      </c>
      <c r="T146" s="62">
        <f t="shared" si="142"/>
        <v>144.26475989880868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3.430234490658985</v>
      </c>
      <c r="AA146" s="23">
        <f>EXP(-LN(2)/25)*AA145+(1-EXP(-LN(2)/25))/(LN(2)/25)*Calculateur!V146*Calculateur!X146*VLOOKUP('Données projet'!$B$9,Paramètres!$A$1:$I$89,3,0)*0.475*44/12</f>
        <v>0.18132995772490171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3.6115644483838869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2.6</v>
      </c>
      <c r="AI146" s="14">
        <f>IF('Données projet'!$A$62&gt;35,AI145+AH146-AQ145,IF(A146&lt;'Données projet'!$A$62,$AF$205^A146,IF(A146='Données projet'!$A$62,'Données projet'!$B$62,AI145+AH146-AQ145)))</f>
        <v>289.7999999999995</v>
      </c>
      <c r="AJ146" s="14">
        <f>AI146*VLOOKUP('Données projet'!$B$10,Paramètres!$A$1:$I$89,3,0)*VLOOKUP('Données projet'!$B$10,Paramètres!$A$1:$I$89,5,0)</f>
        <v>244.12751999999961</v>
      </c>
      <c r="AK146" s="14">
        <f t="shared" si="143"/>
        <v>59.3267032782855</v>
      </c>
      <c r="AL146" s="22">
        <f t="shared" si="112"/>
        <v>528.51610554301317</v>
      </c>
      <c r="AM146" s="62">
        <f t="shared" si="113"/>
        <v>821.84943887634654</v>
      </c>
      <c r="AN146" s="62">
        <f ca="1">AVERAGE(OFFSET($AM$3,0,0,'Données projet'!$E$10+1,1))-AVERAGE(OFFSET($H$3,0,0,'Données projet'!$E$10+1,1))</f>
        <v>237.45928008030023</v>
      </c>
      <c r="AO146" s="62">
        <f t="shared" si="144"/>
        <v>126.78839015508379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2.7134774427395314E-13</v>
      </c>
      <c r="BF146" s="14">
        <f t="shared" si="145"/>
        <v>3.6292411711343559E-12</v>
      </c>
      <c r="BG146" s="22">
        <f t="shared" si="115"/>
        <v>6.7935256943361388E-12</v>
      </c>
      <c r="BH146" s="62">
        <f t="shared" si="116"/>
        <v>293.33333333334014</v>
      </c>
      <c r="BI146" s="62">
        <f ca="1">AVERAGE(OFFSET($BH$3,0,0,'Données projet'!$E$11+1,1))-AVERAGE(OFFSET($H$3,0,0,'Données projet'!$E$11+1,1))</f>
        <v>210.55867376929405</v>
      </c>
      <c r="BJ146" s="62">
        <f t="shared" si="146"/>
        <v>249.73837672556022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114.56639999999959</v>
      </c>
      <c r="D147" s="12">
        <f t="shared" si="140"/>
        <v>30.404303956519104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1119.0721007169866</v>
      </c>
      <c r="H147" s="70">
        <f t="shared" si="110"/>
        <v>545.82397605760343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8.0000000000012506E-2</v>
      </c>
      <c r="O147" s="14">
        <f>N147*VLOOKUP('Données projet'!$B$9,Paramètres!$A$1:$I$89,3,0)*VLOOKUP('Données projet'!$B$9,Paramètres!$A$1:$I$89,5,0)</f>
        <v>4.0684800000006363E-2</v>
      </c>
      <c r="P147" s="14">
        <f t="shared" si="141"/>
        <v>2.7217381697540451E-2</v>
      </c>
      <c r="Q147" s="22">
        <f t="shared" si="108"/>
        <v>0.11826296645656069</v>
      </c>
      <c r="R147" s="62">
        <f t="shared" si="109"/>
        <v>293.45159629978986</v>
      </c>
      <c r="S147" s="62">
        <f ca="1">AVERAGE(OFFSET($R$3,0,0,'Données projet'!$E$9+1,1))-AVERAGE(OFFSET($H$3,0,0,'Données projet'!$E$9+1,1))</f>
        <v>57.778110971082867</v>
      </c>
      <c r="T147" s="62">
        <f t="shared" si="142"/>
        <v>144.26475989880868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3.3629696845336103</v>
      </c>
      <c r="AA147" s="23">
        <f>EXP(-LN(2)/25)*AA146+(1-EXP(-LN(2)/25))/(LN(2)/25)*Calculateur!V147*Calculateur!X147*VLOOKUP('Données projet'!$B$9,Paramètres!$A$1:$I$89,3,0)*0.475*44/12</f>
        <v>0.17637148049518622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3.5393411650287967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2.6</v>
      </c>
      <c r="AI147" s="14">
        <f>IF('Données projet'!$A$62&gt;35,AI146+AH147-AQ146,IF(A147&lt;'Données projet'!$A$62,$AF$205^A147,IF(A147='Données projet'!$A$62,'Données projet'!$B$62,AI146+AH147-AQ146)))</f>
        <v>292.39999999999952</v>
      </c>
      <c r="AJ147" s="14">
        <f>AI147*VLOOKUP('Données projet'!$B$10,Paramètres!$A$1:$I$89,3,0)*VLOOKUP('Données projet'!$B$10,Paramètres!$A$1:$I$89,5,0)</f>
        <v>246.31775999999962</v>
      </c>
      <c r="AK147" s="14">
        <f t="shared" si="143"/>
        <v>59.796764923418536</v>
      </c>
      <c r="AL147" s="22">
        <f t="shared" si="112"/>
        <v>533.14946424161997</v>
      </c>
      <c r="AM147" s="62">
        <f t="shared" si="113"/>
        <v>826.48279757495334</v>
      </c>
      <c r="AN147" s="62">
        <f ca="1">AVERAGE(OFFSET($AM$3,0,0,'Données projet'!$E$10+1,1))-AVERAGE(OFFSET($H$3,0,0,'Données projet'!$E$10+1,1))</f>
        <v>237.45928008030023</v>
      </c>
      <c r="AO147" s="62">
        <f t="shared" si="144"/>
        <v>126.78839015508379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2.7134774427395314E-13</v>
      </c>
      <c r="BF147" s="14">
        <f t="shared" si="145"/>
        <v>3.6292411711343559E-12</v>
      </c>
      <c r="BG147" s="22">
        <f t="shared" si="115"/>
        <v>6.7935256943361388E-12</v>
      </c>
      <c r="BH147" s="62">
        <f t="shared" si="116"/>
        <v>293.33333333334014</v>
      </c>
      <c r="BI147" s="62">
        <f ca="1">AVERAGE(OFFSET($BH$3,0,0,'Données projet'!$E$11+1,1))-AVERAGE(OFFSET($H$3,0,0,'Données projet'!$E$11+1,1))</f>
        <v>210.55867376929405</v>
      </c>
      <c r="BJ147" s="62">
        <f t="shared" si="146"/>
        <v>249.73837672556022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115.36199999999958</v>
      </c>
      <c r="D148" s="12">
        <f t="shared" si="140"/>
        <v>30.590792934974662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1126.6531384454154</v>
      </c>
      <c r="H148" s="70">
        <f t="shared" si="110"/>
        <v>547.53444769508019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8.0000000000012506E-2</v>
      </c>
      <c r="O148" s="14">
        <f>N148*VLOOKUP('Données projet'!$B$9,Paramètres!$A$1:$I$89,3,0)*VLOOKUP('Données projet'!$B$9,Paramètres!$A$1:$I$89,5,0)</f>
        <v>4.0684800000006363E-2</v>
      </c>
      <c r="P148" s="14">
        <f t="shared" si="141"/>
        <v>2.7217381697540451E-2</v>
      </c>
      <c r="Q148" s="22">
        <f t="shared" si="108"/>
        <v>0.11826296645656069</v>
      </c>
      <c r="R148" s="62">
        <f t="shared" si="109"/>
        <v>293.45159629978986</v>
      </c>
      <c r="S148" s="62">
        <f ca="1">AVERAGE(OFFSET($R$3,0,0,'Données projet'!$E$9+1,1))-AVERAGE(OFFSET($H$3,0,0,'Données projet'!$E$9+1,1))</f>
        <v>57.778110971082867</v>
      </c>
      <c r="T148" s="62">
        <f t="shared" si="142"/>
        <v>144.26475989880868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3.2970239002288739</v>
      </c>
      <c r="AA148" s="23">
        <f>EXP(-LN(2)/25)*AA147+(1-EXP(-LN(2)/25))/(LN(2)/25)*Calculateur!V148*Calculateur!X148*VLOOKUP('Données projet'!$B$9,Paramètres!$A$1:$I$89,3,0)*0.475*44/12</f>
        <v>0.17154859308607229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3.4685724933149462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295</v>
      </c>
      <c r="AG148" s="13">
        <f>VLOOKUP(A148,'Données projet'!$A$61:$I$81,9,0)</f>
        <v>2.6</v>
      </c>
      <c r="AH148" s="13">
        <f t="array" ref="AH148">INDEX(AG:AG,MIN(IF(ISNUMBER(AG148:AG344),ROW(AG148:AG344),"")))</f>
        <v>2.6</v>
      </c>
      <c r="AI148" s="14">
        <f>IF('Données projet'!$A$62&gt;35,AI147+AH148-AQ147,IF(A148&lt;'Données projet'!$A$62,$AF$205^A148,IF(A148='Données projet'!$A$62,'Données projet'!$B$62,AI147+AH148-AQ147)))</f>
        <v>294.99999999999955</v>
      </c>
      <c r="AJ148" s="14">
        <f>AI148*VLOOKUP('Données projet'!$B$10,Paramètres!$A$1:$I$89,3,0)*VLOOKUP('Données projet'!$B$10,Paramètres!$A$1:$I$89,5,0)</f>
        <v>248.50799999999964</v>
      </c>
      <c r="AK148" s="14">
        <f t="shared" si="143"/>
        <v>60.26634029001962</v>
      </c>
      <c r="AL148" s="22">
        <f t="shared" si="112"/>
        <v>537.78197600511692</v>
      </c>
      <c r="AM148" s="62">
        <f t="shared" si="113"/>
        <v>831.11530933845029</v>
      </c>
      <c r="AN148" s="62">
        <f ca="1">AVERAGE(OFFSET($AM$3,0,0,'Données projet'!$E$10+1,1))-AVERAGE(OFFSET($H$3,0,0,'Données projet'!$E$10+1,1))</f>
        <v>237.45928008030023</v>
      </c>
      <c r="AO148" s="62">
        <f t="shared" si="144"/>
        <v>126.78839015508379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2.7134774427395314E-13</v>
      </c>
      <c r="BF148" s="14">
        <f t="shared" si="145"/>
        <v>3.6292411711343559E-12</v>
      </c>
      <c r="BG148" s="22">
        <f t="shared" si="115"/>
        <v>6.7935256943361388E-12</v>
      </c>
      <c r="BH148" s="62">
        <f t="shared" si="116"/>
        <v>293.33333333334014</v>
      </c>
      <c r="BI148" s="62">
        <f ca="1">AVERAGE(OFFSET($BH$3,0,0,'Données projet'!$E$11+1,1))-AVERAGE(OFFSET($H$3,0,0,'Données projet'!$E$11+1,1))</f>
        <v>210.55867376929405</v>
      </c>
      <c r="BJ148" s="62">
        <f t="shared" si="146"/>
        <v>249.73837672556022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116.15759999999958</v>
      </c>
      <c r="D149" s="12">
        <f t="shared" si="140"/>
        <v>30.777132266612945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1134.2330210054299</v>
      </c>
      <c r="H149" s="70">
        <f t="shared" si="110"/>
        <v>549.24465869768346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8.0000000000012506E-2</v>
      </c>
      <c r="O149" s="14">
        <f>N149*VLOOKUP('Données projet'!$B$9,Paramètres!$A$1:$I$89,3,0)*VLOOKUP('Données projet'!$B$9,Paramètres!$A$1:$I$89,5,0)</f>
        <v>4.0684800000006363E-2</v>
      </c>
      <c r="P149" s="14">
        <f t="shared" si="141"/>
        <v>2.7217381697540451E-2</v>
      </c>
      <c r="Q149" s="22">
        <f t="shared" si="108"/>
        <v>0.11826296645656069</v>
      </c>
      <c r="R149" s="62">
        <f t="shared" si="109"/>
        <v>293.45159629978986</v>
      </c>
      <c r="S149" s="62">
        <f ca="1">AVERAGE(OFFSET($R$3,0,0,'Données projet'!$E$9+1,1))-AVERAGE(OFFSET($H$3,0,0,'Données projet'!$E$9+1,1))</f>
        <v>57.778110971082867</v>
      </c>
      <c r="T149" s="62">
        <f t="shared" si="142"/>
        <v>144.26475989880868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3.2323712725313967</v>
      </c>
      <c r="AA149" s="23">
        <f>EXP(-LN(2)/25)*AA148+(1-EXP(-LN(2)/25))/(LN(2)/25)*Calculateur!V149*Calculateur!X149*VLOOKUP('Données projet'!$B$9,Paramètres!$A$1:$I$89,3,0)*0.475*44/12</f>
        <v>0.16685758778678522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3.3992288603181819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2.2000000000000002</v>
      </c>
      <c r="AI149" s="14">
        <f>IF('Données projet'!$A$62&gt;35,AI148+AH149-AQ148,IF(A149&lt;'Données projet'!$A$62,$AF$205^A149,IF(A149='Données projet'!$A$62,'Données projet'!$B$62,AI148+AH149-AQ148)))</f>
        <v>297.19999999999953</v>
      </c>
      <c r="AJ149" s="14">
        <f>AI149*VLOOKUP('Données projet'!$B$10,Paramètres!$A$1:$I$89,3,0)*VLOOKUP('Données projet'!$B$10,Paramètres!$A$1:$I$89,5,0)</f>
        <v>250.36127999999965</v>
      </c>
      <c r="AK149" s="14">
        <f t="shared" si="143"/>
        <v>60.663297023677906</v>
      </c>
      <c r="AL149" s="22">
        <f t="shared" si="112"/>
        <v>541.70113831623837</v>
      </c>
      <c r="AM149" s="62">
        <f t="shared" si="113"/>
        <v>835.03447164957174</v>
      </c>
      <c r="AN149" s="62">
        <f ca="1">AVERAGE(OFFSET($AM$3,0,0,'Données projet'!$E$10+1,1))-AVERAGE(OFFSET($H$3,0,0,'Données projet'!$E$10+1,1))</f>
        <v>237.45928008030023</v>
      </c>
      <c r="AO149" s="62">
        <f t="shared" si="144"/>
        <v>126.78839015508379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2.7134774427395314E-13</v>
      </c>
      <c r="BF149" s="14">
        <f t="shared" si="145"/>
        <v>3.6292411711343559E-12</v>
      </c>
      <c r="BG149" s="22">
        <f t="shared" si="115"/>
        <v>6.7935256943361388E-12</v>
      </c>
      <c r="BH149" s="62">
        <f t="shared" si="116"/>
        <v>293.33333333334014</v>
      </c>
      <c r="BI149" s="62">
        <f ca="1">AVERAGE(OFFSET($BH$3,0,0,'Données projet'!$E$11+1,1))-AVERAGE(OFFSET($H$3,0,0,'Données projet'!$E$11+1,1))</f>
        <v>210.55867376929405</v>
      </c>
      <c r="BJ149" s="62">
        <f t="shared" si="146"/>
        <v>249.73837672556022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116.95319999999957</v>
      </c>
      <c r="D150" s="12">
        <f t="shared" si="140"/>
        <v>30.963323095281581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1141.8117572267317</v>
      </c>
      <c r="H150" s="70">
        <f t="shared" si="110"/>
        <v>550.95461105761467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8.0000000000012506E-2</v>
      </c>
      <c r="O150" s="14">
        <f>N150*VLOOKUP('Données projet'!$B$9,Paramètres!$A$1:$I$89,3,0)*VLOOKUP('Données projet'!$B$9,Paramètres!$A$1:$I$89,5,0)</f>
        <v>4.0684800000006363E-2</v>
      </c>
      <c r="P150" s="14">
        <f t="shared" si="141"/>
        <v>2.7217381697540451E-2</v>
      </c>
      <c r="Q150" s="22">
        <f t="shared" si="108"/>
        <v>0.11826296645656069</v>
      </c>
      <c r="R150" s="62">
        <f t="shared" si="109"/>
        <v>293.45159629978986</v>
      </c>
      <c r="S150" s="62">
        <f ca="1">AVERAGE(OFFSET($R$3,0,0,'Données projet'!$E$9+1,1))-AVERAGE(OFFSET($H$3,0,0,'Données projet'!$E$9+1,1))</f>
        <v>57.778110971082867</v>
      </c>
      <c r="T150" s="62">
        <f t="shared" si="142"/>
        <v>144.26475989880868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3.1689864434288575</v>
      </c>
      <c r="AA150" s="23">
        <f>EXP(-LN(2)/25)*AA149+(1-EXP(-LN(2)/25))/(LN(2)/25)*Calculateur!V150*Calculateur!X150*VLOOKUP('Données projet'!$B$9,Paramètres!$A$1:$I$89,3,0)*0.475*44/12</f>
        <v>0.1622948582740964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3.3312813017029539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2.2000000000000002</v>
      </c>
      <c r="AI150" s="14">
        <f>IF('Données projet'!$A$62&gt;35,AI149+AH150-AQ149,IF(A150&lt;'Données projet'!$A$62,$AF$205^A150,IF(A150='Données projet'!$A$62,'Données projet'!$B$62,AI149+AH150-AQ149)))</f>
        <v>299.39999999999952</v>
      </c>
      <c r="AJ150" s="14">
        <f>AI150*VLOOKUP('Données projet'!$B$10,Paramètres!$A$1:$I$89,3,0)*VLOOKUP('Données projet'!$B$10,Paramètres!$A$1:$I$89,5,0)</f>
        <v>252.21455999999964</v>
      </c>
      <c r="AK150" s="14">
        <f t="shared" si="143"/>
        <v>61.059911866756195</v>
      </c>
      <c r="AL150" s="22">
        <f t="shared" si="112"/>
        <v>545.61970516793315</v>
      </c>
      <c r="AM150" s="62">
        <f t="shared" si="113"/>
        <v>838.95303850126652</v>
      </c>
      <c r="AN150" s="62">
        <f ca="1">AVERAGE(OFFSET($AM$3,0,0,'Données projet'!$E$10+1,1))-AVERAGE(OFFSET($H$3,0,0,'Données projet'!$E$10+1,1))</f>
        <v>237.45928008030023</v>
      </c>
      <c r="AO150" s="62">
        <f t="shared" si="144"/>
        <v>126.78839015508379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2.7134774427395314E-13</v>
      </c>
      <c r="BF150" s="14">
        <f t="shared" si="145"/>
        <v>3.6292411711343559E-12</v>
      </c>
      <c r="BG150" s="22">
        <f t="shared" si="115"/>
        <v>6.7935256943361388E-12</v>
      </c>
      <c r="BH150" s="62">
        <f t="shared" si="116"/>
        <v>293.33333333334014</v>
      </c>
      <c r="BI150" s="62">
        <f ca="1">AVERAGE(OFFSET($BH$3,0,0,'Données projet'!$E$11+1,1))-AVERAGE(OFFSET($H$3,0,0,'Données projet'!$E$11+1,1))</f>
        <v>210.55867376929405</v>
      </c>
      <c r="BJ150" s="62">
        <f t="shared" si="146"/>
        <v>249.73837672556022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117.74879999999956</v>
      </c>
      <c r="D151" s="12">
        <f t="shared" si="140"/>
        <v>31.149366548365943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1149.3893558119444</v>
      </c>
      <c r="H151" s="70">
        <f t="shared" si="110"/>
        <v>552.66430673840318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8.0000000000012506E-2</v>
      </c>
      <c r="O151" s="14">
        <f>N151*VLOOKUP('Données projet'!$B$9,Paramètres!$A$1:$I$89,3,0)*VLOOKUP('Données projet'!$B$9,Paramètres!$A$1:$I$89,5,0)</f>
        <v>4.0684800000006363E-2</v>
      </c>
      <c r="P151" s="14">
        <f t="shared" si="141"/>
        <v>2.7217381697540451E-2</v>
      </c>
      <c r="Q151" s="22">
        <f t="shared" si="108"/>
        <v>0.11826296645656069</v>
      </c>
      <c r="R151" s="62">
        <f t="shared" si="109"/>
        <v>293.45159629978986</v>
      </c>
      <c r="S151" s="62">
        <f ca="1">AVERAGE(OFFSET($R$3,0,0,'Données projet'!$E$9+1,1))-AVERAGE(OFFSET($H$3,0,0,'Données projet'!$E$9+1,1))</f>
        <v>57.778110971082867</v>
      </c>
      <c r="T151" s="62">
        <f t="shared" si="142"/>
        <v>144.26475989880868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3.1068445521640911</v>
      </c>
      <c r="AA151" s="23">
        <f>EXP(-LN(2)/25)*AA150+(1-EXP(-LN(2)/25))/(LN(2)/25)*Calculateur!V151*Calculateur!X151*VLOOKUP('Données projet'!$B$9,Paramètres!$A$1:$I$89,3,0)*0.475*44/12</f>
        <v>0.15785689683987555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3.2647014490039665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2.2000000000000002</v>
      </c>
      <c r="AI151" s="14">
        <f>IF('Données projet'!$A$62&gt;35,AI150+AH151-AQ150,IF(A151&lt;'Données projet'!$A$62,$AF$205^A151,IF(A151='Données projet'!$A$62,'Données projet'!$B$62,AI150+AH151-AQ150)))</f>
        <v>301.59999999999951</v>
      </c>
      <c r="AJ151" s="14">
        <f>AI151*VLOOKUP('Données projet'!$B$10,Paramètres!$A$1:$I$89,3,0)*VLOOKUP('Données projet'!$B$10,Paramètres!$A$1:$I$89,5,0)</f>
        <v>254.06783999999962</v>
      </c>
      <c r="AK151" s="14">
        <f t="shared" si="143"/>
        <v>61.456187622750669</v>
      </c>
      <c r="AL151" s="22">
        <f t="shared" si="112"/>
        <v>549.5376814429568</v>
      </c>
      <c r="AM151" s="62">
        <f t="shared" si="113"/>
        <v>842.87101477629017</v>
      </c>
      <c r="AN151" s="62">
        <f ca="1">AVERAGE(OFFSET($AM$3,0,0,'Données projet'!$E$10+1,1))-AVERAGE(OFFSET($H$3,0,0,'Données projet'!$E$10+1,1))</f>
        <v>237.45928008030023</v>
      </c>
      <c r="AO151" s="62">
        <f t="shared" si="144"/>
        <v>126.78839015508379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2.7134774427395314E-13</v>
      </c>
      <c r="BF151" s="14">
        <f t="shared" si="145"/>
        <v>3.6292411711343559E-12</v>
      </c>
      <c r="BG151" s="22">
        <f t="shared" si="115"/>
        <v>6.7935256943361388E-12</v>
      </c>
      <c r="BH151" s="62">
        <f t="shared" si="116"/>
        <v>293.33333333334014</v>
      </c>
      <c r="BI151" s="62">
        <f ca="1">AVERAGE(OFFSET($BH$3,0,0,'Données projet'!$E$11+1,1))-AVERAGE(OFFSET($H$3,0,0,'Données projet'!$E$11+1,1))</f>
        <v>210.55867376929405</v>
      </c>
      <c r="BJ151" s="62">
        <f t="shared" si="146"/>
        <v>249.73837672556022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118.54439999999956</v>
      </c>
      <c r="D152" s="12">
        <f t="shared" si="140"/>
        <v>31.335263737135815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1156.9658253392906</v>
      </c>
      <c r="H152" s="70">
        <f t="shared" si="110"/>
        <v>554.37374767551069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8.0000000000012506E-2</v>
      </c>
      <c r="O152" s="14">
        <f>N152*VLOOKUP('Données projet'!$B$9,Paramètres!$A$1:$I$89,3,0)*VLOOKUP('Données projet'!$B$9,Paramètres!$A$1:$I$89,5,0)</f>
        <v>4.0684800000006363E-2</v>
      </c>
      <c r="P152" s="14">
        <f t="shared" si="141"/>
        <v>2.7217381697540451E-2</v>
      </c>
      <c r="Q152" s="22">
        <f t="shared" si="108"/>
        <v>0.11826296645656069</v>
      </c>
      <c r="R152" s="62">
        <f t="shared" si="109"/>
        <v>293.45159629978986</v>
      </c>
      <c r="S152" s="62">
        <f ca="1">AVERAGE(OFFSET($R$3,0,0,'Données projet'!$E$9+1,1))-AVERAGE(OFFSET($H$3,0,0,'Données projet'!$E$9+1,1))</f>
        <v>57.778110971082867</v>
      </c>
      <c r="T152" s="62">
        <f t="shared" si="142"/>
        <v>144.26475989880868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3.0459212254842156</v>
      </c>
      <c r="AA152" s="23">
        <f>EXP(-LN(2)/25)*AA151+(1-EXP(-LN(2)/25))/(LN(2)/25)*Calculateur!V152*Calculateur!X152*VLOOKUP('Données projet'!$B$9,Paramètres!$A$1:$I$89,3,0)*0.475*44/12</f>
        <v>0.15354029169445574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3.1994615171786713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2.2000000000000002</v>
      </c>
      <c r="AI152" s="14">
        <f>IF('Données projet'!$A$62&gt;35,AI151+AH152-AQ151,IF(A152&lt;'Données projet'!$A$62,$AF$205^A152,IF(A152='Données projet'!$A$62,'Données projet'!$B$62,AI151+AH152-AQ151)))</f>
        <v>303.7999999999995</v>
      </c>
      <c r="AJ152" s="14">
        <f>AI152*VLOOKUP('Données projet'!$B$10,Paramètres!$A$1:$I$89,3,0)*VLOOKUP('Données projet'!$B$10,Paramètres!$A$1:$I$89,5,0)</f>
        <v>255.9211199999996</v>
      </c>
      <c r="AK152" s="14">
        <f t="shared" si="143"/>
        <v>61.852127051894556</v>
      </c>
      <c r="AL152" s="22">
        <f t="shared" si="112"/>
        <v>553.45507194871561</v>
      </c>
      <c r="AM152" s="62">
        <f t="shared" si="113"/>
        <v>846.78840528204887</v>
      </c>
      <c r="AN152" s="62">
        <f ca="1">AVERAGE(OFFSET($AM$3,0,0,'Données projet'!$E$10+1,1))-AVERAGE(OFFSET($H$3,0,0,'Données projet'!$E$10+1,1))</f>
        <v>237.45928008030023</v>
      </c>
      <c r="AO152" s="62">
        <f t="shared" si="144"/>
        <v>126.78839015508379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2.7134774427395314E-13</v>
      </c>
      <c r="BF152" s="14">
        <f t="shared" si="145"/>
        <v>3.6292411711343559E-12</v>
      </c>
      <c r="BG152" s="22">
        <f t="shared" si="115"/>
        <v>6.7935256943361388E-12</v>
      </c>
      <c r="BH152" s="62">
        <f t="shared" si="116"/>
        <v>293.33333333334014</v>
      </c>
      <c r="BI152" s="62">
        <f ca="1">AVERAGE(OFFSET($BH$3,0,0,'Données projet'!$E$11+1,1))-AVERAGE(OFFSET($H$3,0,0,'Données projet'!$E$11+1,1))</f>
        <v>210.55867376929405</v>
      </c>
      <c r="BJ152" s="62">
        <f t="shared" si="146"/>
        <v>249.73837672556022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119.33999999999955</v>
      </c>
      <c r="D153" s="12">
        <f t="shared" si="140"/>
        <v>31.521015757082349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1164.5411742651938</v>
      </c>
      <c r="H153" s="70">
        <f t="shared" si="110"/>
        <v>556.08293577691757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8.0000000000012506E-2</v>
      </c>
      <c r="O153" s="14">
        <f>N153*VLOOKUP('Données projet'!$B$9,Paramètres!$A$1:$I$89,3,0)*VLOOKUP('Données projet'!$B$9,Paramètres!$A$1:$I$89,5,0)</f>
        <v>4.0684800000006363E-2</v>
      </c>
      <c r="P153" s="14">
        <f t="shared" si="141"/>
        <v>2.7217381697540451E-2</v>
      </c>
      <c r="Q153" s="22">
        <f t="shared" si="108"/>
        <v>0.11826296645656069</v>
      </c>
      <c r="R153" s="62">
        <f t="shared" si="109"/>
        <v>293.45159629978986</v>
      </c>
      <c r="S153" s="62">
        <f ca="1">AVERAGE(OFFSET($R$3,0,0,'Données projet'!$E$9+1,1))-AVERAGE(OFFSET($H$3,0,0,'Données projet'!$E$9+1,1))</f>
        <v>57.778110971082867</v>
      </c>
      <c r="T153" s="62">
        <f t="shared" si="142"/>
        <v>144.26475989880868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2.9861925680809724</v>
      </c>
      <c r="AA153" s="23">
        <f>EXP(-LN(2)/25)*AA152+(1-EXP(-LN(2)/25))/(LN(2)/25)*Calculateur!V153*Calculateur!X153*VLOOKUP('Données projet'!$B$9,Paramètres!$A$1:$I$89,3,0)*0.475*44/12</f>
        <v>0.14934172434373783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3.13553429242471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306</v>
      </c>
      <c r="AG153" s="13">
        <f>VLOOKUP(A153,'Données projet'!$A$61:$I$81,9,0)</f>
        <v>2.2000000000000002</v>
      </c>
      <c r="AH153" s="13">
        <f t="array" ref="AH153">INDEX(AG:AG,MIN(IF(ISNUMBER(AG153:AG349),ROW(AG153:AG349),"")))</f>
        <v>2.2000000000000002</v>
      </c>
      <c r="AI153" s="14">
        <f>IF('Données projet'!$A$62&gt;35,AI152+AH153-AQ152,IF(A153&lt;'Données projet'!$A$62,$AF$205^A153,IF(A153='Données projet'!$A$62,'Données projet'!$B$62,AI152+AH153-AQ152)))</f>
        <v>305.99999999999949</v>
      </c>
      <c r="AJ153" s="14">
        <f>AI153*VLOOKUP('Données projet'!$B$10,Paramètres!$A$1:$I$89,3,0)*VLOOKUP('Données projet'!$B$10,Paramètres!$A$1:$I$89,5,0)</f>
        <v>257.77439999999956</v>
      </c>
      <c r="AK153" s="14">
        <f t="shared" si="143"/>
        <v>62.247732872134186</v>
      </c>
      <c r="AL153" s="22">
        <f t="shared" si="112"/>
        <v>557.37188141896615</v>
      </c>
      <c r="AM153" s="62">
        <f t="shared" si="113"/>
        <v>850.70521475229953</v>
      </c>
      <c r="AN153" s="62">
        <f ca="1">AVERAGE(OFFSET($AM$3,0,0,'Données projet'!$E$10+1,1))-AVERAGE(OFFSET($H$3,0,0,'Données projet'!$E$10+1,1))</f>
        <v>237.45928008030023</v>
      </c>
      <c r="AO153" s="62">
        <f t="shared" si="144"/>
        <v>126.78839015508379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306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2.7134774427395314E-13</v>
      </c>
      <c r="BF153" s="14">
        <f t="shared" si="145"/>
        <v>3.6292411711343559E-12</v>
      </c>
      <c r="BG153" s="22">
        <f t="shared" si="115"/>
        <v>6.7935256943361388E-12</v>
      </c>
      <c r="BH153" s="62">
        <f t="shared" si="116"/>
        <v>293.33333333334014</v>
      </c>
      <c r="BI153" s="62">
        <f ca="1">AVERAGE(OFFSET($BH$3,0,0,'Données projet'!$E$11+1,1))-AVERAGE(OFFSET($H$3,0,0,'Données projet'!$E$11+1,1))</f>
        <v>210.55867376929405</v>
      </c>
      <c r="BJ153" s="62">
        <f t="shared" si="146"/>
        <v>249.73837672556022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120.13559999999954</v>
      </c>
      <c r="D154" s="12">
        <f t="shared" si="140"/>
        <v>31.706623688245624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1172.1154109268048</v>
      </c>
      <c r="H154" s="70">
        <f t="shared" si="110"/>
        <v>557.79187292369363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8.0000000000012506E-2</v>
      </c>
      <c r="O154" s="14">
        <f>N154*VLOOKUP('Données projet'!$B$9,Paramètres!$A$1:$I$89,3,0)*VLOOKUP('Données projet'!$B$9,Paramètres!$A$1:$I$89,5,0)</f>
        <v>4.0684800000006363E-2</v>
      </c>
      <c r="P154" s="14">
        <f t="shared" si="141"/>
        <v>2.7217381697540451E-2</v>
      </c>
      <c r="Q154" s="22">
        <f t="shared" ref="Q154:Q203" si="162">(O154+P154)*0.475*44/12</f>
        <v>0.11826296645656069</v>
      </c>
      <c r="R154" s="62">
        <f t="shared" si="109"/>
        <v>293.45159629978986</v>
      </c>
      <c r="S154" s="62">
        <f ca="1">AVERAGE(OFFSET($R$3,0,0,'Données projet'!$E$9+1,1))-AVERAGE(OFFSET($H$3,0,0,'Données projet'!$E$9+1,1))</f>
        <v>57.778110971082867</v>
      </c>
      <c r="T154" s="62">
        <f t="shared" si="142"/>
        <v>144.26475989880868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2.9276351532185232</v>
      </c>
      <c r="AA154" s="23">
        <f>EXP(-LN(2)/25)*AA153+(1-EXP(-LN(2)/25))/(LN(2)/25)*Calculateur!V154*Calculateur!X154*VLOOKUP('Données projet'!$B$9,Paramètres!$A$1:$I$89,3,0)*0.475*44/12</f>
        <v>0.14525796703801835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3.0728931202565417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-5.1159076974727213E-13</v>
      </c>
      <c r="AJ154" s="14">
        <f>AI154*VLOOKUP('Données projet'!$B$10,Paramètres!$A$1:$I$89,3,0)*VLOOKUP('Données projet'!$B$10,Paramètres!$A$1:$I$89,5,0)</f>
        <v>-4.3096406443510209E-13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237.45928008030023</v>
      </c>
      <c r="AO154" s="62">
        <f t="shared" si="144"/>
        <v>126.78839015508379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2.7134774427395314E-13</v>
      </c>
      <c r="BF154" s="14">
        <f t="shared" ref="BF154:BF203" si="167">EXP(-1.0587+0.8836*LN(BE154)+0.284)</f>
        <v>3.6292411711343559E-12</v>
      </c>
      <c r="BG154" s="22">
        <f t="shared" ref="BG154:BG203" si="168">(BE154+BF154)*0.475*44/12</f>
        <v>6.7935256943361388E-12</v>
      </c>
      <c r="BH154" s="62">
        <f t="shared" si="116"/>
        <v>293.33333333334014</v>
      </c>
      <c r="BI154" s="62">
        <f ca="1">AVERAGE(OFFSET($BH$3,0,0,'Données projet'!$E$11+1,1))-AVERAGE(OFFSET($H$3,0,0,'Données projet'!$E$11+1,1))</f>
        <v>210.55867376929405</v>
      </c>
      <c r="BJ154" s="62">
        <f t="shared" si="146"/>
        <v>249.73837672556022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120.93119999999954</v>
      </c>
      <c r="D155" s="12">
        <f t="shared" si="140"/>
        <v>31.892088595533536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1179.688543544466</v>
      </c>
      <c r="H155" s="70">
        <f t="shared" si="110"/>
        <v>559.50056097055335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8.0000000000012506E-2</v>
      </c>
      <c r="O155" s="14">
        <f>N155*VLOOKUP('Données projet'!$B$9,Paramètres!$A$1:$I$89,3,0)*VLOOKUP('Données projet'!$B$9,Paramètres!$A$1:$I$89,5,0)</f>
        <v>4.0684800000006363E-2</v>
      </c>
      <c r="P155" s="14">
        <f t="shared" si="141"/>
        <v>2.7217381697540451E-2</v>
      </c>
      <c r="Q155" s="22">
        <f t="shared" si="162"/>
        <v>0.11826296645656069</v>
      </c>
      <c r="R155" s="62">
        <f t="shared" si="109"/>
        <v>293.45159629978986</v>
      </c>
      <c r="S155" s="62">
        <f ca="1">AVERAGE(OFFSET($R$3,0,0,'Données projet'!$E$9+1,1))-AVERAGE(OFFSET($H$3,0,0,'Données projet'!$E$9+1,1))</f>
        <v>57.778110971082867</v>
      </c>
      <c r="T155" s="62">
        <f t="shared" si="142"/>
        <v>144.26475989880868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2.8702260135450302</v>
      </c>
      <c r="AA155" s="23">
        <f>EXP(-LN(2)/25)*AA154+(1-EXP(-LN(2)/25))/(LN(2)/25)*Calculateur!V155*Calculateur!X155*VLOOKUP('Données projet'!$B$9,Paramètres!$A$1:$I$89,3,0)*0.475*44/12</f>
        <v>0.14128588029057926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3.0115118938356096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-5.1159076974727213E-13</v>
      </c>
      <c r="AJ155" s="14">
        <f>AI155*VLOOKUP('Données projet'!$B$10,Paramètres!$A$1:$I$89,3,0)*VLOOKUP('Données projet'!$B$10,Paramètres!$A$1:$I$89,5,0)</f>
        <v>-4.3096406443510209E-13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237.45928008030023</v>
      </c>
      <c r="AO155" s="62">
        <f t="shared" si="144"/>
        <v>126.78839015508379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2.7134774427395314E-13</v>
      </c>
      <c r="BF155" s="14">
        <f t="shared" si="167"/>
        <v>3.6292411711343559E-12</v>
      </c>
      <c r="BG155" s="22">
        <f t="shared" si="168"/>
        <v>6.7935256943361388E-12</v>
      </c>
      <c r="BH155" s="62">
        <f t="shared" si="116"/>
        <v>293.33333333334014</v>
      </c>
      <c r="BI155" s="62">
        <f ca="1">AVERAGE(OFFSET($BH$3,0,0,'Données projet'!$E$11+1,1))-AVERAGE(OFFSET($H$3,0,0,'Données projet'!$E$11+1,1))</f>
        <v>210.55867376929405</v>
      </c>
      <c r="BJ155" s="62">
        <f t="shared" si="146"/>
        <v>249.73837672556022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121.72679999999953</v>
      </c>
      <c r="D156" s="12">
        <f t="shared" si="140"/>
        <v>32.077411529031856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1187.2605802241021</v>
      </c>
      <c r="H156" s="70">
        <f t="shared" si="110"/>
        <v>561.20900174639632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8.0000000000012506E-2</v>
      </c>
      <c r="O156" s="14">
        <f>N156*VLOOKUP('Données projet'!$B$9,Paramètres!$A$1:$I$89,3,0)*VLOOKUP('Données projet'!$B$9,Paramètres!$A$1:$I$89,5,0)</f>
        <v>4.0684800000006363E-2</v>
      </c>
      <c r="P156" s="14">
        <f t="shared" si="141"/>
        <v>2.7217381697540451E-2</v>
      </c>
      <c r="Q156" s="22">
        <f t="shared" si="162"/>
        <v>0.11826296645656069</v>
      </c>
      <c r="R156" s="62">
        <f t="shared" si="109"/>
        <v>293.45159629978986</v>
      </c>
      <c r="S156" s="62">
        <f ca="1">AVERAGE(OFFSET($R$3,0,0,'Données projet'!$E$9+1,1))-AVERAGE(OFFSET($H$3,0,0,'Données projet'!$E$9+1,1))</f>
        <v>57.778110971082867</v>
      </c>
      <c r="T156" s="62">
        <f t="shared" si="142"/>
        <v>144.26475989880868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2.8139426320844168</v>
      </c>
      <c r="AA156" s="23">
        <f>EXP(-LN(2)/25)*AA155+(1-EXP(-LN(2)/25))/(LN(2)/25)*Calculateur!V156*Calculateur!X156*VLOOKUP('Données projet'!$B$9,Paramètres!$A$1:$I$89,3,0)*0.475*44/12</f>
        <v>0.13742241046413184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2.9513650425485487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-5.1159076974727213E-13</v>
      </c>
      <c r="AJ156" s="14">
        <f>AI156*VLOOKUP('Données projet'!$B$10,Paramètres!$A$1:$I$89,3,0)*VLOOKUP('Données projet'!$B$10,Paramètres!$A$1:$I$89,5,0)</f>
        <v>-4.3096406443510209E-13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237.45928008030023</v>
      </c>
      <c r="AO156" s="62">
        <f t="shared" si="144"/>
        <v>126.78839015508379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2.7134774427395314E-13</v>
      </c>
      <c r="BF156" s="14">
        <f t="shared" si="167"/>
        <v>3.6292411711343559E-12</v>
      </c>
      <c r="BG156" s="22">
        <f t="shared" si="168"/>
        <v>6.7935256943361388E-12</v>
      </c>
      <c r="BH156" s="62">
        <f t="shared" si="116"/>
        <v>293.33333333334014</v>
      </c>
      <c r="BI156" s="62">
        <f ca="1">AVERAGE(OFFSET($BH$3,0,0,'Données projet'!$E$11+1,1))-AVERAGE(OFFSET($H$3,0,0,'Données projet'!$E$11+1,1))</f>
        <v>210.55867376929405</v>
      </c>
      <c r="BJ156" s="62">
        <f t="shared" si="146"/>
        <v>249.73837672556022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122.52239999999952</v>
      </c>
      <c r="D157" s="12">
        <f t="shared" si="140"/>
        <v>32.262593524306176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1194.8315289595528</v>
      </c>
      <c r="H157" s="70">
        <f t="shared" si="110"/>
        <v>562.9171970548324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8.0000000000012506E-2</v>
      </c>
      <c r="O157" s="14">
        <f>N157*VLOOKUP('Données projet'!$B$9,Paramètres!$A$1:$I$89,3,0)*VLOOKUP('Données projet'!$B$9,Paramètres!$A$1:$I$89,5,0)</f>
        <v>4.0684800000006363E-2</v>
      </c>
      <c r="P157" s="14">
        <f t="shared" si="141"/>
        <v>2.7217381697540451E-2</v>
      </c>
      <c r="Q157" s="22">
        <f t="shared" si="162"/>
        <v>0.11826296645656069</v>
      </c>
      <c r="R157" s="62">
        <f t="shared" si="109"/>
        <v>293.45159629978986</v>
      </c>
      <c r="S157" s="62">
        <f ca="1">AVERAGE(OFFSET($R$3,0,0,'Données projet'!$E$9+1,1))-AVERAGE(OFFSET($H$3,0,0,'Données projet'!$E$9+1,1))</f>
        <v>57.778110971082867</v>
      </c>
      <c r="T157" s="62">
        <f t="shared" si="142"/>
        <v>144.26475989880868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2.758762933404773</v>
      </c>
      <c r="AA157" s="23">
        <f>EXP(-LN(2)/25)*AA156+(1-EXP(-LN(2)/25))/(LN(2)/25)*Calculateur!V157*Calculateur!X157*VLOOKUP('Données projet'!$B$9,Paramètres!$A$1:$I$89,3,0)*0.475*44/12</f>
        <v>0.13366458742325968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2.8924275208280328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-5.1159076974727213E-13</v>
      </c>
      <c r="AJ157" s="14">
        <f>AI157*VLOOKUP('Données projet'!$B$10,Paramètres!$A$1:$I$89,3,0)*VLOOKUP('Données projet'!$B$10,Paramètres!$A$1:$I$89,5,0)</f>
        <v>-4.3096406443510209E-13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237.45928008030023</v>
      </c>
      <c r="AO157" s="62">
        <f t="shared" si="144"/>
        <v>126.78839015508379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2.7134774427395314E-13</v>
      </c>
      <c r="BF157" s="14">
        <f t="shared" si="167"/>
        <v>3.6292411711343559E-12</v>
      </c>
      <c r="BG157" s="22">
        <f t="shared" si="168"/>
        <v>6.7935256943361388E-12</v>
      </c>
      <c r="BH157" s="62">
        <f t="shared" si="116"/>
        <v>293.33333333334014</v>
      </c>
      <c r="BI157" s="62">
        <f ca="1">AVERAGE(OFFSET($BH$3,0,0,'Données projet'!$E$11+1,1))-AVERAGE(OFFSET($H$3,0,0,'Données projet'!$E$11+1,1))</f>
        <v>210.55867376929405</v>
      </c>
      <c r="BJ157" s="62">
        <f t="shared" si="146"/>
        <v>249.73837672556022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123.31799999999951</v>
      </c>
      <c r="D158" s="12">
        <f t="shared" si="140"/>
        <v>32.447635602695399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1202.4013976348381</v>
      </c>
      <c r="H158" s="70">
        <f t="shared" si="110"/>
        <v>564.62514867469361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8.0000000000012506E-2</v>
      </c>
      <c r="O158" s="14">
        <f>N158*VLOOKUP('Données projet'!$B$9,Paramètres!$A$1:$I$89,3,0)*VLOOKUP('Données projet'!$B$9,Paramètres!$A$1:$I$89,5,0)</f>
        <v>4.0684800000006363E-2</v>
      </c>
      <c r="P158" s="14">
        <f t="shared" si="141"/>
        <v>2.7217381697540451E-2</v>
      </c>
      <c r="Q158" s="22">
        <f t="shared" si="162"/>
        <v>0.11826296645656069</v>
      </c>
      <c r="R158" s="62">
        <f t="shared" si="109"/>
        <v>293.45159629978986</v>
      </c>
      <c r="S158" s="62">
        <f ca="1">AVERAGE(OFFSET($R$3,0,0,'Données projet'!$E$9+1,1))-AVERAGE(OFFSET($H$3,0,0,'Données projet'!$E$9+1,1))</f>
        <v>57.778110971082867</v>
      </c>
      <c r="T158" s="62">
        <f t="shared" si="142"/>
        <v>144.26475989880868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2.704665274959944</v>
      </c>
      <c r="AA158" s="23">
        <f>EXP(-LN(2)/25)*AA157+(1-EXP(-LN(2)/25))/(LN(2)/25)*Calculateur!V158*Calculateur!X158*VLOOKUP('Données projet'!$B$9,Paramètres!$A$1:$I$89,3,0)*0.475*44/12</f>
        <v>0.1300095222510555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2.8346747972109996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-5.1159076974727213E-13</v>
      </c>
      <c r="AJ158" s="14">
        <f>AI158*VLOOKUP('Données projet'!$B$10,Paramètres!$A$1:$I$89,3,0)*VLOOKUP('Données projet'!$B$10,Paramètres!$A$1:$I$89,5,0)</f>
        <v>-4.3096406443510209E-13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237.45928008030023</v>
      </c>
      <c r="AO158" s="62">
        <f t="shared" si="144"/>
        <v>126.78839015508379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2.7134774427395314E-13</v>
      </c>
      <c r="BF158" s="14">
        <f t="shared" si="167"/>
        <v>3.6292411711343559E-12</v>
      </c>
      <c r="BG158" s="22">
        <f t="shared" si="168"/>
        <v>6.7935256943361388E-12</v>
      </c>
      <c r="BH158" s="62">
        <f t="shared" si="116"/>
        <v>293.33333333334014</v>
      </c>
      <c r="BI158" s="62">
        <f ca="1">AVERAGE(OFFSET($BH$3,0,0,'Données projet'!$E$11+1,1))-AVERAGE(OFFSET($H$3,0,0,'Données projet'!$E$11+1,1))</f>
        <v>210.55867376929405</v>
      </c>
      <c r="BJ158" s="62">
        <f t="shared" si="146"/>
        <v>249.73837672556022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124.11359999999951</v>
      </c>
      <c r="D159" s="12">
        <f t="shared" si="140"/>
        <v>32.632538771597915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1209.970194026366</v>
      </c>
      <c r="H159" s="70">
        <f t="shared" si="110"/>
        <v>566.3328583605321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8.0000000000012506E-2</v>
      </c>
      <c r="O159" s="14">
        <f>N159*VLOOKUP('Données projet'!$B$9,Paramètres!$A$1:$I$89,3,0)*VLOOKUP('Données projet'!$B$9,Paramètres!$A$1:$I$89,5,0)</f>
        <v>4.0684800000006363E-2</v>
      </c>
      <c r="P159" s="14">
        <f t="shared" si="141"/>
        <v>2.7217381697540451E-2</v>
      </c>
      <c r="Q159" s="22">
        <f t="shared" si="162"/>
        <v>0.11826296645656069</v>
      </c>
      <c r="R159" s="62">
        <f t="shared" si="109"/>
        <v>293.45159629978986</v>
      </c>
      <c r="S159" s="62">
        <f ca="1">AVERAGE(OFFSET($R$3,0,0,'Données projet'!$E$9+1,1))-AVERAGE(OFFSET($H$3,0,0,'Données projet'!$E$9+1,1))</f>
        <v>57.778110971082867</v>
      </c>
      <c r="T159" s="62">
        <f t="shared" si="142"/>
        <v>144.26475989880868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2.6516284386009046</v>
      </c>
      <c r="AA159" s="23">
        <f>EXP(-LN(2)/25)*AA158+(1-EXP(-LN(2)/25))/(LN(2)/25)*Calculateur!V159*Calculateur!X159*VLOOKUP('Données projet'!$B$9,Paramètres!$A$1:$I$89,3,0)*0.475*44/12</f>
        <v>0.12645440502819674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2.7780828436291012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-5.1159076974727213E-13</v>
      </c>
      <c r="AJ159" s="14">
        <f>AI159*VLOOKUP('Données projet'!$B$10,Paramètres!$A$1:$I$89,3,0)*VLOOKUP('Données projet'!$B$10,Paramètres!$A$1:$I$89,5,0)</f>
        <v>-4.3096406443510209E-13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237.45928008030023</v>
      </c>
      <c r="AO159" s="62">
        <f t="shared" si="144"/>
        <v>126.78839015508379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2.7134774427395314E-13</v>
      </c>
      <c r="BF159" s="14">
        <f t="shared" si="167"/>
        <v>3.6292411711343559E-12</v>
      </c>
      <c r="BG159" s="22">
        <f t="shared" si="168"/>
        <v>6.7935256943361388E-12</v>
      </c>
      <c r="BH159" s="62">
        <f t="shared" si="116"/>
        <v>293.33333333334014</v>
      </c>
      <c r="BI159" s="62">
        <f ca="1">AVERAGE(OFFSET($BH$3,0,0,'Données projet'!$E$11+1,1))-AVERAGE(OFFSET($H$3,0,0,'Données projet'!$E$11+1,1))</f>
        <v>210.55867376929405</v>
      </c>
      <c r="BJ159" s="62">
        <f t="shared" si="146"/>
        <v>249.73837672556022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124.9091999999995</v>
      </c>
      <c r="D160" s="12">
        <f t="shared" si="140"/>
        <v>32.817304024749852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1217.5379258050828</v>
      </c>
      <c r="H160" s="70">
        <f t="shared" si="110"/>
        <v>568.04032784310516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8.0000000000012506E-2</v>
      </c>
      <c r="O160" s="14">
        <f>N160*VLOOKUP('Données projet'!$B$9,Paramètres!$A$1:$I$89,3,0)*VLOOKUP('Données projet'!$B$9,Paramètres!$A$1:$I$89,5,0)</f>
        <v>4.0684800000006363E-2</v>
      </c>
      <c r="P160" s="14">
        <f t="shared" si="141"/>
        <v>2.7217381697540451E-2</v>
      </c>
      <c r="Q160" s="22">
        <f t="shared" si="162"/>
        <v>0.11826296645656069</v>
      </c>
      <c r="R160" s="62">
        <f t="shared" si="109"/>
        <v>293.45159629978986</v>
      </c>
      <c r="S160" s="62">
        <f ca="1">AVERAGE(OFFSET($R$3,0,0,'Données projet'!$E$9+1,1))-AVERAGE(OFFSET($H$3,0,0,'Données projet'!$E$9+1,1))</f>
        <v>57.778110971082867</v>
      </c>
      <c r="T160" s="62">
        <f t="shared" si="142"/>
        <v>144.26475989880868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2.59963162225359</v>
      </c>
      <c r="AA160" s="23">
        <f>EXP(-LN(2)/25)*AA159+(1-EXP(-LN(2)/25))/(LN(2)/25)*Calculateur!V160*Calculateur!X160*VLOOKUP('Données projet'!$B$9,Paramètres!$A$1:$I$89,3,0)*0.475*44/12</f>
        <v>0.12299650267275256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2.7226281249263424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-5.1159076974727213E-13</v>
      </c>
      <c r="AJ160" s="14">
        <f>AI160*VLOOKUP('Données projet'!$B$10,Paramètres!$A$1:$I$89,3,0)*VLOOKUP('Données projet'!$B$10,Paramètres!$A$1:$I$89,5,0)</f>
        <v>-4.3096406443510209E-13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237.45928008030023</v>
      </c>
      <c r="AO160" s="62">
        <f t="shared" si="144"/>
        <v>126.78839015508379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2.7134774427395314E-13</v>
      </c>
      <c r="BF160" s="14">
        <f t="shared" si="167"/>
        <v>3.6292411711343559E-12</v>
      </c>
      <c r="BG160" s="22">
        <f t="shared" si="168"/>
        <v>6.7935256943361388E-12</v>
      </c>
      <c r="BH160" s="62">
        <f t="shared" si="116"/>
        <v>293.33333333334014</v>
      </c>
      <c r="BI160" s="62">
        <f ca="1">AVERAGE(OFFSET($BH$3,0,0,'Données projet'!$E$11+1,1))-AVERAGE(OFFSET($H$3,0,0,'Données projet'!$E$11+1,1))</f>
        <v>210.55867376929405</v>
      </c>
      <c r="BJ160" s="62">
        <f t="shared" si="146"/>
        <v>249.73837672556022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125.70479999999949</v>
      </c>
      <c r="D161" s="12">
        <f t="shared" si="140"/>
        <v>33.001932342496268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1225.1046005385638</v>
      </c>
      <c r="H161" s="70">
        <f t="shared" si="110"/>
        <v>569.74755882984675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8.0000000000012506E-2</v>
      </c>
      <c r="O161" s="14">
        <f>N161*VLOOKUP('Données projet'!$B$9,Paramètres!$A$1:$I$89,3,0)*VLOOKUP('Données projet'!$B$9,Paramètres!$A$1:$I$89,5,0)</f>
        <v>4.0684800000006363E-2</v>
      </c>
      <c r="P161" s="14">
        <f t="shared" si="141"/>
        <v>2.7217381697540451E-2</v>
      </c>
      <c r="Q161" s="22">
        <f t="shared" si="162"/>
        <v>0.11826296645656069</v>
      </c>
      <c r="R161" s="62">
        <f t="shared" si="109"/>
        <v>293.45159629978986</v>
      </c>
      <c r="S161" s="62">
        <f ca="1">AVERAGE(OFFSET($R$3,0,0,'Données projet'!$E$9+1,1))-AVERAGE(OFFSET($H$3,0,0,'Données projet'!$E$9+1,1))</f>
        <v>57.778110971082867</v>
      </c>
      <c r="T161" s="62">
        <f t="shared" si="142"/>
        <v>144.26475989880868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2.5486544317599198</v>
      </c>
      <c r="AA161" s="23">
        <f>EXP(-LN(2)/25)*AA160+(1-EXP(-LN(2)/25))/(LN(2)/25)*Calculateur!V161*Calculateur!X161*VLOOKUP('Données projet'!$B$9,Paramètres!$A$1:$I$89,3,0)*0.475*44/12</f>
        <v>0.11963315683906117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2.668287588598981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-5.1159076974727213E-13</v>
      </c>
      <c r="AJ161" s="14">
        <f>AI161*VLOOKUP('Données projet'!$B$10,Paramètres!$A$1:$I$89,3,0)*VLOOKUP('Données projet'!$B$10,Paramètres!$A$1:$I$89,5,0)</f>
        <v>-4.3096406443510209E-13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237.45928008030023</v>
      </c>
      <c r="AO161" s="62">
        <f t="shared" si="144"/>
        <v>126.78839015508379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2.7134774427395314E-13</v>
      </c>
      <c r="BF161" s="14">
        <f t="shared" si="167"/>
        <v>3.6292411711343559E-12</v>
      </c>
      <c r="BG161" s="22">
        <f t="shared" si="168"/>
        <v>6.7935256943361388E-12</v>
      </c>
      <c r="BH161" s="62">
        <f t="shared" si="116"/>
        <v>293.33333333334014</v>
      </c>
      <c r="BI161" s="62">
        <f ca="1">AVERAGE(OFFSET($BH$3,0,0,'Données projet'!$E$11+1,1))-AVERAGE(OFFSET($H$3,0,0,'Données projet'!$E$11+1,1))</f>
        <v>210.55867376929405</v>
      </c>
      <c r="BJ161" s="62">
        <f t="shared" si="146"/>
        <v>249.73837672556022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126.50039999999949</v>
      </c>
      <c r="D162" s="12">
        <f t="shared" si="140"/>
        <v>33.186424692055077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1232.6702256930528</v>
      </c>
      <c r="H162" s="70">
        <f t="shared" si="110"/>
        <v>571.45455300532831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8.0000000000012506E-2</v>
      </c>
      <c r="O162" s="14">
        <f>N162*VLOOKUP('Données projet'!$B$9,Paramètres!$A$1:$I$89,3,0)*VLOOKUP('Données projet'!$B$9,Paramètres!$A$1:$I$89,5,0)</f>
        <v>4.0684800000006363E-2</v>
      </c>
      <c r="P162" s="14">
        <f t="shared" si="141"/>
        <v>2.7217381697540451E-2</v>
      </c>
      <c r="Q162" s="22">
        <f t="shared" si="162"/>
        <v>0.11826296645656069</v>
      </c>
      <c r="R162" s="62">
        <f t="shared" si="109"/>
        <v>293.45159629978986</v>
      </c>
      <c r="S162" s="62">
        <f ca="1">AVERAGE(OFFSET($R$3,0,0,'Données projet'!$E$9+1,1))-AVERAGE(OFFSET($H$3,0,0,'Données projet'!$E$9+1,1))</f>
        <v>57.778110971082867</v>
      </c>
      <c r="T162" s="62">
        <f t="shared" si="142"/>
        <v>144.26475989880868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2.4986768728788147</v>
      </c>
      <c r="AA162" s="23">
        <f>EXP(-LN(2)/25)*AA161+(1-EXP(-LN(2)/25))/(LN(2)/25)*Calculateur!V162*Calculateur!X162*VLOOKUP('Données projet'!$B$9,Paramètres!$A$1:$I$89,3,0)*0.475*44/12</f>
        <v>0.11636178187406275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2.6150386547528774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-5.1159076974727213E-13</v>
      </c>
      <c r="AJ162" s="14">
        <f>AI162*VLOOKUP('Données projet'!$B$10,Paramètres!$A$1:$I$89,3,0)*VLOOKUP('Données projet'!$B$10,Paramètres!$A$1:$I$89,5,0)</f>
        <v>-4.3096406443510209E-13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237.45928008030023</v>
      </c>
      <c r="AO162" s="62">
        <f t="shared" si="144"/>
        <v>126.78839015508379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2.7134774427395314E-13</v>
      </c>
      <c r="BF162" s="14">
        <f t="shared" si="167"/>
        <v>3.6292411711343559E-12</v>
      </c>
      <c r="BG162" s="22">
        <f t="shared" si="168"/>
        <v>6.7935256943361388E-12</v>
      </c>
      <c r="BH162" s="62">
        <f t="shared" si="116"/>
        <v>293.33333333334014</v>
      </c>
      <c r="BI162" s="62">
        <f ca="1">AVERAGE(OFFSET($BH$3,0,0,'Données projet'!$E$11+1,1))-AVERAGE(OFFSET($H$3,0,0,'Données projet'!$E$11+1,1))</f>
        <v>210.55867376929405</v>
      </c>
      <c r="BJ162" s="62">
        <f t="shared" si="146"/>
        <v>249.73837672556022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127.29599999999948</v>
      </c>
      <c r="D163" s="12">
        <f t="shared" si="140"/>
        <v>33.370782027774332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1240.2348086354471</v>
      </c>
      <c r="H163" s="70">
        <f t="shared" si="110"/>
        <v>573.16131203170607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8.0000000000012506E-2</v>
      </c>
      <c r="O163" s="14">
        <f>N163*VLOOKUP('Données projet'!$B$9,Paramètres!$A$1:$I$89,3,0)*VLOOKUP('Données projet'!$B$9,Paramètres!$A$1:$I$89,5,0)</f>
        <v>4.0684800000006363E-2</v>
      </c>
      <c r="P163" s="14">
        <f t="shared" si="141"/>
        <v>2.7217381697540451E-2</v>
      </c>
      <c r="Q163" s="22">
        <f t="shared" si="162"/>
        <v>0.11826296645656069</v>
      </c>
      <c r="R163" s="62">
        <f t="shared" si="109"/>
        <v>293.45159629978986</v>
      </c>
      <c r="S163" s="62">
        <f ca="1">AVERAGE(OFFSET($R$3,0,0,'Données projet'!$E$9+1,1))-AVERAGE(OFFSET($H$3,0,0,'Données projet'!$E$9+1,1))</f>
        <v>57.778110971082867</v>
      </c>
      <c r="T163" s="62">
        <f t="shared" si="142"/>
        <v>144.26475989880868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2.4496793434440667</v>
      </c>
      <c r="AA163" s="23">
        <f>EXP(-LN(2)/25)*AA162+(1-EXP(-LN(2)/25))/(LN(2)/25)*Calculateur!V163*Calculateur!X163*VLOOKUP('Données projet'!$B$9,Paramètres!$A$1:$I$89,3,0)*0.475*44/12</f>
        <v>0.11317986282951635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2.5628592062735831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-5.1159076974727213E-13</v>
      </c>
      <c r="AJ163" s="14">
        <f>AI163*VLOOKUP('Données projet'!$B$10,Paramètres!$A$1:$I$89,3,0)*VLOOKUP('Données projet'!$B$10,Paramètres!$A$1:$I$89,5,0)</f>
        <v>-4.3096406443510209E-13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237.45928008030023</v>
      </c>
      <c r="AO163" s="62">
        <f t="shared" si="144"/>
        <v>126.78839015508379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2.7134774427395314E-13</v>
      </c>
      <c r="BF163" s="14">
        <f t="shared" si="167"/>
        <v>3.6292411711343559E-12</v>
      </c>
      <c r="BG163" s="22">
        <f t="shared" si="168"/>
        <v>6.7935256943361388E-12</v>
      </c>
      <c r="BH163" s="62">
        <f t="shared" si="116"/>
        <v>293.33333333334014</v>
      </c>
      <c r="BI163" s="62">
        <f ca="1">AVERAGE(OFFSET($BH$3,0,0,'Données projet'!$E$11+1,1))-AVERAGE(OFFSET($H$3,0,0,'Données projet'!$E$11+1,1))</f>
        <v>210.55867376929405</v>
      </c>
      <c r="BJ163" s="62">
        <f t="shared" si="146"/>
        <v>249.73837672556022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128.09159999999949</v>
      </c>
      <c r="D164" s="12">
        <f t="shared" si="140"/>
        <v>33.555005291382841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1247.798356635232</v>
      </c>
      <c r="H164" s="70">
        <f t="shared" si="110"/>
        <v>574.86783754915757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8.0000000000012506E-2</v>
      </c>
      <c r="O164" s="14">
        <f>N164*VLOOKUP('Données projet'!$B$9,Paramètres!$A$1:$I$89,3,0)*VLOOKUP('Données projet'!$B$9,Paramètres!$A$1:$I$89,5,0)</f>
        <v>4.0684800000006363E-2</v>
      </c>
      <c r="P164" s="14">
        <f t="shared" si="141"/>
        <v>2.7217381697540451E-2</v>
      </c>
      <c r="Q164" s="22">
        <f t="shared" si="162"/>
        <v>0.11826296645656069</v>
      </c>
      <c r="R164" s="62">
        <f t="shared" si="109"/>
        <v>293.45159629978986</v>
      </c>
      <c r="S164" s="62">
        <f ca="1">AVERAGE(OFFSET($R$3,0,0,'Données projet'!$E$9+1,1))-AVERAGE(OFFSET($H$3,0,0,'Données projet'!$E$9+1,1))</f>
        <v>57.778110971082867</v>
      </c>
      <c r="T164" s="62">
        <f t="shared" si="142"/>
        <v>144.26475989880868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2.4016426256759922</v>
      </c>
      <c r="AA164" s="23">
        <f>EXP(-LN(2)/25)*AA163+(1-EXP(-LN(2)/25))/(LN(2)/25)*Calculateur!V164*Calculateur!X164*VLOOKUP('Données projet'!$B$9,Paramètres!$A$1:$I$89,3,0)*0.475*44/12</f>
        <v>0.11008495352857292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2.5117275792045652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-5.1159076974727213E-13</v>
      </c>
      <c r="AJ164" s="14">
        <f>AI164*VLOOKUP('Données projet'!$B$10,Paramètres!$A$1:$I$89,3,0)*VLOOKUP('Données projet'!$B$10,Paramètres!$A$1:$I$89,5,0)</f>
        <v>-4.3096406443510209E-13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237.45928008030023</v>
      </c>
      <c r="AO164" s="62">
        <f t="shared" si="144"/>
        <v>126.78839015508379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2.7134774427395314E-13</v>
      </c>
      <c r="BF164" s="14">
        <f t="shared" si="167"/>
        <v>3.6292411711343559E-12</v>
      </c>
      <c r="BG164" s="22">
        <f t="shared" si="168"/>
        <v>6.7935256943361388E-12</v>
      </c>
      <c r="BH164" s="62">
        <f t="shared" si="116"/>
        <v>293.33333333334014</v>
      </c>
      <c r="BI164" s="62">
        <f ca="1">AVERAGE(OFFSET($BH$3,0,0,'Données projet'!$E$11+1,1))-AVERAGE(OFFSET($H$3,0,0,'Données projet'!$E$11+1,1))</f>
        <v>210.55867376929405</v>
      </c>
      <c r="BJ164" s="62">
        <f t="shared" si="146"/>
        <v>249.73837672556022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128.8871999999995</v>
      </c>
      <c r="D165" s="12">
        <f t="shared" si="140"/>
        <v>33.739095412234271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1255.360876866366</v>
      </c>
      <c r="H165" s="70">
        <f t="shared" si="110"/>
        <v>576.57413117630711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8.0000000000012506E-2</v>
      </c>
      <c r="O165" s="14">
        <f>N165*VLOOKUP('Données projet'!$B$9,Paramètres!$A$1:$I$89,3,0)*VLOOKUP('Données projet'!$B$9,Paramètres!$A$1:$I$89,5,0)</f>
        <v>4.0684800000006363E-2</v>
      </c>
      <c r="P165" s="14">
        <f t="shared" si="141"/>
        <v>2.7217381697540451E-2</v>
      </c>
      <c r="Q165" s="22">
        <f t="shared" si="162"/>
        <v>0.11826296645656069</v>
      </c>
      <c r="R165" s="62">
        <f t="shared" si="109"/>
        <v>293.45159629978986</v>
      </c>
      <c r="S165" s="62">
        <f ca="1">AVERAGE(OFFSET($R$3,0,0,'Données projet'!$E$9+1,1))-AVERAGE(OFFSET($H$3,0,0,'Données projet'!$E$9+1,1))</f>
        <v>57.778110971082867</v>
      </c>
      <c r="T165" s="62">
        <f t="shared" si="142"/>
        <v>144.26475989880868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2.354547878643845</v>
      </c>
      <c r="AA165" s="23">
        <f>EXP(-LN(2)/25)*AA164+(1-EXP(-LN(2)/25))/(LN(2)/25)*Calculateur!V165*Calculateur!X165*VLOOKUP('Données projet'!$B$9,Paramètres!$A$1:$I$89,3,0)*0.475*44/12</f>
        <v>0.10707467468521799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2.4616225533290628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-5.1159076974727213E-13</v>
      </c>
      <c r="AJ165" s="14">
        <f>AI165*VLOOKUP('Données projet'!$B$10,Paramètres!$A$1:$I$89,3,0)*VLOOKUP('Données projet'!$B$10,Paramètres!$A$1:$I$89,5,0)</f>
        <v>-4.3096406443510209E-13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237.45928008030023</v>
      </c>
      <c r="AO165" s="62">
        <f t="shared" si="144"/>
        <v>126.78839015508379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2.7134774427395314E-13</v>
      </c>
      <c r="BF165" s="14">
        <f t="shared" si="167"/>
        <v>3.6292411711343559E-12</v>
      </c>
      <c r="BG165" s="22">
        <f t="shared" si="168"/>
        <v>6.7935256943361388E-12</v>
      </c>
      <c r="BH165" s="62">
        <f t="shared" si="116"/>
        <v>293.33333333334014</v>
      </c>
      <c r="BI165" s="62">
        <f ca="1">AVERAGE(OFFSET($BH$3,0,0,'Données projet'!$E$11+1,1))-AVERAGE(OFFSET($H$3,0,0,'Données projet'!$E$11+1,1))</f>
        <v>210.55867376929405</v>
      </c>
      <c r="BJ165" s="62">
        <f t="shared" si="146"/>
        <v>249.73837672556022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129.6827999999995</v>
      </c>
      <c r="D166" s="12">
        <f t="shared" si="140"/>
        <v>33.923053307545075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1262.9223764091159</v>
      </c>
      <c r="H166" s="70">
        <f t="shared" si="110"/>
        <v>578.28019451064006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8.0000000000012506E-2</v>
      </c>
      <c r="O166" s="14">
        <f>N166*VLOOKUP('Données projet'!$B$9,Paramètres!$A$1:$I$89,3,0)*VLOOKUP('Données projet'!$B$9,Paramètres!$A$1:$I$89,5,0)</f>
        <v>4.0684800000006363E-2</v>
      </c>
      <c r="P166" s="14">
        <f t="shared" si="141"/>
        <v>2.7217381697540451E-2</v>
      </c>
      <c r="Q166" s="22">
        <f t="shared" si="162"/>
        <v>0.11826296645656069</v>
      </c>
      <c r="R166" s="62">
        <f t="shared" si="109"/>
        <v>293.45159629978986</v>
      </c>
      <c r="S166" s="62">
        <f ca="1">AVERAGE(OFFSET($R$3,0,0,'Données projet'!$E$9+1,1))-AVERAGE(OFFSET($H$3,0,0,'Données projet'!$E$9+1,1))</f>
        <v>57.778110971082867</v>
      </c>
      <c r="T166" s="62">
        <f t="shared" si="142"/>
        <v>144.26475989880868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2.3083766308760389</v>
      </c>
      <c r="AA166" s="23">
        <f>EXP(-LN(2)/25)*AA165+(1-EXP(-LN(2)/25))/(LN(2)/25)*Calculateur!V166*Calculateur!X166*VLOOKUP('Données projet'!$B$9,Paramètres!$A$1:$I$89,3,0)*0.475*44/12</f>
        <v>0.10414671207513829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2.4125233429511774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-5.1159076974727213E-13</v>
      </c>
      <c r="AJ166" s="14">
        <f>AI166*VLOOKUP('Données projet'!$B$10,Paramètres!$A$1:$I$89,3,0)*VLOOKUP('Données projet'!$B$10,Paramètres!$A$1:$I$89,5,0)</f>
        <v>-4.3096406443510209E-13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237.45928008030023</v>
      </c>
      <c r="AO166" s="62">
        <f t="shared" si="144"/>
        <v>126.78839015508379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2.7134774427395314E-13</v>
      </c>
      <c r="BF166" s="14">
        <f t="shared" si="167"/>
        <v>3.6292411711343559E-12</v>
      </c>
      <c r="BG166" s="22">
        <f t="shared" si="168"/>
        <v>6.7935256943361388E-12</v>
      </c>
      <c r="BH166" s="62">
        <f t="shared" si="116"/>
        <v>293.33333333334014</v>
      </c>
      <c r="BI166" s="62">
        <f ca="1">AVERAGE(OFFSET($BH$3,0,0,'Données projet'!$E$11+1,1))-AVERAGE(OFFSET($H$3,0,0,'Données projet'!$E$11+1,1))</f>
        <v>210.55867376929405</v>
      </c>
      <c r="BJ166" s="62">
        <f t="shared" si="146"/>
        <v>249.73837672556022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130.47839999999951</v>
      </c>
      <c r="D167" s="12">
        <f t="shared" si="140"/>
        <v>34.106879882626735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1270.4828622518517</v>
      </c>
      <c r="H167" s="70">
        <f t="shared" si="110"/>
        <v>579.98602912890738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8.0000000000012506E-2</v>
      </c>
      <c r="O167" s="14">
        <f>N167*VLOOKUP('Données projet'!$B$9,Paramètres!$A$1:$I$89,3,0)*VLOOKUP('Données projet'!$B$9,Paramètres!$A$1:$I$89,5,0)</f>
        <v>4.0684800000006363E-2</v>
      </c>
      <c r="P167" s="14">
        <f t="shared" si="141"/>
        <v>2.7217381697540451E-2</v>
      </c>
      <c r="Q167" s="22">
        <f t="shared" si="162"/>
        <v>0.11826296645656069</v>
      </c>
      <c r="R167" s="62">
        <f t="shared" si="109"/>
        <v>293.45159629978986</v>
      </c>
      <c r="S167" s="62">
        <f ca="1">AVERAGE(OFFSET($R$3,0,0,'Données projet'!$E$9+1,1))-AVERAGE(OFFSET($H$3,0,0,'Données projet'!$E$9+1,1))</f>
        <v>57.778110971082867</v>
      </c>
      <c r="T167" s="62">
        <f t="shared" si="142"/>
        <v>144.26475989880868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2.2631107731152791</v>
      </c>
      <c r="AA167" s="23">
        <f>EXP(-LN(2)/25)*AA166+(1-EXP(-LN(2)/25))/(LN(2)/25)*Calculateur!V167*Calculateur!X167*VLOOKUP('Données projet'!$B$9,Paramètres!$A$1:$I$89,3,0)*0.475*44/12</f>
        <v>0.10129881475660607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2.3644095878718852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-5.1159076974727213E-13</v>
      </c>
      <c r="AJ167" s="14">
        <f>AI167*VLOOKUP('Données projet'!$B$10,Paramètres!$A$1:$I$89,3,0)*VLOOKUP('Données projet'!$B$10,Paramètres!$A$1:$I$89,5,0)</f>
        <v>-4.3096406443510209E-13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237.45928008030023</v>
      </c>
      <c r="AO167" s="62">
        <f t="shared" si="144"/>
        <v>126.78839015508379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2.7134774427395314E-13</v>
      </c>
      <c r="BF167" s="14">
        <f t="shared" si="167"/>
        <v>3.6292411711343559E-12</v>
      </c>
      <c r="BG167" s="22">
        <f t="shared" si="168"/>
        <v>6.7935256943361388E-12</v>
      </c>
      <c r="BH167" s="62">
        <f t="shared" si="116"/>
        <v>293.33333333334014</v>
      </c>
      <c r="BI167" s="62">
        <f ca="1">AVERAGE(OFFSET($BH$3,0,0,'Données projet'!$E$11+1,1))-AVERAGE(OFFSET($H$3,0,0,'Données projet'!$E$11+1,1))</f>
        <v>210.55867376929405</v>
      </c>
      <c r="BJ167" s="62">
        <f t="shared" si="146"/>
        <v>249.73837672556022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131.27399999999952</v>
      </c>
      <c r="D168" s="12">
        <f t="shared" si="140"/>
        <v>34.290576031111577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1278.0423412927876</v>
      </c>
      <c r="H168" s="70">
        <f t="shared" si="110"/>
        <v>581.69163658751847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8.0000000000012506E-2</v>
      </c>
      <c r="O168" s="14">
        <f>N168*VLOOKUP('Données projet'!$B$9,Paramètres!$A$1:$I$89,3,0)*VLOOKUP('Données projet'!$B$9,Paramètres!$A$1:$I$89,5,0)</f>
        <v>4.0684800000006363E-2</v>
      </c>
      <c r="P168" s="14">
        <f t="shared" si="141"/>
        <v>2.7217381697540451E-2</v>
      </c>
      <c r="Q168" s="22">
        <f t="shared" si="162"/>
        <v>0.11826296645656069</v>
      </c>
      <c r="R168" s="62">
        <f t="shared" si="109"/>
        <v>293.45159629978986</v>
      </c>
      <c r="S168" s="62">
        <f ca="1">AVERAGE(OFFSET($R$3,0,0,'Données projet'!$E$9+1,1))-AVERAGE(OFFSET($H$3,0,0,'Données projet'!$E$9+1,1))</f>
        <v>57.778110971082867</v>
      </c>
      <c r="T168" s="62">
        <f t="shared" si="142"/>
        <v>144.26475989880868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2.2187325512157607</v>
      </c>
      <c r="AA168" s="23">
        <f>EXP(-LN(2)/25)*AA167+(1-EXP(-LN(2)/25))/(LN(2)/25)*Calculateur!V168*Calculateur!X168*VLOOKUP('Données projet'!$B$9,Paramètres!$A$1:$I$89,3,0)*0.475*44/12</f>
        <v>9.8528793340013535E-2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2.3172613445557744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-5.1159076974727213E-13</v>
      </c>
      <c r="AJ168" s="14">
        <f>AI168*VLOOKUP('Données projet'!$B$10,Paramètres!$A$1:$I$89,3,0)*VLOOKUP('Données projet'!$B$10,Paramètres!$A$1:$I$89,5,0)</f>
        <v>-4.3096406443510209E-13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237.45928008030023</v>
      </c>
      <c r="AO168" s="62">
        <f t="shared" si="144"/>
        <v>126.78839015508379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2.7134774427395314E-13</v>
      </c>
      <c r="BF168" s="14">
        <f t="shared" si="167"/>
        <v>3.6292411711343559E-12</v>
      </c>
      <c r="BG168" s="22">
        <f t="shared" si="168"/>
        <v>6.7935256943361388E-12</v>
      </c>
      <c r="BH168" s="62">
        <f t="shared" si="116"/>
        <v>293.33333333334014</v>
      </c>
      <c r="BI168" s="62">
        <f ca="1">AVERAGE(OFFSET($BH$3,0,0,'Données projet'!$E$11+1,1))-AVERAGE(OFFSET($H$3,0,0,'Données projet'!$E$11+1,1))</f>
        <v>210.55867376929405</v>
      </c>
      <c r="BJ168" s="62">
        <f t="shared" si="146"/>
        <v>249.73837672556022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132.06959999999953</v>
      </c>
      <c r="D169" s="12">
        <f t="shared" si="140"/>
        <v>34.474142635173479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1285.6008203416866</v>
      </c>
      <c r="H169" s="70">
        <f t="shared" si="110"/>
        <v>583.39701842292629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8.0000000000012506E-2</v>
      </c>
      <c r="O169" s="14">
        <f>N169*VLOOKUP('Données projet'!$B$9,Paramètres!$A$1:$I$89,3,0)*VLOOKUP('Données projet'!$B$9,Paramètres!$A$1:$I$89,5,0)</f>
        <v>4.0684800000006363E-2</v>
      </c>
      <c r="P169" s="14">
        <f t="shared" si="141"/>
        <v>2.7217381697540451E-2</v>
      </c>
      <c r="Q169" s="22">
        <f t="shared" si="162"/>
        <v>0.11826296645656069</v>
      </c>
      <c r="R169" s="62">
        <f t="shared" si="109"/>
        <v>293.45159629978986</v>
      </c>
      <c r="S169" s="62">
        <f ca="1">AVERAGE(OFFSET($R$3,0,0,'Données projet'!$E$9+1,1))-AVERAGE(OFFSET($H$3,0,0,'Données projet'!$E$9+1,1))</f>
        <v>57.778110971082867</v>
      </c>
      <c r="T169" s="62">
        <f t="shared" si="142"/>
        <v>144.26475989880868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2.1752245591796493</v>
      </c>
      <c r="AA169" s="23">
        <f>EXP(-LN(2)/25)*AA168+(1-EXP(-LN(2)/25))/(LN(2)/25)*Calculateur!V169*Calculateur!X169*VLOOKUP('Données projet'!$B$9,Paramètres!$A$1:$I$89,3,0)*0.475*44/12</f>
        <v>9.5834518304726807E-2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2.271059077484376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-5.1159076974727213E-13</v>
      </c>
      <c r="AJ169" s="14">
        <f>AI169*VLOOKUP('Données projet'!$B$10,Paramètres!$A$1:$I$89,3,0)*VLOOKUP('Données projet'!$B$10,Paramètres!$A$1:$I$89,5,0)</f>
        <v>-4.3096406443510209E-13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237.45928008030023</v>
      </c>
      <c r="AO169" s="62">
        <f t="shared" si="144"/>
        <v>126.78839015508379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2.7134774427395314E-13</v>
      </c>
      <c r="BF169" s="14">
        <f t="shared" si="167"/>
        <v>3.6292411711343559E-12</v>
      </c>
      <c r="BG169" s="22">
        <f t="shared" si="168"/>
        <v>6.7935256943361388E-12</v>
      </c>
      <c r="BH169" s="62">
        <f t="shared" si="116"/>
        <v>293.33333333334014</v>
      </c>
      <c r="BI169" s="62">
        <f ca="1">AVERAGE(OFFSET($BH$3,0,0,'Données projet'!$E$11+1,1))-AVERAGE(OFFSET($H$3,0,0,'Données projet'!$E$11+1,1))</f>
        <v>210.55867376929405</v>
      </c>
      <c r="BJ169" s="62">
        <f t="shared" si="146"/>
        <v>249.73837672556022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132.86519999999953</v>
      </c>
      <c r="D170" s="12">
        <f t="shared" si="140"/>
        <v>34.657580565742911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1293.1583061215206</v>
      </c>
      <c r="H170" s="70">
        <f t="shared" si="110"/>
        <v>585.10217615200145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8.0000000000012506E-2</v>
      </c>
      <c r="O170" s="14">
        <f>N170*VLOOKUP('Données projet'!$B$9,Paramètres!$A$1:$I$89,3,0)*VLOOKUP('Données projet'!$B$9,Paramètres!$A$1:$I$89,5,0)</f>
        <v>4.0684800000006363E-2</v>
      </c>
      <c r="P170" s="14">
        <f t="shared" si="141"/>
        <v>2.7217381697540451E-2</v>
      </c>
      <c r="Q170" s="22">
        <f t="shared" si="162"/>
        <v>0.11826296645656069</v>
      </c>
      <c r="R170" s="62">
        <f t="shared" si="109"/>
        <v>293.45159629978986</v>
      </c>
      <c r="S170" s="62">
        <f ca="1">AVERAGE(OFFSET($R$3,0,0,'Données projet'!$E$9+1,1))-AVERAGE(OFFSET($H$3,0,0,'Données projet'!$E$9+1,1))</f>
        <v>57.778110971082867</v>
      </c>
      <c r="T170" s="62">
        <f t="shared" si="142"/>
        <v>144.26475989880868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2.1325697323301114</v>
      </c>
      <c r="AA170" s="23">
        <f>EXP(-LN(2)/25)*AA169+(1-EXP(-LN(2)/25))/(LN(2)/25)*Calculateur!V170*Calculateur!X170*VLOOKUP('Données projet'!$B$9,Paramètres!$A$1:$I$89,3,0)*0.475*44/12</f>
        <v>9.321391836196577E-2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2.225783650692077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-5.1159076974727213E-13</v>
      </c>
      <c r="AJ170" s="14">
        <f>AI170*VLOOKUP('Données projet'!$B$10,Paramètres!$A$1:$I$89,3,0)*VLOOKUP('Données projet'!$B$10,Paramètres!$A$1:$I$89,5,0)</f>
        <v>-4.3096406443510209E-13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237.45928008030023</v>
      </c>
      <c r="AO170" s="62">
        <f t="shared" si="144"/>
        <v>126.78839015508379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2.7134774427395314E-13</v>
      </c>
      <c r="BF170" s="14">
        <f t="shared" si="167"/>
        <v>3.6292411711343559E-12</v>
      </c>
      <c r="BG170" s="22">
        <f t="shared" si="168"/>
        <v>6.7935256943361388E-12</v>
      </c>
      <c r="BH170" s="62">
        <f t="shared" si="116"/>
        <v>293.33333333334014</v>
      </c>
      <c r="BI170" s="62">
        <f ca="1">AVERAGE(OFFSET($BH$3,0,0,'Données projet'!$E$11+1,1))-AVERAGE(OFFSET($H$3,0,0,'Données projet'!$E$11+1,1))</f>
        <v>210.55867376929405</v>
      </c>
      <c r="BJ170" s="62">
        <f t="shared" si="146"/>
        <v>249.73837672556022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133.66079999999954</v>
      </c>
      <c r="D171" s="12">
        <f t="shared" si="140"/>
        <v>34.840890682716626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1300.7148052700898</v>
      </c>
      <c r="H171" s="70">
        <f t="shared" si="110"/>
        <v>586.80711127239738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8.0000000000012506E-2</v>
      </c>
      <c r="O171" s="14">
        <f>N171*VLOOKUP('Données projet'!$B$9,Paramètres!$A$1:$I$89,3,0)*VLOOKUP('Données projet'!$B$9,Paramètres!$A$1:$I$89,5,0)</f>
        <v>4.0684800000006363E-2</v>
      </c>
      <c r="P171" s="14">
        <f t="shared" si="141"/>
        <v>2.7217381697540451E-2</v>
      </c>
      <c r="Q171" s="22">
        <f t="shared" si="162"/>
        <v>0.11826296645656069</v>
      </c>
      <c r="R171" s="62">
        <f t="shared" si="109"/>
        <v>293.45159629978986</v>
      </c>
      <c r="S171" s="62">
        <f ca="1">AVERAGE(OFFSET($R$3,0,0,'Données projet'!$E$9+1,1))-AVERAGE(OFFSET($H$3,0,0,'Données projet'!$E$9+1,1))</f>
        <v>57.778110971082867</v>
      </c>
      <c r="T171" s="62">
        <f t="shared" si="142"/>
        <v>144.26475989880868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2.0907513406182172</v>
      </c>
      <c r="AA171" s="23">
        <f>EXP(-LN(2)/25)*AA170+(1-EXP(-LN(2)/25))/(LN(2)/25)*Calculateur!V171*Calculateur!X171*VLOOKUP('Données projet'!$B$9,Paramètres!$A$1:$I$89,3,0)*0.475*44/12</f>
        <v>9.0664978862450896E-2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2.1814163194806682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-5.1159076974727213E-13</v>
      </c>
      <c r="AJ171" s="14">
        <f>AI171*VLOOKUP('Données projet'!$B$10,Paramètres!$A$1:$I$89,3,0)*VLOOKUP('Données projet'!$B$10,Paramètres!$A$1:$I$89,5,0)</f>
        <v>-4.3096406443510209E-13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237.45928008030023</v>
      </c>
      <c r="AO171" s="62">
        <f t="shared" si="144"/>
        <v>126.78839015508379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2.7134774427395314E-13</v>
      </c>
      <c r="BF171" s="14">
        <f t="shared" si="167"/>
        <v>3.6292411711343559E-12</v>
      </c>
      <c r="BG171" s="22">
        <f t="shared" si="168"/>
        <v>6.7935256943361388E-12</v>
      </c>
      <c r="BH171" s="62">
        <f t="shared" si="116"/>
        <v>293.33333333334014</v>
      </c>
      <c r="BI171" s="62">
        <f ca="1">AVERAGE(OFFSET($BH$3,0,0,'Données projet'!$E$11+1,1))-AVERAGE(OFFSET($H$3,0,0,'Données projet'!$E$11+1,1))</f>
        <v>210.55867376929405</v>
      </c>
      <c r="BJ171" s="62">
        <f t="shared" si="146"/>
        <v>249.73837672556022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134.45639999999955</v>
      </c>
      <c r="D172" s="12">
        <f t="shared" si="140"/>
        <v>35.024073835162291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1308.2703243416001</v>
      </c>
      <c r="H172" s="70">
        <f t="shared" si="110"/>
        <v>588.51182526290677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8.0000000000012506E-2</v>
      </c>
      <c r="O172" s="14">
        <f>N172*VLOOKUP('Données projet'!$B$9,Paramètres!$A$1:$I$89,3,0)*VLOOKUP('Données projet'!$B$9,Paramètres!$A$1:$I$89,5,0)</f>
        <v>4.0684800000006363E-2</v>
      </c>
      <c r="P172" s="14">
        <f t="shared" si="141"/>
        <v>2.7217381697540451E-2</v>
      </c>
      <c r="Q172" s="22">
        <f t="shared" si="162"/>
        <v>0.11826296645656069</v>
      </c>
      <c r="R172" s="62">
        <f t="shared" si="109"/>
        <v>293.45159629978986</v>
      </c>
      <c r="S172" s="62">
        <f ca="1">AVERAGE(OFFSET($R$3,0,0,'Données projet'!$E$9+1,1))-AVERAGE(OFFSET($H$3,0,0,'Données projet'!$E$9+1,1))</f>
        <v>57.778110971082867</v>
      </c>
      <c r="T172" s="62">
        <f t="shared" si="142"/>
        <v>144.26475989880868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2.0497529820610931</v>
      </c>
      <c r="AA172" s="23">
        <f>EXP(-LN(2)/25)*AA171+(1-EXP(-LN(2)/25))/(LN(2)/25)*Calculateur!V172*Calculateur!X172*VLOOKUP('Données projet'!$B$9,Paramètres!$A$1:$I$89,3,0)*0.475*44/12</f>
        <v>8.8185740247593153E-2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2.1379387223086863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-5.1159076974727213E-13</v>
      </c>
      <c r="AJ172" s="14">
        <f>AI172*VLOOKUP('Données projet'!$B$10,Paramètres!$A$1:$I$89,3,0)*VLOOKUP('Données projet'!$B$10,Paramètres!$A$1:$I$89,5,0)</f>
        <v>-4.3096406443510209E-13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237.45928008030023</v>
      </c>
      <c r="AO172" s="62">
        <f t="shared" si="144"/>
        <v>126.78839015508379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2.7134774427395314E-13</v>
      </c>
      <c r="BF172" s="14">
        <f t="shared" si="167"/>
        <v>3.6292411711343559E-12</v>
      </c>
      <c r="BG172" s="22">
        <f t="shared" si="168"/>
        <v>6.7935256943361388E-12</v>
      </c>
      <c r="BH172" s="62">
        <f t="shared" si="116"/>
        <v>293.33333333334014</v>
      </c>
      <c r="BI172" s="62">
        <f ca="1">AVERAGE(OFFSET($BH$3,0,0,'Données projet'!$E$11+1,1))-AVERAGE(OFFSET($H$3,0,0,'Données projet'!$E$11+1,1))</f>
        <v>210.55867376929405</v>
      </c>
      <c r="BJ172" s="62">
        <f t="shared" si="146"/>
        <v>249.73837672556022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135.25199999999955</v>
      </c>
      <c r="D173" s="12">
        <f t="shared" si="140"/>
        <v>35.207130861518024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1315.8248698082059</v>
      </c>
      <c r="H173" s="70">
        <f t="shared" si="110"/>
        <v>590.21631958380976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8.0000000000012506E-2</v>
      </c>
      <c r="O173" s="14">
        <f>N173*VLOOKUP('Données projet'!$B$9,Paramètres!$A$1:$I$89,3,0)*VLOOKUP('Données projet'!$B$9,Paramètres!$A$1:$I$89,5,0)</f>
        <v>4.0684800000006363E-2</v>
      </c>
      <c r="P173" s="14">
        <f t="shared" si="141"/>
        <v>2.7217381697540451E-2</v>
      </c>
      <c r="Q173" s="22">
        <f t="shared" si="162"/>
        <v>0.11826296645656069</v>
      </c>
      <c r="R173" s="62">
        <f t="shared" si="109"/>
        <v>293.45159629978986</v>
      </c>
      <c r="S173" s="62">
        <f ca="1">AVERAGE(OFFSET($R$3,0,0,'Données projet'!$E$9+1,1))-AVERAGE(OFFSET($H$3,0,0,'Données projet'!$E$9+1,1))</f>
        <v>57.778110971082867</v>
      </c>
      <c r="T173" s="62">
        <f t="shared" si="142"/>
        <v>144.26475989880868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2.0095585763087445</v>
      </c>
      <c r="AA173" s="23">
        <f>EXP(-LN(2)/25)*AA172+(1-EXP(-LN(2)/25))/(LN(2)/25)*Calculateur!V173*Calculateur!X173*VLOOKUP('Données projet'!$B$9,Paramètres!$A$1:$I$89,3,0)*0.475*44/12</f>
        <v>8.5774296543036185E-2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2.0953328728517806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-5.1159076974727213E-13</v>
      </c>
      <c r="AJ173" s="14">
        <f>AI173*VLOOKUP('Données projet'!$B$10,Paramètres!$A$1:$I$89,3,0)*VLOOKUP('Données projet'!$B$10,Paramètres!$A$1:$I$89,5,0)</f>
        <v>-4.3096406443510209E-13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237.45928008030023</v>
      </c>
      <c r="AO173" s="62">
        <f t="shared" si="144"/>
        <v>126.78839015508379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2.7134774427395314E-13</v>
      </c>
      <c r="BF173" s="14">
        <f t="shared" si="167"/>
        <v>3.6292411711343559E-12</v>
      </c>
      <c r="BG173" s="22">
        <f t="shared" si="168"/>
        <v>6.7935256943361388E-12</v>
      </c>
      <c r="BH173" s="62">
        <f t="shared" si="116"/>
        <v>293.33333333334014</v>
      </c>
      <c r="BI173" s="62">
        <f ca="1">AVERAGE(OFFSET($BH$3,0,0,'Données projet'!$E$11+1,1))-AVERAGE(OFFSET($H$3,0,0,'Données projet'!$E$11+1,1))</f>
        <v>210.55867376929405</v>
      </c>
      <c r="BJ173" s="62">
        <f t="shared" si="146"/>
        <v>249.73837672556022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136.04759999999956</v>
      </c>
      <c r="D174" s="12">
        <f t="shared" si="140"/>
        <v>35.390062589787483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1323.3784480615138</v>
      </c>
      <c r="H174" s="70">
        <f t="shared" si="110"/>
        <v>591.92059567721242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8.0000000000012506E-2</v>
      </c>
      <c r="O174" s="14">
        <f>N174*VLOOKUP('Données projet'!$B$9,Paramètres!$A$1:$I$89,3,0)*VLOOKUP('Données projet'!$B$9,Paramètres!$A$1:$I$89,5,0)</f>
        <v>4.0684800000006363E-2</v>
      </c>
      <c r="P174" s="14">
        <f t="shared" si="141"/>
        <v>2.7217381697540451E-2</v>
      </c>
      <c r="Q174" s="22">
        <f t="shared" si="162"/>
        <v>0.11826296645656069</v>
      </c>
      <c r="R174" s="62">
        <f t="shared" si="109"/>
        <v>293.45159629978986</v>
      </c>
      <c r="S174" s="62">
        <f ca="1">AVERAGE(OFFSET($R$3,0,0,'Données projet'!$E$9+1,1))-AVERAGE(OFFSET($H$3,0,0,'Données projet'!$E$9+1,1))</f>
        <v>57.778110971082867</v>
      </c>
      <c r="T174" s="62">
        <f t="shared" si="142"/>
        <v>144.26475989880868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1.9701523583370328</v>
      </c>
      <c r="AA174" s="23">
        <f>EXP(-LN(2)/25)*AA173+(1-EXP(-LN(2)/25))/(LN(2)/25)*Calculateur!V174*Calculateur!X174*VLOOKUP('Données projet'!$B$9,Paramètres!$A$1:$I$89,3,0)*0.475*44/12</f>
        <v>8.3428793893392639E-2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2.0535811522304255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-5.1159076974727213E-13</v>
      </c>
      <c r="AJ174" s="14">
        <f>AI174*VLOOKUP('Données projet'!$B$10,Paramètres!$A$1:$I$89,3,0)*VLOOKUP('Données projet'!$B$10,Paramètres!$A$1:$I$89,5,0)</f>
        <v>-4.3096406443510209E-13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237.45928008030023</v>
      </c>
      <c r="AO174" s="62">
        <f t="shared" si="144"/>
        <v>126.78839015508379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2.7134774427395314E-13</v>
      </c>
      <c r="BF174" s="14">
        <f t="shared" si="167"/>
        <v>3.6292411711343559E-12</v>
      </c>
      <c r="BG174" s="22">
        <f t="shared" si="168"/>
        <v>6.7935256943361388E-12</v>
      </c>
      <c r="BH174" s="62">
        <f t="shared" si="116"/>
        <v>293.33333333334014</v>
      </c>
      <c r="BI174" s="62">
        <f ca="1">AVERAGE(OFFSET($BH$3,0,0,'Données projet'!$E$11+1,1))-AVERAGE(OFFSET($H$3,0,0,'Données projet'!$E$11+1,1))</f>
        <v>210.55867376929405</v>
      </c>
      <c r="BJ174" s="62">
        <f t="shared" si="146"/>
        <v>249.73837672556022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136.84319999999957</v>
      </c>
      <c r="D175" s="12">
        <f t="shared" si="140"/>
        <v>35.57286983772952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1330.931065414049</v>
      </c>
      <c r="H175" s="70">
        <f t="shared" si="110"/>
        <v>593.62465496737809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8.0000000000012506E-2</v>
      </c>
      <c r="O175" s="14">
        <f>N175*VLOOKUP('Données projet'!$B$9,Paramètres!$A$1:$I$89,3,0)*VLOOKUP('Données projet'!$B$9,Paramètres!$A$1:$I$89,5,0)</f>
        <v>4.0684800000006363E-2</v>
      </c>
      <c r="P175" s="14">
        <f t="shared" si="141"/>
        <v>2.7217381697540451E-2</v>
      </c>
      <c r="Q175" s="22">
        <f t="shared" si="162"/>
        <v>0.11826296645656069</v>
      </c>
      <c r="R175" s="62">
        <f t="shared" si="109"/>
        <v>293.45159629978986</v>
      </c>
      <c r="S175" s="62">
        <f ca="1">AVERAGE(OFFSET($R$3,0,0,'Données projet'!$E$9+1,1))-AVERAGE(OFFSET($H$3,0,0,'Données projet'!$E$9+1,1))</f>
        <v>57.778110971082867</v>
      </c>
      <c r="T175" s="62">
        <f t="shared" si="142"/>
        <v>144.26475989880868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1.9315188722643268</v>
      </c>
      <c r="AA175" s="23">
        <f>EXP(-LN(2)/25)*AA174+(1-EXP(-LN(2)/25))/(LN(2)/25)*Calculateur!V175*Calculateur!X175*VLOOKUP('Données projet'!$B$9,Paramètres!$A$1:$I$89,3,0)*0.475*44/12</f>
        <v>8.1147429137048227E-2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2.0126663014013753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-5.1159076974727213E-13</v>
      </c>
      <c r="AJ175" s="14">
        <f>AI175*VLOOKUP('Données projet'!$B$10,Paramètres!$A$1:$I$89,3,0)*VLOOKUP('Données projet'!$B$10,Paramètres!$A$1:$I$89,5,0)</f>
        <v>-4.3096406443510209E-13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237.45928008030023</v>
      </c>
      <c r="AO175" s="62">
        <f t="shared" si="144"/>
        <v>126.78839015508379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2.7134774427395314E-13</v>
      </c>
      <c r="BF175" s="14">
        <f t="shared" si="167"/>
        <v>3.6292411711343559E-12</v>
      </c>
      <c r="BG175" s="22">
        <f t="shared" si="168"/>
        <v>6.7935256943361388E-12</v>
      </c>
      <c r="BH175" s="62">
        <f t="shared" si="116"/>
        <v>293.33333333334014</v>
      </c>
      <c r="BI175" s="62">
        <f ca="1">AVERAGE(OFFSET($BH$3,0,0,'Données projet'!$E$11+1,1))-AVERAGE(OFFSET($H$3,0,0,'Données projet'!$E$11+1,1))</f>
        <v>210.55867376929405</v>
      </c>
      <c r="BJ175" s="62">
        <f t="shared" si="146"/>
        <v>249.73837672556022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137.63879999999958</v>
      </c>
      <c r="D176" s="12">
        <f t="shared" si="140"/>
        <v>35.755553413044176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1338.4827281006887</v>
      </c>
      <c r="H176" s="70">
        <f t="shared" si="110"/>
        <v>595.32849886105112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8.0000000000012506E-2</v>
      </c>
      <c r="O176" s="14">
        <f>N176*VLOOKUP('Données projet'!$B$9,Paramètres!$A$1:$I$89,3,0)*VLOOKUP('Données projet'!$B$9,Paramètres!$A$1:$I$89,5,0)</f>
        <v>4.0684800000006363E-2</v>
      </c>
      <c r="P176" s="14">
        <f t="shared" si="141"/>
        <v>2.7217381697540451E-2</v>
      </c>
      <c r="Q176" s="22">
        <f t="shared" si="162"/>
        <v>0.11826296645656069</v>
      </c>
      <c r="R176" s="62">
        <f t="shared" si="109"/>
        <v>293.45159629978986</v>
      </c>
      <c r="S176" s="62">
        <f ca="1">AVERAGE(OFFSET($R$3,0,0,'Données projet'!$E$9+1,1))-AVERAGE(OFFSET($H$3,0,0,'Données projet'!$E$9+1,1))</f>
        <v>57.778110971082867</v>
      </c>
      <c r="T176" s="62">
        <f t="shared" si="142"/>
        <v>144.26475989880868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1.8936429652894067</v>
      </c>
      <c r="AA176" s="23">
        <f>EXP(-LN(2)/25)*AA175+(1-EXP(-LN(2)/25))/(LN(2)/25)*Calculateur!V176*Calculateur!X176*VLOOKUP('Données projet'!$B$9,Paramètres!$A$1:$I$89,3,0)*0.475*44/12</f>
        <v>7.8928448419937805E-2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1.9725714137093444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-5.1159076974727213E-13</v>
      </c>
      <c r="AJ176" s="14">
        <f>AI176*VLOOKUP('Données projet'!$B$10,Paramètres!$A$1:$I$89,3,0)*VLOOKUP('Données projet'!$B$10,Paramètres!$A$1:$I$89,5,0)</f>
        <v>-4.3096406443510209E-13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237.45928008030023</v>
      </c>
      <c r="AO176" s="62">
        <f t="shared" si="144"/>
        <v>126.78839015508379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2.7134774427395314E-13</v>
      </c>
      <c r="BF176" s="14">
        <f t="shared" si="167"/>
        <v>3.6292411711343559E-12</v>
      </c>
      <c r="BG176" s="22">
        <f t="shared" si="168"/>
        <v>6.7935256943361388E-12</v>
      </c>
      <c r="BH176" s="62">
        <f t="shared" si="116"/>
        <v>293.33333333334014</v>
      </c>
      <c r="BI176" s="62">
        <f ca="1">AVERAGE(OFFSET($BH$3,0,0,'Données projet'!$E$11+1,1))-AVERAGE(OFFSET($H$3,0,0,'Données projet'!$E$11+1,1))</f>
        <v>210.55867376929405</v>
      </c>
      <c r="BJ176" s="62">
        <f t="shared" si="146"/>
        <v>249.73837672556022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138.43439999999958</v>
      </c>
      <c r="D177" s="12">
        <f t="shared" si="140"/>
        <v>35.938114113553482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1346.0334422800586</v>
      </c>
      <c r="H177" s="70">
        <f t="shared" si="110"/>
        <v>597.03212874777159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8.0000000000012506E-2</v>
      </c>
      <c r="O177" s="14">
        <f>N177*VLOOKUP('Données projet'!$B$9,Paramètres!$A$1:$I$89,3,0)*VLOOKUP('Données projet'!$B$9,Paramètres!$A$1:$I$89,5,0)</f>
        <v>4.0684800000006363E-2</v>
      </c>
      <c r="P177" s="14">
        <f t="shared" si="141"/>
        <v>2.7217381697540451E-2</v>
      </c>
      <c r="Q177" s="22">
        <f t="shared" si="162"/>
        <v>0.11826296645656069</v>
      </c>
      <c r="R177" s="62">
        <f t="shared" si="109"/>
        <v>293.45159629978986</v>
      </c>
      <c r="S177" s="62">
        <f ca="1">AVERAGE(OFFSET($R$3,0,0,'Données projet'!$E$9+1,1))-AVERAGE(OFFSET($H$3,0,0,'Données projet'!$E$9+1,1))</f>
        <v>57.778110971082867</v>
      </c>
      <c r="T177" s="62">
        <f t="shared" si="142"/>
        <v>144.26475989880868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1.8565097817482425</v>
      </c>
      <c r="AA177" s="23">
        <f>EXP(-LN(2)/25)*AA176+(1-EXP(-LN(2)/25))/(LN(2)/25)*Calculateur!V177*Calculateur!X177*VLOOKUP('Données projet'!$B$9,Paramètres!$A$1:$I$89,3,0)*0.475*44/12</f>
        <v>7.6770145847227897E-2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1.9332799275954704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-5.1159076974727213E-13</v>
      </c>
      <c r="AJ177" s="14">
        <f>AI177*VLOOKUP('Données projet'!$B$10,Paramètres!$A$1:$I$89,3,0)*VLOOKUP('Données projet'!$B$10,Paramètres!$A$1:$I$89,5,0)</f>
        <v>-4.3096406443510209E-13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237.45928008030023</v>
      </c>
      <c r="AO177" s="62">
        <f t="shared" si="144"/>
        <v>126.78839015508379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2.7134774427395314E-13</v>
      </c>
      <c r="BF177" s="14">
        <f t="shared" si="167"/>
        <v>3.6292411711343559E-12</v>
      </c>
      <c r="BG177" s="22">
        <f t="shared" si="168"/>
        <v>6.7935256943361388E-12</v>
      </c>
      <c r="BH177" s="62">
        <f t="shared" si="116"/>
        <v>293.33333333334014</v>
      </c>
      <c r="BI177" s="62">
        <f ca="1">AVERAGE(OFFSET($BH$3,0,0,'Données projet'!$E$11+1,1))-AVERAGE(OFFSET($H$3,0,0,'Données projet'!$E$11+1,1))</f>
        <v>210.55867376929405</v>
      </c>
      <c r="BJ177" s="62">
        <f t="shared" si="146"/>
        <v>249.73837672556022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139.22999999999959</v>
      </c>
      <c r="D178" s="12">
        <f t="shared" si="140"/>
        <v>36.120552727378644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1353.5832140359023</v>
      </c>
      <c r="H178" s="70">
        <f t="shared" si="110"/>
        <v>598.73554600018372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8.0000000000012506E-2</v>
      </c>
      <c r="O178" s="14">
        <f>N178*VLOOKUP('Données projet'!$B$9,Paramètres!$A$1:$I$89,3,0)*VLOOKUP('Données projet'!$B$9,Paramètres!$A$1:$I$89,5,0)</f>
        <v>4.0684800000006363E-2</v>
      </c>
      <c r="P178" s="14">
        <f t="shared" si="141"/>
        <v>2.7217381697540451E-2</v>
      </c>
      <c r="Q178" s="22">
        <f t="shared" si="162"/>
        <v>0.11826296645656069</v>
      </c>
      <c r="R178" s="62">
        <f t="shared" si="109"/>
        <v>293.45159629978986</v>
      </c>
      <c r="S178" s="62">
        <f ca="1">AVERAGE(OFFSET($R$3,0,0,'Données projet'!$E$9+1,1))-AVERAGE(OFFSET($H$3,0,0,'Données projet'!$E$9+1,1))</f>
        <v>57.778110971082867</v>
      </c>
      <c r="T178" s="62">
        <f t="shared" si="142"/>
        <v>144.26475989880868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1.8201047572873152</v>
      </c>
      <c r="AA178" s="23">
        <f>EXP(-LN(2)/25)*AA177+(1-EXP(-LN(2)/25))/(LN(2)/25)*Calculateur!V178*Calculateur!X178*VLOOKUP('Données projet'!$B$9,Paramètres!$A$1:$I$89,3,0)*0.475*44/12</f>
        <v>7.467086217186894E-2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1.8947756194591843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-5.1159076974727213E-13</v>
      </c>
      <c r="AJ178" s="14">
        <f>AI178*VLOOKUP('Données projet'!$B$10,Paramètres!$A$1:$I$89,3,0)*VLOOKUP('Données projet'!$B$10,Paramètres!$A$1:$I$89,5,0)</f>
        <v>-4.3096406443510209E-13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237.45928008030023</v>
      </c>
      <c r="AO178" s="62">
        <f t="shared" si="144"/>
        <v>126.78839015508379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2.7134774427395314E-13</v>
      </c>
      <c r="BF178" s="14">
        <f t="shared" si="167"/>
        <v>3.6292411711343559E-12</v>
      </c>
      <c r="BG178" s="22">
        <f t="shared" si="168"/>
        <v>6.7935256943361388E-12</v>
      </c>
      <c r="BH178" s="62">
        <f t="shared" si="116"/>
        <v>293.33333333334014</v>
      </c>
      <c r="BI178" s="62">
        <f ca="1">AVERAGE(OFFSET($BH$3,0,0,'Données projet'!$E$11+1,1))-AVERAGE(OFFSET($H$3,0,0,'Données projet'!$E$11+1,1))</f>
        <v>210.55867376929405</v>
      </c>
      <c r="BJ178" s="62">
        <f t="shared" si="146"/>
        <v>249.73837672556022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140.0255999999996</v>
      </c>
      <c r="D179" s="12">
        <f t="shared" si="140"/>
        <v>36.302870033112399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1361.1320493784085</v>
      </c>
      <c r="H179" s="70">
        <f t="shared" si="110"/>
        <v>600.4387519743367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8.0000000000012506E-2</v>
      </c>
      <c r="O179" s="14">
        <f>N179*VLOOKUP('Données projet'!$B$9,Paramètres!$A$1:$I$89,3,0)*VLOOKUP('Données projet'!$B$9,Paramètres!$A$1:$I$89,5,0)</f>
        <v>4.0684800000006363E-2</v>
      </c>
      <c r="P179" s="14">
        <f t="shared" si="141"/>
        <v>2.7217381697540451E-2</v>
      </c>
      <c r="Q179" s="22">
        <f t="shared" si="162"/>
        <v>0.11826296645656069</v>
      </c>
      <c r="R179" s="62">
        <f t="shared" si="109"/>
        <v>293.45159629978986</v>
      </c>
      <c r="S179" s="62">
        <f ca="1">AVERAGE(OFFSET($R$3,0,0,'Données projet'!$E$9+1,1))-AVERAGE(OFFSET($H$3,0,0,'Données projet'!$E$9+1,1))</f>
        <v>57.778110971082867</v>
      </c>
      <c r="T179" s="62">
        <f t="shared" si="142"/>
        <v>144.26475989880868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1.7844136131511943</v>
      </c>
      <c r="AA179" s="23">
        <f>EXP(-LN(2)/25)*AA178+(1-EXP(-LN(2)/25))/(LN(2)/25)*Calculateur!V179*Calculateur!X179*VLOOKUP('Données projet'!$B$9,Paramètres!$A$1:$I$89,3,0)*0.475*44/12</f>
        <v>7.2628983519009205E-2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1.8570425966702035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-5.1159076974727213E-13</v>
      </c>
      <c r="AJ179" s="14">
        <f>AI179*VLOOKUP('Données projet'!$B$10,Paramètres!$A$1:$I$89,3,0)*VLOOKUP('Données projet'!$B$10,Paramètres!$A$1:$I$89,5,0)</f>
        <v>-4.3096406443510209E-13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237.45928008030023</v>
      </c>
      <c r="AO179" s="62">
        <f t="shared" si="144"/>
        <v>126.78839015508379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2.7134774427395314E-13</v>
      </c>
      <c r="BF179" s="14">
        <f t="shared" si="167"/>
        <v>3.6292411711343559E-12</v>
      </c>
      <c r="BG179" s="22">
        <f t="shared" si="168"/>
        <v>6.7935256943361388E-12</v>
      </c>
      <c r="BH179" s="62">
        <f t="shared" si="116"/>
        <v>293.33333333334014</v>
      </c>
      <c r="BI179" s="62">
        <f ca="1">AVERAGE(OFFSET($BH$3,0,0,'Données projet'!$E$11+1,1))-AVERAGE(OFFSET($H$3,0,0,'Données projet'!$E$11+1,1))</f>
        <v>210.55867376929405</v>
      </c>
      <c r="BJ179" s="62">
        <f t="shared" si="146"/>
        <v>249.73837672556022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140.82119999999961</v>
      </c>
      <c r="D180" s="12">
        <f t="shared" si="140"/>
        <v>36.485066799987933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1368.679954245518</v>
      </c>
      <c r="H180" s="70">
        <f t="shared" si="110"/>
        <v>602.1417480099783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8.0000000000012506E-2</v>
      </c>
      <c r="O180" s="14">
        <f>N180*VLOOKUP('Données projet'!$B$9,Paramètres!$A$1:$I$89,3,0)*VLOOKUP('Données projet'!$B$9,Paramètres!$A$1:$I$89,5,0)</f>
        <v>4.0684800000006363E-2</v>
      </c>
      <c r="P180" s="14">
        <f t="shared" si="141"/>
        <v>2.7217381697540451E-2</v>
      </c>
      <c r="Q180" s="22">
        <f t="shared" si="162"/>
        <v>0.11826296645656069</v>
      </c>
      <c r="R180" s="62">
        <f t="shared" si="109"/>
        <v>293.45159629978986</v>
      </c>
      <c r="S180" s="62">
        <f ca="1">AVERAGE(OFFSET($R$3,0,0,'Données projet'!$E$9+1,1))-AVERAGE(OFFSET($H$3,0,0,'Données projet'!$E$9+1,1))</f>
        <v>57.778110971082867</v>
      </c>
      <c r="T180" s="62">
        <f t="shared" si="142"/>
        <v>144.26475989880868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1.7494223505821342</v>
      </c>
      <c r="AA180" s="23">
        <f>EXP(-LN(2)/25)*AA179+(1-EXP(-LN(2)/25))/(LN(2)/25)*Calculateur!V180*Calculateur!X180*VLOOKUP('Données projet'!$B$9,Paramètres!$A$1:$I$89,3,0)*0.475*44/12</f>
        <v>7.0642940145289657E-2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1.820065290727424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-5.1159076974727213E-13</v>
      </c>
      <c r="AJ180" s="14">
        <f>AI180*VLOOKUP('Données projet'!$B$10,Paramètres!$A$1:$I$89,3,0)*VLOOKUP('Données projet'!$B$10,Paramètres!$A$1:$I$89,5,0)</f>
        <v>-4.3096406443510209E-13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237.45928008030023</v>
      </c>
      <c r="AO180" s="62">
        <f t="shared" si="144"/>
        <v>126.78839015508379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2.7134774427395314E-13</v>
      </c>
      <c r="BF180" s="14">
        <f t="shared" si="167"/>
        <v>3.6292411711343559E-12</v>
      </c>
      <c r="BG180" s="22">
        <f t="shared" si="168"/>
        <v>6.7935256943361388E-12</v>
      </c>
      <c r="BH180" s="62">
        <f t="shared" si="116"/>
        <v>293.33333333334014</v>
      </c>
      <c r="BI180" s="62">
        <f ca="1">AVERAGE(OFFSET($BH$3,0,0,'Données projet'!$E$11+1,1))-AVERAGE(OFFSET($H$3,0,0,'Données projet'!$E$11+1,1))</f>
        <v>210.55867376929405</v>
      </c>
      <c r="BJ180" s="62">
        <f t="shared" si="146"/>
        <v>249.73837672556022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141.61679999999961</v>
      </c>
      <c r="D181" s="12">
        <f t="shared" si="140"/>
        <v>36.667143788043589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1376.226934504193</v>
      </c>
      <c r="H181" s="70">
        <f t="shared" si="110"/>
        <v>603.84453543084192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8.0000000000012506E-2</v>
      </c>
      <c r="O181" s="14">
        <f>N181*VLOOKUP('Données projet'!$B$9,Paramètres!$A$1:$I$89,3,0)*VLOOKUP('Données projet'!$B$9,Paramètres!$A$1:$I$89,5,0)</f>
        <v>4.0684800000006363E-2</v>
      </c>
      <c r="P181" s="14">
        <f t="shared" si="141"/>
        <v>2.7217381697540451E-2</v>
      </c>
      <c r="Q181" s="22">
        <f t="shared" si="162"/>
        <v>0.11826296645656069</v>
      </c>
      <c r="R181" s="62">
        <f t="shared" si="109"/>
        <v>293.45159629978986</v>
      </c>
      <c r="S181" s="62">
        <f ca="1">AVERAGE(OFFSET($R$3,0,0,'Données projet'!$E$9+1,1))-AVERAGE(OFFSET($H$3,0,0,'Données projet'!$E$9+1,1))</f>
        <v>57.778110971082867</v>
      </c>
      <c r="T181" s="62">
        <f t="shared" si="142"/>
        <v>144.26475989880868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1.7151172453294907</v>
      </c>
      <c r="AA181" s="23">
        <f>EXP(-LN(2)/25)*AA180+(1-EXP(-LN(2)/25))/(LN(2)/25)*Calculateur!V181*Calculateur!X181*VLOOKUP('Données projet'!$B$9,Paramètres!$A$1:$I$89,3,0)*0.475*44/12</f>
        <v>6.8711205232065947E-2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1.7838284505615567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-5.1159076974727213E-13</v>
      </c>
      <c r="AJ181" s="14">
        <f>AI181*VLOOKUP('Données projet'!$B$10,Paramètres!$A$1:$I$89,3,0)*VLOOKUP('Données projet'!$B$10,Paramètres!$A$1:$I$89,5,0)</f>
        <v>-4.3096406443510209E-13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237.45928008030023</v>
      </c>
      <c r="AO181" s="62">
        <f t="shared" si="144"/>
        <v>126.78839015508379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2.7134774427395314E-13</v>
      </c>
      <c r="BF181" s="14">
        <f t="shared" si="167"/>
        <v>3.6292411711343559E-12</v>
      </c>
      <c r="BG181" s="22">
        <f t="shared" si="168"/>
        <v>6.7935256943361388E-12</v>
      </c>
      <c r="BH181" s="62">
        <f t="shared" si="116"/>
        <v>293.33333333334014</v>
      </c>
      <c r="BI181" s="62">
        <f ca="1">AVERAGE(OFFSET($BH$3,0,0,'Données projet'!$E$11+1,1))-AVERAGE(OFFSET($H$3,0,0,'Données projet'!$E$11+1,1))</f>
        <v>210.55867376929405</v>
      </c>
      <c r="BJ181" s="62">
        <f t="shared" si="146"/>
        <v>249.73837672556022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142.41239999999962</v>
      </c>
      <c r="D182" s="12">
        <f t="shared" si="140"/>
        <v>36.849101748283637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1383.7729959516601</v>
      </c>
      <c r="H182" s="70">
        <f t="shared" si="110"/>
        <v>605.54711554492656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8.0000000000012506E-2</v>
      </c>
      <c r="O182" s="14">
        <f>N182*VLOOKUP('Données projet'!$B$9,Paramètres!$A$1:$I$89,3,0)*VLOOKUP('Données projet'!$B$9,Paramètres!$A$1:$I$89,5,0)</f>
        <v>4.0684800000006363E-2</v>
      </c>
      <c r="P182" s="14">
        <f t="shared" si="141"/>
        <v>2.7217381697540451E-2</v>
      </c>
      <c r="Q182" s="22">
        <f t="shared" si="162"/>
        <v>0.11826296645656069</v>
      </c>
      <c r="R182" s="62">
        <f t="shared" si="109"/>
        <v>293.45159629978986</v>
      </c>
      <c r="S182" s="62">
        <f ca="1">AVERAGE(OFFSET($R$3,0,0,'Données projet'!$E$9+1,1))-AVERAGE(OFFSET($H$3,0,0,'Données projet'!$E$9+1,1))</f>
        <v>57.778110971082867</v>
      </c>
      <c r="T182" s="62">
        <f t="shared" si="142"/>
        <v>144.26475989880868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1.6814848422668034</v>
      </c>
      <c r="AA182" s="23">
        <f>EXP(-LN(2)/25)*AA181+(1-EXP(-LN(2)/25))/(LN(2)/25)*Calculateur!V182*Calculateur!X182*VLOOKUP('Données projet'!$B$9,Paramètres!$A$1:$I$89,3,0)*0.475*44/12</f>
        <v>6.6832293711629867E-2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1.7483171359784333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-5.1159076974727213E-13</v>
      </c>
      <c r="AJ182" s="14">
        <f>AI182*VLOOKUP('Données projet'!$B$10,Paramètres!$A$1:$I$89,3,0)*VLOOKUP('Données projet'!$B$10,Paramètres!$A$1:$I$89,5,0)</f>
        <v>-4.3096406443510209E-13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237.45928008030023</v>
      </c>
      <c r="AO182" s="62">
        <f t="shared" si="144"/>
        <v>126.78839015508379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2.7134774427395314E-13</v>
      </c>
      <c r="BF182" s="14">
        <f t="shared" si="167"/>
        <v>3.6292411711343559E-12</v>
      </c>
      <c r="BG182" s="22">
        <f t="shared" si="168"/>
        <v>6.7935256943361388E-12</v>
      </c>
      <c r="BH182" s="62">
        <f t="shared" si="116"/>
        <v>293.33333333334014</v>
      </c>
      <c r="BI182" s="62">
        <f ca="1">AVERAGE(OFFSET($BH$3,0,0,'Données projet'!$E$11+1,1))-AVERAGE(OFFSET($H$3,0,0,'Données projet'!$E$11+1,1))</f>
        <v>210.55867376929405</v>
      </c>
      <c r="BJ182" s="62">
        <f t="shared" si="146"/>
        <v>249.73837672556022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143.20799999999963</v>
      </c>
      <c r="D183" s="12">
        <f t="shared" si="140"/>
        <v>37.030941422835731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1391.3181443166238</v>
      </c>
      <c r="H183" s="70">
        <f t="shared" si="110"/>
        <v>607.24948964477153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8.0000000000012506E-2</v>
      </c>
      <c r="O183" s="14">
        <f>N183*VLOOKUP('Données projet'!$B$9,Paramètres!$A$1:$I$89,3,0)*VLOOKUP('Données projet'!$B$9,Paramètres!$A$1:$I$89,5,0)</f>
        <v>4.0684800000006363E-2</v>
      </c>
      <c r="P183" s="14">
        <f t="shared" si="141"/>
        <v>2.7217381697540451E-2</v>
      </c>
      <c r="Q183" s="22">
        <f t="shared" si="162"/>
        <v>0.11826296645656069</v>
      </c>
      <c r="R183" s="62">
        <f t="shared" si="109"/>
        <v>293.45159629978986</v>
      </c>
      <c r="S183" s="62">
        <f ca="1">AVERAGE(OFFSET($R$3,0,0,'Données projet'!$E$9+1,1))-AVERAGE(OFFSET($H$3,0,0,'Données projet'!$E$9+1,1))</f>
        <v>57.778110971082867</v>
      </c>
      <c r="T183" s="62">
        <f t="shared" si="142"/>
        <v>144.26475989880868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1.6485119501144352</v>
      </c>
      <c r="AA183" s="23">
        <f>EXP(-LN(2)/25)*AA182+(1-EXP(-LN(2)/25))/(LN(2)/25)*Calculateur!V183*Calculateur!X183*VLOOKUP('Données projet'!$B$9,Paramètres!$A$1:$I$89,3,0)*0.475*44/12</f>
        <v>6.5004761125527763E-2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1.713516711239963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-5.1159076974727213E-13</v>
      </c>
      <c r="AJ183" s="14">
        <f>AI183*VLOOKUP('Données projet'!$B$10,Paramètres!$A$1:$I$89,3,0)*VLOOKUP('Données projet'!$B$10,Paramètres!$A$1:$I$89,5,0)</f>
        <v>-4.3096406443510209E-13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237.45928008030023</v>
      </c>
      <c r="AO183" s="62">
        <f t="shared" si="144"/>
        <v>126.78839015508379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2.7134774427395314E-13</v>
      </c>
      <c r="BF183" s="14">
        <f t="shared" si="167"/>
        <v>3.6292411711343559E-12</v>
      </c>
      <c r="BG183" s="22">
        <f t="shared" si="168"/>
        <v>6.7935256943361388E-12</v>
      </c>
      <c r="BH183" s="62">
        <f t="shared" si="116"/>
        <v>293.33333333334014</v>
      </c>
      <c r="BI183" s="62">
        <f ca="1">AVERAGE(OFFSET($BH$3,0,0,'Données projet'!$E$11+1,1))-AVERAGE(OFFSET($H$3,0,0,'Données projet'!$E$11+1,1))</f>
        <v>210.55867376929405</v>
      </c>
      <c r="BJ183" s="62">
        <f t="shared" si="146"/>
        <v>249.73837672556022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144.00359999999964</v>
      </c>
      <c r="D184" s="12">
        <f t="shared" si="140"/>
        <v>37.212663545104412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1398.8623852604524</v>
      </c>
      <c r="H184" s="70">
        <f t="shared" si="110"/>
        <v>608.95165900772281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8.0000000000012506E-2</v>
      </c>
      <c r="O184" s="14">
        <f>N184*VLOOKUP('Données projet'!$B$9,Paramètres!$A$1:$I$89,3,0)*VLOOKUP('Données projet'!$B$9,Paramètres!$A$1:$I$89,5,0)</f>
        <v>4.0684800000006363E-2</v>
      </c>
      <c r="P184" s="14">
        <f t="shared" si="141"/>
        <v>2.7217381697540451E-2</v>
      </c>
      <c r="Q184" s="22">
        <f t="shared" si="162"/>
        <v>0.11826296645656069</v>
      </c>
      <c r="R184" s="62">
        <f t="shared" si="109"/>
        <v>293.45159629978986</v>
      </c>
      <c r="S184" s="62">
        <f ca="1">AVERAGE(OFFSET($R$3,0,0,'Données projet'!$E$9+1,1))-AVERAGE(OFFSET($H$3,0,0,'Données projet'!$E$9+1,1))</f>
        <v>57.778110971082867</v>
      </c>
      <c r="T184" s="62">
        <f t="shared" si="142"/>
        <v>144.26475989880868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1.6161856362656966</v>
      </c>
      <c r="AA184" s="23">
        <f>EXP(-LN(2)/25)*AA183+(1-EXP(-LN(2)/25))/(LN(2)/25)*Calculateur!V184*Calculateur!X184*VLOOKUP('Données projet'!$B$9,Paramètres!$A$1:$I$89,3,0)*0.475*44/12</f>
        <v>6.3227202514098385E-2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1.6794128387797949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-5.1159076974727213E-13</v>
      </c>
      <c r="AJ184" s="14">
        <f>AI184*VLOOKUP('Données projet'!$B$10,Paramètres!$A$1:$I$89,3,0)*VLOOKUP('Données projet'!$B$10,Paramètres!$A$1:$I$89,5,0)</f>
        <v>-4.3096406443510209E-13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237.45928008030023</v>
      </c>
      <c r="AO184" s="62">
        <f t="shared" si="144"/>
        <v>126.78839015508379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2.7134774427395314E-13</v>
      </c>
      <c r="BF184" s="14">
        <f t="shared" si="167"/>
        <v>3.6292411711343559E-12</v>
      </c>
      <c r="BG184" s="22">
        <f t="shared" si="168"/>
        <v>6.7935256943361388E-12</v>
      </c>
      <c r="BH184" s="62">
        <f t="shared" si="116"/>
        <v>293.33333333334014</v>
      </c>
      <c r="BI184" s="62">
        <f ca="1">AVERAGE(OFFSET($BH$3,0,0,'Données projet'!$E$11+1,1))-AVERAGE(OFFSET($H$3,0,0,'Données projet'!$E$11+1,1))</f>
        <v>210.55867376929405</v>
      </c>
      <c r="BJ184" s="62">
        <f t="shared" si="146"/>
        <v>249.73837672556022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144.79919999999964</v>
      </c>
      <c r="D185" s="12">
        <f t="shared" si="140"/>
        <v>37.394268839921217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1406.4057243783366</v>
      </c>
      <c r="H185" s="70">
        <f t="shared" si="110"/>
        <v>610.65362489619542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8.0000000000012506E-2</v>
      </c>
      <c r="O185" s="14">
        <f>N185*VLOOKUP('Données projet'!$B$9,Paramètres!$A$1:$I$89,3,0)*VLOOKUP('Données projet'!$B$9,Paramètres!$A$1:$I$89,5,0)</f>
        <v>4.0684800000006363E-2</v>
      </c>
      <c r="P185" s="14">
        <f t="shared" si="141"/>
        <v>2.7217381697540451E-2</v>
      </c>
      <c r="Q185" s="22">
        <f t="shared" si="162"/>
        <v>0.11826296645656069</v>
      </c>
      <c r="R185" s="62">
        <f t="shared" si="109"/>
        <v>293.45159629978986</v>
      </c>
      <c r="S185" s="62">
        <f ca="1">AVERAGE(OFFSET($R$3,0,0,'Données projet'!$E$9+1,1))-AVERAGE(OFFSET($H$3,0,0,'Données projet'!$E$9+1,1))</f>
        <v>57.778110971082867</v>
      </c>
      <c r="T185" s="62">
        <f t="shared" si="142"/>
        <v>144.26475989880868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1.5844932217144272</v>
      </c>
      <c r="AA185" s="23">
        <f>EXP(-LN(2)/25)*AA184+(1-EXP(-LN(2)/25))/(LN(2)/25)*Calculateur!V185*Calculateur!X185*VLOOKUP('Données projet'!$B$9,Paramètres!$A$1:$I$89,3,0)*0.475*44/12</f>
        <v>6.1498251336376292E-2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1.6459914730508034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-5.1159076974727213E-13</v>
      </c>
      <c r="AJ185" s="14">
        <f>AI185*VLOOKUP('Données projet'!$B$10,Paramètres!$A$1:$I$89,3,0)*VLOOKUP('Données projet'!$B$10,Paramètres!$A$1:$I$89,5,0)</f>
        <v>-4.3096406443510209E-13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237.45928008030023</v>
      </c>
      <c r="AO185" s="62">
        <f t="shared" si="144"/>
        <v>126.78839015508379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2.7134774427395314E-13</v>
      </c>
      <c r="BF185" s="14">
        <f t="shared" si="167"/>
        <v>3.6292411711343559E-12</v>
      </c>
      <c r="BG185" s="22">
        <f t="shared" si="168"/>
        <v>6.7935256943361388E-12</v>
      </c>
      <c r="BH185" s="62">
        <f t="shared" si="116"/>
        <v>293.33333333334014</v>
      </c>
      <c r="BI185" s="62">
        <f ca="1">AVERAGE(OFFSET($BH$3,0,0,'Données projet'!$E$11+1,1))-AVERAGE(OFFSET($H$3,0,0,'Données projet'!$E$11+1,1))</f>
        <v>210.55867376929405</v>
      </c>
      <c r="BJ185" s="62">
        <f t="shared" si="146"/>
        <v>249.73837672556022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145.59479999999965</v>
      </c>
      <c r="D186" s="12">
        <f t="shared" si="140"/>
        <v>37.575758023691613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1413.948167200424</v>
      </c>
      <c r="H186" s="70">
        <f t="shared" si="110"/>
        <v>612.3553885579289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8.0000000000012506E-2</v>
      </c>
      <c r="O186" s="14">
        <f>N186*VLOOKUP('Données projet'!$B$9,Paramètres!$A$1:$I$89,3,0)*VLOOKUP('Données projet'!$B$9,Paramètres!$A$1:$I$89,5,0)</f>
        <v>4.0684800000006363E-2</v>
      </c>
      <c r="P186" s="14">
        <f t="shared" si="141"/>
        <v>2.7217381697540451E-2</v>
      </c>
      <c r="Q186" s="22">
        <f t="shared" si="162"/>
        <v>0.11826296645656069</v>
      </c>
      <c r="R186" s="62">
        <f t="shared" si="109"/>
        <v>293.45159629978986</v>
      </c>
      <c r="S186" s="62">
        <f ca="1">AVERAGE(OFFSET($R$3,0,0,'Données projet'!$E$9+1,1))-AVERAGE(OFFSET($H$3,0,0,'Données projet'!$E$9+1,1))</f>
        <v>57.778110971082867</v>
      </c>
      <c r="T186" s="62">
        <f t="shared" si="142"/>
        <v>144.26475989880868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1.553422276082044</v>
      </c>
      <c r="AA186" s="23">
        <f>EXP(-LN(2)/25)*AA185+(1-EXP(-LN(2)/25))/(LN(2)/25)*Calculateur!V186*Calculateur!X186*VLOOKUP('Données projet'!$B$9,Paramètres!$A$1:$I$89,3,0)*0.475*44/12</f>
        <v>5.98165784195306E-2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1.6132388545015746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-5.1159076974727213E-13</v>
      </c>
      <c r="AJ186" s="14">
        <f>AI186*VLOOKUP('Données projet'!$B$10,Paramètres!$A$1:$I$89,3,0)*VLOOKUP('Données projet'!$B$10,Paramètres!$A$1:$I$89,5,0)</f>
        <v>-4.3096406443510209E-13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237.45928008030023</v>
      </c>
      <c r="AO186" s="62">
        <f t="shared" si="144"/>
        <v>126.78839015508379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2.7134774427395314E-13</v>
      </c>
      <c r="BF186" s="14">
        <f t="shared" si="167"/>
        <v>3.6292411711343559E-12</v>
      </c>
      <c r="BG186" s="22">
        <f t="shared" si="168"/>
        <v>6.7935256943361388E-12</v>
      </c>
      <c r="BH186" s="62">
        <f t="shared" si="116"/>
        <v>293.33333333334014</v>
      </c>
      <c r="BI186" s="62">
        <f ca="1">AVERAGE(OFFSET($BH$3,0,0,'Données projet'!$E$11+1,1))-AVERAGE(OFFSET($H$3,0,0,'Données projet'!$E$11+1,1))</f>
        <v>210.55867376929405</v>
      </c>
      <c r="BJ186" s="62">
        <f t="shared" si="146"/>
        <v>249.73837672556022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146.39039999999966</v>
      </c>
      <c r="D187" s="12">
        <f t="shared" si="140"/>
        <v>37.757131804538268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1421.4897191929242</v>
      </c>
      <c r="H187" s="70">
        <f t="shared" si="110"/>
        <v>614.05695122623683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8.0000000000012506E-2</v>
      </c>
      <c r="O187" s="14">
        <f>N187*VLOOKUP('Données projet'!$B$9,Paramètres!$A$1:$I$89,3,0)*VLOOKUP('Données projet'!$B$9,Paramètres!$A$1:$I$89,5,0)</f>
        <v>4.0684800000006363E-2</v>
      </c>
      <c r="P187" s="14">
        <f t="shared" si="141"/>
        <v>2.7217381697540451E-2</v>
      </c>
      <c r="Q187" s="22">
        <f t="shared" si="162"/>
        <v>0.11826296645656069</v>
      </c>
      <c r="R187" s="62">
        <f t="shared" si="109"/>
        <v>293.45159629978986</v>
      </c>
      <c r="S187" s="62">
        <f ca="1">AVERAGE(OFFSET($R$3,0,0,'Données projet'!$E$9+1,1))-AVERAGE(OFFSET($H$3,0,0,'Données projet'!$E$9+1,1))</f>
        <v>57.778110971082867</v>
      </c>
      <c r="T187" s="62">
        <f t="shared" si="142"/>
        <v>144.26475989880868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1.5229606127421063</v>
      </c>
      <c r="AA187" s="23">
        <f>EXP(-LN(2)/25)*AA186+(1-EXP(-LN(2)/25))/(LN(2)/25)*Calculateur!V187*Calculateur!X187*VLOOKUP('Données projet'!$B$9,Paramètres!$A$1:$I$89,3,0)*0.475*44/12</f>
        <v>5.8180890937031389E-2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1.5811415036791376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-5.1159076974727213E-13</v>
      </c>
      <c r="AJ187" s="14">
        <f>AI187*VLOOKUP('Données projet'!$B$10,Paramètres!$A$1:$I$89,3,0)*VLOOKUP('Données projet'!$B$10,Paramètres!$A$1:$I$89,5,0)</f>
        <v>-4.3096406443510209E-13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237.45928008030023</v>
      </c>
      <c r="AO187" s="62">
        <f t="shared" si="144"/>
        <v>126.78839015508379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2.7134774427395314E-13</v>
      </c>
      <c r="BF187" s="14">
        <f t="shared" si="167"/>
        <v>3.6292411711343559E-12</v>
      </c>
      <c r="BG187" s="22">
        <f t="shared" si="168"/>
        <v>6.7935256943361388E-12</v>
      </c>
      <c r="BH187" s="62">
        <f t="shared" si="116"/>
        <v>293.33333333334014</v>
      </c>
      <c r="BI187" s="62">
        <f ca="1">AVERAGE(OFFSET($BH$3,0,0,'Données projet'!$E$11+1,1))-AVERAGE(OFFSET($H$3,0,0,'Données projet'!$E$11+1,1))</f>
        <v>210.55867376929405</v>
      </c>
      <c r="BJ187" s="62">
        <f t="shared" si="146"/>
        <v>249.73837672556022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147.18599999999967</v>
      </c>
      <c r="D188" s="12">
        <f t="shared" si="140"/>
        <v>37.938390882441261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1429.0303857591932</v>
      </c>
      <c r="H188" s="70">
        <f t="shared" si="110"/>
        <v>615.75831412025127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8.0000000000012506E-2</v>
      </c>
      <c r="O188" s="14">
        <f>N188*VLOOKUP('Données projet'!$B$9,Paramètres!$A$1:$I$89,3,0)*VLOOKUP('Données projet'!$B$9,Paramètres!$A$1:$I$89,5,0)</f>
        <v>4.0684800000006363E-2</v>
      </c>
      <c r="P188" s="14">
        <f t="shared" si="141"/>
        <v>2.7217381697540451E-2</v>
      </c>
      <c r="Q188" s="22">
        <f t="shared" si="162"/>
        <v>0.11826296645656069</v>
      </c>
      <c r="R188" s="62">
        <f t="shared" si="109"/>
        <v>293.45159629978986</v>
      </c>
      <c r="S188" s="62">
        <f ca="1">AVERAGE(OFFSET($R$3,0,0,'Données projet'!$E$9+1,1))-AVERAGE(OFFSET($H$3,0,0,'Données projet'!$E$9+1,1))</f>
        <v>57.778110971082867</v>
      </c>
      <c r="T188" s="62">
        <f t="shared" si="142"/>
        <v>144.26475989880868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1.4930962840404847</v>
      </c>
      <c r="AA188" s="23">
        <f>EXP(-LN(2)/25)*AA187+(1-EXP(-LN(2)/25))/(LN(2)/25)*Calculateur!V188*Calculateur!X188*VLOOKUP('Données projet'!$B$9,Paramètres!$A$1:$I$89,3,0)*0.475*44/12</f>
        <v>5.6589931414758182E-2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1.5496862154552429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-5.1159076974727213E-13</v>
      </c>
      <c r="AJ188" s="14">
        <f>AI188*VLOOKUP('Données projet'!$B$10,Paramètres!$A$1:$I$89,3,0)*VLOOKUP('Données projet'!$B$10,Paramètres!$A$1:$I$89,5,0)</f>
        <v>-4.3096406443510209E-13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237.45928008030023</v>
      </c>
      <c r="AO188" s="62">
        <f t="shared" si="144"/>
        <v>126.78839015508379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2.7134774427395314E-13</v>
      </c>
      <c r="BF188" s="14">
        <f t="shared" si="167"/>
        <v>3.6292411711343559E-12</v>
      </c>
      <c r="BG188" s="22">
        <f t="shared" si="168"/>
        <v>6.7935256943361388E-12</v>
      </c>
      <c r="BH188" s="62">
        <f t="shared" si="116"/>
        <v>293.33333333334014</v>
      </c>
      <c r="BI188" s="62">
        <f ca="1">AVERAGE(OFFSET($BH$3,0,0,'Données projet'!$E$11+1,1))-AVERAGE(OFFSET($H$3,0,0,'Données projet'!$E$11+1,1))</f>
        <v>210.55867376929405</v>
      </c>
      <c r="BJ188" s="62">
        <f t="shared" si="146"/>
        <v>249.73837672556022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147.98159999999967</v>
      </c>
      <c r="D189" s="12">
        <f t="shared" si="140"/>
        <v>38.119535949375546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1436.5701722407912</v>
      </c>
      <c r="H189" s="70">
        <f t="shared" si="110"/>
        <v>617.45947844516172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8.0000000000012506E-2</v>
      </c>
      <c r="O189" s="14">
        <f>N189*VLOOKUP('Données projet'!$B$9,Paramètres!$A$1:$I$89,3,0)*VLOOKUP('Données projet'!$B$9,Paramètres!$A$1:$I$89,5,0)</f>
        <v>4.0684800000006363E-2</v>
      </c>
      <c r="P189" s="14">
        <f t="shared" si="141"/>
        <v>2.7217381697540451E-2</v>
      </c>
      <c r="Q189" s="22">
        <f t="shared" si="162"/>
        <v>0.11826296645656069</v>
      </c>
      <c r="R189" s="62">
        <f t="shared" si="109"/>
        <v>293.45159629978986</v>
      </c>
      <c r="S189" s="62">
        <f ca="1">AVERAGE(OFFSET($R$3,0,0,'Données projet'!$E$9+1,1))-AVERAGE(OFFSET($H$3,0,0,'Données projet'!$E$9+1,1))</f>
        <v>57.778110971082867</v>
      </c>
      <c r="T189" s="62">
        <f t="shared" si="142"/>
        <v>144.26475989880868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1.46381757660926</v>
      </c>
      <c r="AA189" s="23">
        <f>EXP(-LN(2)/25)*AA188+(1-EXP(-LN(2)/25))/(LN(2)/25)*Calculateur!V189*Calculateur!X189*VLOOKUP('Données projet'!$B$9,Paramètres!$A$1:$I$89,3,0)*0.475*44/12</f>
        <v>5.5042476764286467E-2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1.5188600533735466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-5.1159076974727213E-13</v>
      </c>
      <c r="AJ189" s="14">
        <f>AI189*VLOOKUP('Données projet'!$B$10,Paramètres!$A$1:$I$89,3,0)*VLOOKUP('Données projet'!$B$10,Paramètres!$A$1:$I$89,5,0)</f>
        <v>-4.3096406443510209E-13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237.45928008030023</v>
      </c>
      <c r="AO189" s="62">
        <f t="shared" si="144"/>
        <v>126.78839015508379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2.7134774427395314E-13</v>
      </c>
      <c r="BF189" s="14">
        <f t="shared" si="167"/>
        <v>3.6292411711343559E-12</v>
      </c>
      <c r="BG189" s="22">
        <f t="shared" si="168"/>
        <v>6.7935256943361388E-12</v>
      </c>
      <c r="BH189" s="62">
        <f t="shared" si="116"/>
        <v>293.33333333334014</v>
      </c>
      <c r="BI189" s="62">
        <f ca="1">AVERAGE(OFFSET($BH$3,0,0,'Données projet'!$E$11+1,1))-AVERAGE(OFFSET($H$3,0,0,'Données projet'!$E$11+1,1))</f>
        <v>210.55867376929405</v>
      </c>
      <c r="BJ189" s="62">
        <f t="shared" si="146"/>
        <v>249.73837672556022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148.77719999999968</v>
      </c>
      <c r="D190" s="12">
        <f t="shared" si="140"/>
        <v>38.30056768944452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1444.1090839185169</v>
      </c>
      <c r="H190" s="70">
        <f t="shared" si="110"/>
        <v>619.16044539244865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8.0000000000012506E-2</v>
      </c>
      <c r="O190" s="14">
        <f>N190*VLOOKUP('Données projet'!$B$9,Paramètres!$A$1:$I$89,3,0)*VLOOKUP('Données projet'!$B$9,Paramètres!$A$1:$I$89,5,0)</f>
        <v>4.0684800000006363E-2</v>
      </c>
      <c r="P190" s="14">
        <f t="shared" si="141"/>
        <v>2.7217381697540451E-2</v>
      </c>
      <c r="Q190" s="22">
        <f t="shared" si="162"/>
        <v>0.11826296645656069</v>
      </c>
      <c r="R190" s="62">
        <f t="shared" si="109"/>
        <v>293.45159629978986</v>
      </c>
      <c r="S190" s="62">
        <f ca="1">AVERAGE(OFFSET($R$3,0,0,'Données projet'!$E$9+1,1))-AVERAGE(OFFSET($H$3,0,0,'Données projet'!$E$9+1,1))</f>
        <v>57.778110971082867</v>
      </c>
      <c r="T190" s="62">
        <f t="shared" si="142"/>
        <v>144.26475989880868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1.4351130067725135</v>
      </c>
      <c r="AA190" s="23">
        <f>EXP(-LN(2)/25)*AA189+(1-EXP(-LN(2)/25))/(LN(2)/25)*Calculateur!V190*Calculateur!X190*VLOOKUP('Données projet'!$B$9,Paramètres!$A$1:$I$89,3,0)*0.475*44/12</f>
        <v>5.3537337342609001E-2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1.4886503441151224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-5.1159076974727213E-13</v>
      </c>
      <c r="AJ190" s="14">
        <f>AI190*VLOOKUP('Données projet'!$B$10,Paramètres!$A$1:$I$89,3,0)*VLOOKUP('Données projet'!$B$10,Paramètres!$A$1:$I$89,5,0)</f>
        <v>-4.3096406443510209E-13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237.45928008030023</v>
      </c>
      <c r="AO190" s="62">
        <f t="shared" si="144"/>
        <v>126.78839015508379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2.7134774427395314E-13</v>
      </c>
      <c r="BF190" s="14">
        <f t="shared" si="167"/>
        <v>3.6292411711343559E-12</v>
      </c>
      <c r="BG190" s="22">
        <f t="shared" si="168"/>
        <v>6.7935256943361388E-12</v>
      </c>
      <c r="BH190" s="62">
        <f t="shared" si="116"/>
        <v>293.33333333334014</v>
      </c>
      <c r="BI190" s="62">
        <f ca="1">AVERAGE(OFFSET($BH$3,0,0,'Données projet'!$E$11+1,1))-AVERAGE(OFFSET($H$3,0,0,'Données projet'!$E$11+1,1))</f>
        <v>210.55867376929405</v>
      </c>
      <c r="BJ190" s="62">
        <f t="shared" si="146"/>
        <v>249.73837672556022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149.57279999999969</v>
      </c>
      <c r="D191" s="12">
        <f t="shared" si="140"/>
        <v>38.481486779011625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1451.6471260134206</v>
      </c>
      <c r="H191" s="70">
        <f t="shared" si="110"/>
        <v>620.86121614011131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8.0000000000012506E-2</v>
      </c>
      <c r="O191" s="14">
        <f>N191*VLOOKUP('Données projet'!$B$9,Paramètres!$A$1:$I$89,3,0)*VLOOKUP('Données projet'!$B$9,Paramètres!$A$1:$I$89,5,0)</f>
        <v>4.0684800000006363E-2</v>
      </c>
      <c r="P191" s="14">
        <f t="shared" si="141"/>
        <v>2.7217381697540451E-2</v>
      </c>
      <c r="Q191" s="22">
        <f t="shared" si="162"/>
        <v>0.11826296645656069</v>
      </c>
      <c r="R191" s="62">
        <f t="shared" si="109"/>
        <v>293.45159629978986</v>
      </c>
      <c r="S191" s="62">
        <f ca="1">AVERAGE(OFFSET($R$3,0,0,'Données projet'!$E$9+1,1))-AVERAGE(OFFSET($H$3,0,0,'Données projet'!$E$9+1,1))</f>
        <v>57.778110971082867</v>
      </c>
      <c r="T191" s="62">
        <f t="shared" si="142"/>
        <v>144.26475989880868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1.4069713160422068</v>
      </c>
      <c r="AA191" s="23">
        <f>EXP(-LN(2)/25)*AA190+(1-EXP(-LN(2)/25))/(LN(2)/25)*Calculateur!V191*Calculateur!X191*VLOOKUP('Données projet'!$B$9,Paramètres!$A$1:$I$89,3,0)*0.475*44/12</f>
        <v>5.207335603756915E-2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1.4590446720797761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-5.1159076974727213E-13</v>
      </c>
      <c r="AJ191" s="14">
        <f>AI191*VLOOKUP('Données projet'!$B$10,Paramètres!$A$1:$I$89,3,0)*VLOOKUP('Données projet'!$B$10,Paramètres!$A$1:$I$89,5,0)</f>
        <v>-4.3096406443510209E-13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237.45928008030023</v>
      </c>
      <c r="AO191" s="62">
        <f t="shared" si="144"/>
        <v>126.78839015508379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2.7134774427395314E-13</v>
      </c>
      <c r="BF191" s="14">
        <f t="shared" si="167"/>
        <v>3.6292411711343559E-12</v>
      </c>
      <c r="BG191" s="22">
        <f t="shared" si="168"/>
        <v>6.7935256943361388E-12</v>
      </c>
      <c r="BH191" s="62">
        <f t="shared" si="116"/>
        <v>293.33333333334014</v>
      </c>
      <c r="BI191" s="62">
        <f ca="1">AVERAGE(OFFSET($BH$3,0,0,'Données projet'!$E$11+1,1))-AVERAGE(OFFSET($H$3,0,0,'Données projet'!$E$11+1,1))</f>
        <v>210.55867376929405</v>
      </c>
      <c r="BJ191" s="62">
        <f t="shared" si="146"/>
        <v>249.73837672556022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150.3683999999997</v>
      </c>
      <c r="D192" s="12">
        <f t="shared" si="140"/>
        <v>38.662293886828401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1459.184303687796</v>
      </c>
      <c r="H192" s="70">
        <f t="shared" si="110"/>
        <v>622.56179185289227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8.0000000000012506E-2</v>
      </c>
      <c r="O192" s="14">
        <f>N192*VLOOKUP('Données projet'!$B$9,Paramètres!$A$1:$I$89,3,0)*VLOOKUP('Données projet'!$B$9,Paramètres!$A$1:$I$89,5,0)</f>
        <v>4.0684800000006363E-2</v>
      </c>
      <c r="P192" s="14">
        <f t="shared" si="141"/>
        <v>2.7217381697540451E-2</v>
      </c>
      <c r="Q192" s="22">
        <f t="shared" si="162"/>
        <v>0.11826296645656069</v>
      </c>
      <c r="R192" s="62">
        <f t="shared" si="109"/>
        <v>293.45159629978986</v>
      </c>
      <c r="S192" s="62">
        <f ca="1">AVERAGE(OFFSET($R$3,0,0,'Données projet'!$E$9+1,1))-AVERAGE(OFFSET($H$3,0,0,'Données projet'!$E$9+1,1))</f>
        <v>57.778110971082867</v>
      </c>
      <c r="T192" s="62">
        <f t="shared" si="142"/>
        <v>144.26475989880868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1.3793814667023849</v>
      </c>
      <c r="AA192" s="23">
        <f>EXP(-LN(2)/25)*AA191+(1-EXP(-LN(2)/25))/(LN(2)/25)*Calculateur!V192*Calculateur!X192*VLOOKUP('Données projet'!$B$9,Paramètres!$A$1:$I$89,3,0)*0.475*44/12</f>
        <v>5.0649407378303042E-2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1.430030874080688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-5.1159076974727213E-13</v>
      </c>
      <c r="AJ192" s="14">
        <f>AI192*VLOOKUP('Données projet'!$B$10,Paramètres!$A$1:$I$89,3,0)*VLOOKUP('Données projet'!$B$10,Paramètres!$A$1:$I$89,5,0)</f>
        <v>-4.3096406443510209E-13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237.45928008030023</v>
      </c>
      <c r="AO192" s="62">
        <f t="shared" si="144"/>
        <v>126.78839015508379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2.7134774427395314E-13</v>
      </c>
      <c r="BF192" s="14">
        <f t="shared" si="167"/>
        <v>3.6292411711343559E-12</v>
      </c>
      <c r="BG192" s="22">
        <f t="shared" si="168"/>
        <v>6.7935256943361388E-12</v>
      </c>
      <c r="BH192" s="62">
        <f t="shared" si="116"/>
        <v>293.33333333334014</v>
      </c>
      <c r="BI192" s="62">
        <f ca="1">AVERAGE(OFFSET($BH$3,0,0,'Données projet'!$E$11+1,1))-AVERAGE(OFFSET($H$3,0,0,'Données projet'!$E$11+1,1))</f>
        <v>210.55867376929405</v>
      </c>
      <c r="BJ192" s="62">
        <f t="shared" si="146"/>
        <v>249.73837672556022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151.1639999999997</v>
      </c>
      <c r="D193" s="12">
        <f t="shared" si="140"/>
        <v>38.842989674159881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1466.7206220461442</v>
      </c>
      <c r="H193" s="70">
        <f t="shared" si="110"/>
        <v>624.26217368249456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8.0000000000012506E-2</v>
      </c>
      <c r="O193" s="14">
        <f>N193*VLOOKUP('Données projet'!$B$9,Paramètres!$A$1:$I$89,3,0)*VLOOKUP('Données projet'!$B$9,Paramètres!$A$1:$I$89,5,0)</f>
        <v>4.0684800000006363E-2</v>
      </c>
      <c r="P193" s="14">
        <f t="shared" si="141"/>
        <v>2.7217381697540451E-2</v>
      </c>
      <c r="Q193" s="22">
        <f t="shared" si="162"/>
        <v>0.11826296645656069</v>
      </c>
      <c r="R193" s="62">
        <f t="shared" si="109"/>
        <v>293.45159629978986</v>
      </c>
      <c r="S193" s="62">
        <f ca="1">AVERAGE(OFFSET($R$3,0,0,'Données projet'!$E$9+1,1))-AVERAGE(OFFSET($H$3,0,0,'Données projet'!$E$9+1,1))</f>
        <v>57.778110971082867</v>
      </c>
      <c r="T193" s="62">
        <f t="shared" si="142"/>
        <v>144.26475989880868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1.3523326374799705</v>
      </c>
      <c r="AA193" s="23">
        <f>EXP(-LN(2)/25)*AA192+(1-EXP(-LN(2)/25))/(LN(2)/25)*Calculateur!V193*Calculateur!X193*VLOOKUP('Données projet'!$B$9,Paramètres!$A$1:$I$89,3,0)*0.475*44/12</f>
        <v>4.9264396670006774E-2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1.4015970341499773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-5.1159076974727213E-13</v>
      </c>
      <c r="AJ193" s="14">
        <f>AI193*VLOOKUP('Données projet'!$B$10,Paramètres!$A$1:$I$89,3,0)*VLOOKUP('Données projet'!$B$10,Paramètres!$A$1:$I$89,5,0)</f>
        <v>-4.3096406443510209E-13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237.45928008030023</v>
      </c>
      <c r="AO193" s="62">
        <f t="shared" si="144"/>
        <v>126.78839015508379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2.7134774427395314E-13</v>
      </c>
      <c r="BF193" s="14">
        <f t="shared" si="167"/>
        <v>3.6292411711343559E-12</v>
      </c>
      <c r="BG193" s="22">
        <f t="shared" si="168"/>
        <v>6.7935256943361388E-12</v>
      </c>
      <c r="BH193" s="62">
        <f t="shared" si="116"/>
        <v>293.33333333334014</v>
      </c>
      <c r="BI193" s="62">
        <f ca="1">AVERAGE(OFFSET($BH$3,0,0,'Données projet'!$E$11+1,1))-AVERAGE(OFFSET($H$3,0,0,'Données projet'!$E$11+1,1))</f>
        <v>210.55867376929405</v>
      </c>
      <c r="BJ193" s="62">
        <f t="shared" si="146"/>
        <v>249.73837672556022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151.95959999999971</v>
      </c>
      <c r="D194" s="12">
        <f t="shared" si="140"/>
        <v>39.023574794907617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1474.2560861361269</v>
      </c>
      <c r="H194" s="70">
        <f t="shared" si="110"/>
        <v>625.96236276779689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8.0000000000012506E-2</v>
      </c>
      <c r="O194" s="14">
        <f>N194*VLOOKUP('Données projet'!$B$9,Paramètres!$A$1:$I$89,3,0)*VLOOKUP('Données projet'!$B$9,Paramètres!$A$1:$I$89,5,0)</f>
        <v>4.0684800000006363E-2</v>
      </c>
      <c r="P194" s="14">
        <f t="shared" si="141"/>
        <v>2.7217381697540451E-2</v>
      </c>
      <c r="Q194" s="22">
        <f t="shared" si="162"/>
        <v>0.11826296645656069</v>
      </c>
      <c r="R194" s="62">
        <f t="shared" si="109"/>
        <v>293.45159629978986</v>
      </c>
      <c r="S194" s="62">
        <f ca="1">AVERAGE(OFFSET($R$3,0,0,'Données projet'!$E$9+1,1))-AVERAGE(OFFSET($H$3,0,0,'Données projet'!$E$9+1,1))</f>
        <v>57.778110971082867</v>
      </c>
      <c r="T194" s="62">
        <f t="shared" si="142"/>
        <v>144.26475989880868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1.3258142193004507</v>
      </c>
      <c r="AA194" s="23">
        <f>EXP(-LN(2)/25)*AA193+(1-EXP(-LN(2)/25))/(LN(2)/25)*Calculateur!V194*Calculateur!X194*VLOOKUP('Données projet'!$B$9,Paramètres!$A$1:$I$89,3,0)*0.475*44/12</f>
        <v>4.791725915236341E-2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1.3737314784528141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-5.1159076974727213E-13</v>
      </c>
      <c r="AJ194" s="14">
        <f>AI194*VLOOKUP('Données projet'!$B$10,Paramètres!$A$1:$I$89,3,0)*VLOOKUP('Données projet'!$B$10,Paramètres!$A$1:$I$89,5,0)</f>
        <v>-4.3096406443510209E-13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237.45928008030023</v>
      </c>
      <c r="AO194" s="62">
        <f t="shared" si="144"/>
        <v>126.78839015508379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2.7134774427395314E-13</v>
      </c>
      <c r="BF194" s="14">
        <f t="shared" si="167"/>
        <v>3.6292411711343559E-12</v>
      </c>
      <c r="BG194" s="22">
        <f t="shared" si="168"/>
        <v>6.7935256943361388E-12</v>
      </c>
      <c r="BH194" s="62">
        <f t="shared" si="116"/>
        <v>293.33333333334014</v>
      </c>
      <c r="BI194" s="62">
        <f ca="1">AVERAGE(OFFSET($BH$3,0,0,'Données projet'!$E$11+1,1))-AVERAGE(OFFSET($H$3,0,0,'Données projet'!$E$11+1,1))</f>
        <v>210.55867376929405</v>
      </c>
      <c r="BJ194" s="62">
        <f t="shared" si="146"/>
        <v>249.73837672556022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152.75519999999972</v>
      </c>
      <c r="D195" s="12">
        <f t="shared" si="140"/>
        <v>39.20404989572949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1481.7907009494886</v>
      </c>
      <c r="H195" s="70">
        <f t="shared" si="110"/>
        <v>627.66236023506167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8.0000000000012506E-2</v>
      </c>
      <c r="O195" s="14">
        <f>N195*VLOOKUP('Données projet'!$B$9,Paramètres!$A$1:$I$89,3,0)*VLOOKUP('Données projet'!$B$9,Paramètres!$A$1:$I$89,5,0)</f>
        <v>4.0684800000006363E-2</v>
      </c>
      <c r="P195" s="14">
        <f t="shared" si="141"/>
        <v>2.7217381697540451E-2</v>
      </c>
      <c r="Q195" s="22">
        <f t="shared" si="162"/>
        <v>0.11826296645656069</v>
      </c>
      <c r="R195" s="62">
        <f t="shared" ref="R195:R203" si="191">Q195+(I195+J195)*44/12</f>
        <v>293.45159629978986</v>
      </c>
      <c r="S195" s="62">
        <f ca="1">AVERAGE(OFFSET($R$3,0,0,'Données projet'!$E$9+1,1))-AVERAGE(OFFSET($H$3,0,0,'Données projet'!$E$9+1,1))</f>
        <v>57.778110971082867</v>
      </c>
      <c r="T195" s="62">
        <f t="shared" si="142"/>
        <v>144.26475989880868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1.2998158111267935</v>
      </c>
      <c r="AA195" s="23">
        <f>EXP(-LN(2)/25)*AA194+(1-EXP(-LN(2)/25))/(LN(2)/25)*Calculateur!V195*Calculateur!X195*VLOOKUP('Données projet'!$B$9,Paramètres!$A$1:$I$89,3,0)*0.475*44/12</f>
        <v>4.6606959180982892E-2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1.3464227703077762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-5.1159076974727213E-13</v>
      </c>
      <c r="AJ195" s="14">
        <f>AI195*VLOOKUP('Données projet'!$B$10,Paramètres!$A$1:$I$89,3,0)*VLOOKUP('Données projet'!$B$10,Paramètres!$A$1:$I$89,5,0)</f>
        <v>-4.3096406443510209E-13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237.45928008030023</v>
      </c>
      <c r="AO195" s="62">
        <f t="shared" si="144"/>
        <v>126.78839015508379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2.7134774427395314E-13</v>
      </c>
      <c r="BF195" s="14">
        <f t="shared" si="167"/>
        <v>3.6292411711343559E-12</v>
      </c>
      <c r="BG195" s="22">
        <f t="shared" si="168"/>
        <v>6.7935256943361388E-12</v>
      </c>
      <c r="BH195" s="62">
        <f t="shared" si="116"/>
        <v>293.33333333334014</v>
      </c>
      <c r="BI195" s="62">
        <f ca="1">AVERAGE(OFFSET($BH$3,0,0,'Données projet'!$E$11+1,1))-AVERAGE(OFFSET($H$3,0,0,'Données projet'!$E$11+1,1))</f>
        <v>210.55867376929405</v>
      </c>
      <c r="BJ195" s="62">
        <f t="shared" si="146"/>
        <v>249.73837672556022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153.55079999999973</v>
      </c>
      <c r="D196" s="12">
        <f t="shared" si="140"/>
        <v>39.384415616157462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1489.3244714229679</v>
      </c>
      <c r="H196" s="70">
        <f t="shared" ref="H196:H203" si="192">(B196+E196+F196)*44/12+(C196+D196)*0.475*44/12</f>
        <v>629.36216719814036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8.0000000000012506E-2</v>
      </c>
      <c r="O196" s="14">
        <f>N196*VLOOKUP('Données projet'!$B$9,Paramètres!$A$1:$I$89,3,0)*VLOOKUP('Données projet'!$B$9,Paramètres!$A$1:$I$89,5,0)</f>
        <v>4.0684800000006363E-2</v>
      </c>
      <c r="P196" s="14">
        <f t="shared" si="141"/>
        <v>2.7217381697540451E-2</v>
      </c>
      <c r="Q196" s="22">
        <f t="shared" si="162"/>
        <v>0.11826296645656069</v>
      </c>
      <c r="R196" s="62">
        <f t="shared" si="191"/>
        <v>293.45159629978986</v>
      </c>
      <c r="S196" s="62">
        <f ca="1">AVERAGE(OFFSET($R$3,0,0,'Données projet'!$E$9+1,1))-AVERAGE(OFFSET($H$3,0,0,'Données projet'!$E$9+1,1))</f>
        <v>57.778110971082867</v>
      </c>
      <c r="T196" s="62">
        <f t="shared" si="142"/>
        <v>144.26475989880868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1.2743272158799583</v>
      </c>
      <c r="AA196" s="23">
        <f>EXP(-LN(2)/25)*AA195+(1-EXP(-LN(2)/25))/(LN(2)/25)*Calculateur!V196*Calculateur!X196*VLOOKUP('Données projet'!$B$9,Paramètres!$A$1:$I$89,3,0)*0.475*44/12</f>
        <v>4.5332489431225455E-2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1.3196597053111838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-5.1159076974727213E-13</v>
      </c>
      <c r="AJ196" s="14">
        <f>AI196*VLOOKUP('Données projet'!$B$10,Paramètres!$A$1:$I$89,3,0)*VLOOKUP('Données projet'!$B$10,Paramètres!$A$1:$I$89,5,0)</f>
        <v>-4.3096406443510209E-13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237.45928008030023</v>
      </c>
      <c r="AO196" s="62">
        <f t="shared" si="144"/>
        <v>126.78839015508379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2.7134774427395314E-13</v>
      </c>
      <c r="BF196" s="14">
        <f t="shared" si="167"/>
        <v>3.6292411711343559E-12</v>
      </c>
      <c r="BG196" s="22">
        <f t="shared" si="168"/>
        <v>6.7935256943361388E-12</v>
      </c>
      <c r="BH196" s="62">
        <f t="shared" ref="BH196:BH203" si="194">BG196+(AY196+AZ196)*44/12</f>
        <v>293.33333333334014</v>
      </c>
      <c r="BI196" s="62">
        <f ca="1">AVERAGE(OFFSET($BH$3,0,0,'Données projet'!$E$11+1,1))-AVERAGE(OFFSET($H$3,0,0,'Données projet'!$E$11+1,1))</f>
        <v>210.55867376929405</v>
      </c>
      <c r="BJ196" s="62">
        <f t="shared" si="146"/>
        <v>249.73837672556022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154.34639999999973</v>
      </c>
      <c r="D197" s="12">
        <f t="shared" ref="D197:D203" si="202">IFERROR(EXP(-1.0587+0.8836*LN(C197)+0.284),0)</f>
        <v>39.564672588712519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1496.8574024391826</v>
      </c>
      <c r="H197" s="70">
        <f t="shared" si="192"/>
        <v>631.06178475867387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8.0000000000012506E-2</v>
      </c>
      <c r="O197" s="14">
        <f>N197*VLOOKUP('Données projet'!$B$9,Paramètres!$A$1:$I$89,3,0)*VLOOKUP('Données projet'!$B$9,Paramètres!$A$1:$I$89,5,0)</f>
        <v>4.0684800000006363E-2</v>
      </c>
      <c r="P197" s="14">
        <f t="shared" ref="P197:P203" si="203">EXP(-1.0587+0.8836*LN(O197)+0.284)</f>
        <v>2.7217381697540451E-2</v>
      </c>
      <c r="Q197" s="22">
        <f t="shared" si="162"/>
        <v>0.11826296645656069</v>
      </c>
      <c r="R197" s="62">
        <f t="shared" si="191"/>
        <v>293.45159629978986</v>
      </c>
      <c r="S197" s="62">
        <f ca="1">AVERAGE(OFFSET($R$3,0,0,'Données projet'!$E$9+1,1))-AVERAGE(OFFSET($H$3,0,0,'Données projet'!$E$9+1,1))</f>
        <v>57.778110971082867</v>
      </c>
      <c r="T197" s="62">
        <f t="shared" ref="T197:T203" si="204">$T$3</f>
        <v>144.26475989880868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1.2493384364394058</v>
      </c>
      <c r="AA197" s="23">
        <f>EXP(-LN(2)/25)*AA196+(1-EXP(-LN(2)/25))/(LN(2)/25)*Calculateur!V197*Calculateur!X197*VLOOKUP('Données projet'!$B$9,Paramètres!$A$1:$I$89,3,0)*0.475*44/12</f>
        <v>4.4092870123796583E-2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1.2934313065632024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-5.1159076974727213E-13</v>
      </c>
      <c r="AJ197" s="14">
        <f>AI197*VLOOKUP('Données projet'!$B$10,Paramètres!$A$1:$I$89,3,0)*VLOOKUP('Données projet'!$B$10,Paramètres!$A$1:$I$89,5,0)</f>
        <v>-4.3096406443510209E-13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237.45928008030023</v>
      </c>
      <c r="AO197" s="62">
        <f t="shared" ref="AO197:AO203" si="205">$AO$3</f>
        <v>126.78839015508379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2.7134774427395314E-13</v>
      </c>
      <c r="BF197" s="14">
        <f t="shared" si="167"/>
        <v>3.6292411711343559E-12</v>
      </c>
      <c r="BG197" s="22">
        <f t="shared" si="168"/>
        <v>6.7935256943361388E-12</v>
      </c>
      <c r="BH197" s="62">
        <f t="shared" si="194"/>
        <v>293.33333333334014</v>
      </c>
      <c r="BI197" s="62">
        <f ca="1">AVERAGE(OFFSET($BH$3,0,0,'Données projet'!$E$11+1,1))-AVERAGE(OFFSET($H$3,0,0,'Données projet'!$E$11+1,1))</f>
        <v>210.55867376929405</v>
      </c>
      <c r="BJ197" s="62">
        <f t="shared" ref="BJ197:BJ203" si="206">$BJ$3</f>
        <v>249.73837672556022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155.14199999999974</v>
      </c>
      <c r="D198" s="12">
        <f t="shared" si="202"/>
        <v>39.744821439017308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1504.3894988274999</v>
      </c>
      <c r="H198" s="70">
        <f t="shared" si="192"/>
        <v>632.76121400628801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8.0000000000012506E-2</v>
      </c>
      <c r="O198" s="14">
        <f>N198*VLOOKUP('Données projet'!$B$9,Paramètres!$A$1:$I$89,3,0)*VLOOKUP('Données projet'!$B$9,Paramètres!$A$1:$I$89,5,0)</f>
        <v>4.0684800000006363E-2</v>
      </c>
      <c r="P198" s="14">
        <f t="shared" si="203"/>
        <v>2.7217381697540451E-2</v>
      </c>
      <c r="Q198" s="22">
        <f t="shared" si="162"/>
        <v>0.11826296645656069</v>
      </c>
      <c r="R198" s="62">
        <f t="shared" si="191"/>
        <v>293.45159629978986</v>
      </c>
      <c r="S198" s="62">
        <f ca="1">AVERAGE(OFFSET($R$3,0,0,'Données projet'!$E$9+1,1))-AVERAGE(OFFSET($H$3,0,0,'Données projet'!$E$9+1,1))</f>
        <v>57.778110971082867</v>
      </c>
      <c r="T198" s="62">
        <f t="shared" si="204"/>
        <v>144.26475989880868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1.224839671722032</v>
      </c>
      <c r="AA198" s="23">
        <f>EXP(-LN(2)/25)*AA197+(1-EXP(-LN(2)/25))/(LN(2)/25)*Calculateur!V198*Calculateur!X198*VLOOKUP('Données projet'!$B$9,Paramètres!$A$1:$I$89,3,0)*0.475*44/12</f>
        <v>4.28871482715181E-2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1.2677268199935501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-5.1159076974727213E-13</v>
      </c>
      <c r="AJ198" s="14">
        <f>AI198*VLOOKUP('Données projet'!$B$10,Paramètres!$A$1:$I$89,3,0)*VLOOKUP('Données projet'!$B$10,Paramètres!$A$1:$I$89,5,0)</f>
        <v>-4.3096406443510209E-13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237.45928008030023</v>
      </c>
      <c r="AO198" s="62">
        <f t="shared" si="205"/>
        <v>126.78839015508379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2.7134774427395314E-13</v>
      </c>
      <c r="BF198" s="14">
        <f t="shared" si="167"/>
        <v>3.6292411711343559E-12</v>
      </c>
      <c r="BG198" s="22">
        <f t="shared" si="168"/>
        <v>6.7935256943361388E-12</v>
      </c>
      <c r="BH198" s="62">
        <f t="shared" si="194"/>
        <v>293.33333333334014</v>
      </c>
      <c r="BI198" s="62">
        <f ca="1">AVERAGE(OFFSET($BH$3,0,0,'Données projet'!$E$11+1,1))-AVERAGE(OFFSET($H$3,0,0,'Données projet'!$E$11+1,1))</f>
        <v>210.55867376929405</v>
      </c>
      <c r="BJ198" s="62">
        <f t="shared" si="206"/>
        <v>249.73837672556022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155.93759999999975</v>
      </c>
      <c r="D199" s="12">
        <f t="shared" si="202"/>
        <v>39.924862785906271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1511.9207653648884</v>
      </c>
      <c r="H199" s="70">
        <f t="shared" si="192"/>
        <v>634.46045601878632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8.0000000000012506E-2</v>
      </c>
      <c r="O199" s="14">
        <f>N199*VLOOKUP('Données projet'!$B$9,Paramètres!$A$1:$I$89,3,0)*VLOOKUP('Données projet'!$B$9,Paramètres!$A$1:$I$89,5,0)</f>
        <v>4.0684800000006363E-2</v>
      </c>
      <c r="P199" s="14">
        <f t="shared" si="203"/>
        <v>2.7217381697540451E-2</v>
      </c>
      <c r="Q199" s="22">
        <f t="shared" si="162"/>
        <v>0.11826296645656069</v>
      </c>
      <c r="R199" s="62">
        <f t="shared" si="191"/>
        <v>293.45159629978986</v>
      </c>
      <c r="S199" s="62">
        <f ca="1">AVERAGE(OFFSET($R$3,0,0,'Données projet'!$E$9+1,1))-AVERAGE(OFFSET($H$3,0,0,'Données projet'!$E$9+1,1))</f>
        <v>57.778110971082867</v>
      </c>
      <c r="T199" s="62">
        <f t="shared" si="204"/>
        <v>144.26475989880868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1.2008213128379948</v>
      </c>
      <c r="AA199" s="23">
        <f>EXP(-LN(2)/25)*AA198+(1-EXP(-LN(2)/25))/(LN(2)/25)*Calculateur!V199*Calculateur!X199*VLOOKUP('Données projet'!$B$9,Paramètres!$A$1:$I$89,3,0)*0.475*44/12</f>
        <v>4.1714396946696326E-2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1.2425357097846912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-5.1159076974727213E-13</v>
      </c>
      <c r="AJ199" s="14">
        <f>AI199*VLOOKUP('Données projet'!$B$10,Paramètres!$A$1:$I$89,3,0)*VLOOKUP('Données projet'!$B$10,Paramètres!$A$1:$I$89,5,0)</f>
        <v>-4.3096406443510209E-13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237.45928008030023</v>
      </c>
      <c r="AO199" s="62">
        <f t="shared" si="205"/>
        <v>126.78839015508379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2.7134774427395314E-13</v>
      </c>
      <c r="BF199" s="14">
        <f t="shared" si="167"/>
        <v>3.6292411711343559E-12</v>
      </c>
      <c r="BG199" s="22">
        <f t="shared" si="168"/>
        <v>6.7935256943361388E-12</v>
      </c>
      <c r="BH199" s="62">
        <f t="shared" si="194"/>
        <v>293.33333333334014</v>
      </c>
      <c r="BI199" s="62">
        <f ca="1">AVERAGE(OFFSET($BH$3,0,0,'Données projet'!$E$11+1,1))-AVERAGE(OFFSET($H$3,0,0,'Données projet'!$E$11+1,1))</f>
        <v>210.55867376929405</v>
      </c>
      <c r="BJ199" s="62">
        <f t="shared" si="206"/>
        <v>249.73837672556022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156.73319999999975</v>
      </c>
      <c r="D200" s="12">
        <f t="shared" si="202"/>
        <v>40.10479724153361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1519.4512067767489</v>
      </c>
      <c r="H200" s="70">
        <f t="shared" si="192"/>
        <v>636.15951186233724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8.0000000000012506E-2</v>
      </c>
      <c r="O200" s="14">
        <f>N200*VLOOKUP('Données projet'!$B$9,Paramètres!$A$1:$I$89,3,0)*VLOOKUP('Données projet'!$B$9,Paramètres!$A$1:$I$89,5,0)</f>
        <v>4.0684800000006363E-2</v>
      </c>
      <c r="P200" s="14">
        <f t="shared" si="203"/>
        <v>2.7217381697540451E-2</v>
      </c>
      <c r="Q200" s="22">
        <f t="shared" si="162"/>
        <v>0.11826296645656069</v>
      </c>
      <c r="R200" s="62">
        <f t="shared" si="191"/>
        <v>293.45159629978986</v>
      </c>
      <c r="S200" s="62">
        <f ca="1">AVERAGE(OFFSET($R$3,0,0,'Données projet'!$E$9+1,1))-AVERAGE(OFFSET($H$3,0,0,'Données projet'!$E$9+1,1))</f>
        <v>57.778110971082867</v>
      </c>
      <c r="T200" s="62">
        <f t="shared" si="204"/>
        <v>144.26475989880868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1.1772739393219211</v>
      </c>
      <c r="AA200" s="23">
        <f>EXP(-LN(2)/25)*AA199+(1-EXP(-LN(2)/25))/(LN(2)/25)*Calculateur!V200*Calculateur!X200*VLOOKUP('Données projet'!$B$9,Paramètres!$A$1:$I$89,3,0)*0.475*44/12</f>
        <v>4.057371456852412E-2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1.2178476538904452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-5.1159076974727213E-13</v>
      </c>
      <c r="AJ200" s="14">
        <f>AI200*VLOOKUP('Données projet'!$B$10,Paramètres!$A$1:$I$89,3,0)*VLOOKUP('Données projet'!$B$10,Paramètres!$A$1:$I$89,5,0)</f>
        <v>-4.3096406443510209E-13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237.45928008030023</v>
      </c>
      <c r="AO200" s="62">
        <f t="shared" si="205"/>
        <v>126.78839015508379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2.7134774427395314E-13</v>
      </c>
      <c r="BF200" s="14">
        <f t="shared" si="167"/>
        <v>3.6292411711343559E-12</v>
      </c>
      <c r="BG200" s="22">
        <f t="shared" si="168"/>
        <v>6.7935256943361388E-12</v>
      </c>
      <c r="BH200" s="62">
        <f t="shared" si="194"/>
        <v>293.33333333334014</v>
      </c>
      <c r="BI200" s="62">
        <f ca="1">AVERAGE(OFFSET($BH$3,0,0,'Données projet'!$E$11+1,1))-AVERAGE(OFFSET($H$3,0,0,'Données projet'!$E$11+1,1))</f>
        <v>210.55867376929405</v>
      </c>
      <c r="BJ200" s="62">
        <f t="shared" si="206"/>
        <v>249.73837672556022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157.52879999999976</v>
      </c>
      <c r="D201" s="12">
        <f t="shared" si="202"/>
        <v>40.284625411478942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1526.9808277377306</v>
      </c>
      <c r="H201" s="70">
        <f t="shared" si="192"/>
        <v>637.85838259165871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8.0000000000012506E-2</v>
      </c>
      <c r="O201" s="14">
        <f>N201*VLOOKUP('Données projet'!$B$9,Paramètres!$A$1:$I$89,3,0)*VLOOKUP('Données projet'!$B$9,Paramètres!$A$1:$I$89,5,0)</f>
        <v>4.0684800000006363E-2</v>
      </c>
      <c r="P201" s="14">
        <f t="shared" si="203"/>
        <v>2.7217381697540451E-2</v>
      </c>
      <c r="Q201" s="22">
        <f t="shared" si="162"/>
        <v>0.11826296645656069</v>
      </c>
      <c r="R201" s="62">
        <f t="shared" si="191"/>
        <v>293.45159629978986</v>
      </c>
      <c r="S201" s="62">
        <f ca="1">AVERAGE(OFFSET($R$3,0,0,'Données projet'!$E$9+1,1))-AVERAGE(OFFSET($H$3,0,0,'Données projet'!$E$9+1,1))</f>
        <v>57.778110971082867</v>
      </c>
      <c r="T201" s="62">
        <f t="shared" si="204"/>
        <v>144.26475989880868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1.1541883154380181</v>
      </c>
      <c r="AA201" s="23">
        <f>EXP(-LN(2)/25)*AA200+(1-EXP(-LN(2)/25))/(LN(2)/25)*Calculateur!V201*Calculateur!X201*VLOOKUP('Données projet'!$B$9,Paramètres!$A$1:$I$89,3,0)*0.475*44/12</f>
        <v>3.9464224209968909E-2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1.1936525396479871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-5.1159076974727213E-13</v>
      </c>
      <c r="AJ201" s="14">
        <f>AI201*VLOOKUP('Données projet'!$B$10,Paramètres!$A$1:$I$89,3,0)*VLOOKUP('Données projet'!$B$10,Paramètres!$A$1:$I$89,5,0)</f>
        <v>-4.3096406443510209E-13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237.45928008030023</v>
      </c>
      <c r="AO201" s="62">
        <f t="shared" si="205"/>
        <v>126.78839015508379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2.7134774427395314E-13</v>
      </c>
      <c r="BF201" s="14">
        <f t="shared" si="167"/>
        <v>3.6292411711343559E-12</v>
      </c>
      <c r="BG201" s="22">
        <f t="shared" si="168"/>
        <v>6.7935256943361388E-12</v>
      </c>
      <c r="BH201" s="62">
        <f t="shared" si="194"/>
        <v>293.33333333334014</v>
      </c>
      <c r="BI201" s="62">
        <f ca="1">AVERAGE(OFFSET($BH$3,0,0,'Données projet'!$E$11+1,1))-AVERAGE(OFFSET($H$3,0,0,'Données projet'!$E$11+1,1))</f>
        <v>210.55867376929405</v>
      </c>
      <c r="BJ201" s="62">
        <f t="shared" si="206"/>
        <v>249.73837672556022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158.32439999999977</v>
      </c>
      <c r="D202" s="12">
        <f t="shared" si="202"/>
        <v>40.464347894850746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1534.5096328725303</v>
      </c>
      <c r="H202" s="70">
        <f t="shared" si="192"/>
        <v>639.55706925019797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8.0000000000012506E-2</v>
      </c>
      <c r="O202" s="14">
        <f>N202*VLOOKUP('Données projet'!$B$9,Paramètres!$A$1:$I$89,3,0)*VLOOKUP('Données projet'!$B$9,Paramètres!$A$1:$I$89,5,0)</f>
        <v>4.0684800000006363E-2</v>
      </c>
      <c r="P202" s="14">
        <f t="shared" si="203"/>
        <v>2.7217381697540451E-2</v>
      </c>
      <c r="Q202" s="22">
        <f t="shared" si="162"/>
        <v>0.11826296645656069</v>
      </c>
      <c r="R202" s="62">
        <f t="shared" si="191"/>
        <v>293.45159629978986</v>
      </c>
      <c r="S202" s="62">
        <f ca="1">AVERAGE(OFFSET($R$3,0,0,'Données projet'!$E$9+1,1))-AVERAGE(OFFSET($H$3,0,0,'Données projet'!$E$9+1,1))</f>
        <v>57.778110971082867</v>
      </c>
      <c r="T202" s="62">
        <f t="shared" si="204"/>
        <v>144.26475989880868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1.1315553865576382</v>
      </c>
      <c r="AA202" s="23">
        <f>EXP(-LN(2)/25)*AA201+(1-EXP(-LN(2)/25))/(LN(2)/25)*Calculateur!V202*Calculateur!X202*VLOOKUP('Données projet'!$B$9,Paramètres!$A$1:$I$89,3,0)*0.475*44/12</f>
        <v>3.8385072923613955E-2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1.1699404594812521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-5.1159076974727213E-13</v>
      </c>
      <c r="AJ202" s="14">
        <f>AI202*VLOOKUP('Données projet'!$B$10,Paramètres!$A$1:$I$89,3,0)*VLOOKUP('Données projet'!$B$10,Paramètres!$A$1:$I$89,5,0)</f>
        <v>-4.3096406443510209E-13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237.45928008030023</v>
      </c>
      <c r="AO202" s="62">
        <f t="shared" si="205"/>
        <v>126.78839015508379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2.7134774427395314E-13</v>
      </c>
      <c r="BF202" s="14">
        <f t="shared" si="167"/>
        <v>3.6292411711343559E-12</v>
      </c>
      <c r="BG202" s="22">
        <f t="shared" si="168"/>
        <v>6.7935256943361388E-12</v>
      </c>
      <c r="BH202" s="62">
        <f t="shared" si="194"/>
        <v>293.33333333334014</v>
      </c>
      <c r="BI202" s="62">
        <f ca="1">AVERAGE(OFFSET($BH$3,0,0,'Données projet'!$E$11+1,1))-AVERAGE(OFFSET($H$3,0,0,'Données projet'!$E$11+1,1))</f>
        <v>210.55867376929405</v>
      </c>
      <c r="BJ202" s="62">
        <f t="shared" si="206"/>
        <v>249.73837672556022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159.11999999999978</v>
      </c>
      <c r="D203" s="12">
        <f t="shared" si="202"/>
        <v>40.643965284387626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1542.0376267566751</v>
      </c>
      <c r="H203" s="70">
        <f t="shared" si="192"/>
        <v>641.25557287030801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8.0000000000012506E-2</v>
      </c>
      <c r="O203" s="14">
        <f>N203*VLOOKUP('Données projet'!$B$9,Paramètres!$A$1:$I$89,3,0)*VLOOKUP('Données projet'!$B$9,Paramètres!$A$1:$I$89,5,0)</f>
        <v>4.0684800000006363E-2</v>
      </c>
      <c r="P203" s="14">
        <f t="shared" si="203"/>
        <v>2.7217381697540451E-2</v>
      </c>
      <c r="Q203" s="22">
        <f t="shared" si="162"/>
        <v>0.11826296645656069</v>
      </c>
      <c r="R203" s="62">
        <f t="shared" si="191"/>
        <v>293.45159629978986</v>
      </c>
      <c r="S203" s="62">
        <f ca="1">AVERAGE(OFFSET($R$3,0,0,'Données projet'!$E$9+1,1))-AVERAGE(OFFSET($H$3,0,0,'Données projet'!$E$9+1,1))</f>
        <v>57.778110971082867</v>
      </c>
      <c r="T203" s="62">
        <f t="shared" si="204"/>
        <v>144.26475989880868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1.109366275607879</v>
      </c>
      <c r="AA203" s="23">
        <f>EXP(-LN(2)/25)*AA202+(1-EXP(-LN(2)/25))/(LN(2)/25)*Calculateur!V203*Calculateur!X203*VLOOKUP('Données projet'!$B$9,Paramètres!$A$1:$I$89,3,0)*0.475*44/12</f>
        <v>3.7335431085934477E-2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1.1467017066938134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-5.1159076974727213E-13</v>
      </c>
      <c r="AJ203" s="14">
        <f>AI203*VLOOKUP('Données projet'!$B$10,Paramètres!$A$1:$I$89,3,0)*VLOOKUP('Données projet'!$B$10,Paramètres!$A$1:$I$89,5,0)</f>
        <v>-4.3096406443510209E-13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237.45928008030023</v>
      </c>
      <c r="AO203" s="62">
        <f t="shared" si="205"/>
        <v>126.78839015508379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2.7134774427395314E-13</v>
      </c>
      <c r="BF203" s="14">
        <f t="shared" si="167"/>
        <v>3.6292411711343559E-12</v>
      </c>
      <c r="BG203" s="22">
        <f t="shared" si="168"/>
        <v>6.7935256943361388E-12</v>
      </c>
      <c r="BH203" s="62">
        <f t="shared" si="194"/>
        <v>293.33333333334014</v>
      </c>
      <c r="BI203" s="62">
        <f ca="1">AVERAGE(OFFSET($BH$3,0,0,'Données projet'!$E$11+1,1))-AVERAGE(OFFSET($H$3,0,0,'Données projet'!$E$11+1,1))</f>
        <v>210.55867376929405</v>
      </c>
      <c r="BJ203" s="62">
        <f t="shared" si="206"/>
        <v>249.73837672556022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1.1261727847346514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1.2730870686066207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93" zoomScaleNormal="93" workbookViewId="0">
      <selection activeCell="R30" sqref="R3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3" t="s">
        <v>315</v>
      </c>
      <c r="I4" s="323"/>
      <c r="K4" s="320" t="s">
        <v>253</v>
      </c>
      <c r="L4" s="321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1" t="s">
        <v>310</v>
      </c>
      <c r="S7" s="332"/>
      <c r="T7" s="332"/>
      <c r="U7" s="332"/>
      <c r="V7" s="33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2985.7656321775025</v>
      </c>
      <c r="U10" s="190">
        <f>'Données projet'!D9</f>
        <v>1.93052</v>
      </c>
      <c r="V10" s="189">
        <f>U10*T10</f>
        <v>5764.0802682313124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pédonculé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602.78096062220231</v>
      </c>
      <c r="U11" s="190">
        <f>'Données projet'!D10</f>
        <v>0.68135999999999997</v>
      </c>
      <c r="V11" s="189">
        <f t="shared" ref="V11" si="0">U11*T11</f>
        <v>410.71083532954373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Erable sycomore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0.22711999999999999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4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4"/>
      <c r="H16" s="203"/>
      <c r="I16" s="204"/>
      <c r="J16" s="216"/>
      <c r="K16" s="225"/>
      <c r="L16" s="320" t="s">
        <v>254</v>
      </c>
      <c r="M16" s="321"/>
      <c r="N16" s="2">
        <v>100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4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99.999999999999858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4"/>
      <c r="J18" s="216"/>
      <c r="K18" s="225"/>
      <c r="L18" s="294" t="s">
        <v>255</v>
      </c>
      <c r="M18" s="296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4"/>
      <c r="H19" s="232" t="s">
        <v>178</v>
      </c>
      <c r="I19" s="232" t="s">
        <v>287</v>
      </c>
      <c r="J19" s="260"/>
      <c r="K19" s="183"/>
      <c r="L19" s="320" t="s">
        <v>288</v>
      </c>
      <c r="M19" s="321"/>
      <c r="N19" s="191">
        <f>N17*N18</f>
        <v>3999.9999999999945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4"/>
      <c r="H20" s="203">
        <v>0</v>
      </c>
      <c r="I20" s="204">
        <v>6000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6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2" t="s">
        <v>260</v>
      </c>
      <c r="M23" s="322"/>
      <c r="N23" s="322"/>
      <c r="O23" s="25"/>
      <c r="P23" s="25"/>
      <c r="Q23" s="265"/>
      <c r="R23" s="25"/>
      <c r="S23" s="185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-10859.208896439144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7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139.18625161869343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8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8">
        <f ca="1">T23-T24</f>
        <v>-10998.395148057838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9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5" t="s">
        <v>258</v>
      </c>
      <c r="M26" s="326"/>
      <c r="N26" s="326"/>
      <c r="O26" s="326"/>
      <c r="P26" s="327"/>
      <c r="Q26" s="265"/>
      <c r="R26" s="25"/>
      <c r="S26" s="198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8"/>
      <c r="M27" s="329"/>
      <c r="N27" s="329"/>
      <c r="O27" s="329"/>
      <c r="P27" s="330"/>
      <c r="Q27" s="265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11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12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13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14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15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16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17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18</v>
      </c>
      <c r="B35" s="193">
        <f>'Données projet'!D48</f>
        <v>157</v>
      </c>
      <c r="C35" s="206">
        <v>42</v>
      </c>
      <c r="D35" s="194">
        <f t="shared" si="2"/>
        <v>6594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pédonculé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8</v>
      </c>
      <c r="C55" s="204">
        <v>10</v>
      </c>
      <c r="D55" s="191">
        <f t="shared" ref="D55:D73" si="4">B55*C55</f>
        <v>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42</v>
      </c>
      <c r="C57" s="204">
        <v>10</v>
      </c>
      <c r="D57" s="191">
        <f t="shared" si="4"/>
        <v>420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42</v>
      </c>
      <c r="C59" s="204">
        <v>15</v>
      </c>
      <c r="D59" s="191">
        <f t="shared" si="4"/>
        <v>630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42</v>
      </c>
      <c r="C61" s="204">
        <v>20</v>
      </c>
      <c r="D61" s="191">
        <f t="shared" si="4"/>
        <v>840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42</v>
      </c>
      <c r="C63" s="204">
        <v>30</v>
      </c>
      <c r="D63" s="191">
        <f t="shared" si="4"/>
        <v>1260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42</v>
      </c>
      <c r="C65" s="204">
        <v>40</v>
      </c>
      <c r="D65" s="191">
        <f t="shared" si="4"/>
        <v>1680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85</v>
      </c>
      <c r="B66" s="193">
        <f>'Données projet'!D74</f>
        <v>42</v>
      </c>
      <c r="C66" s="204">
        <v>50</v>
      </c>
      <c r="D66" s="191">
        <f t="shared" si="4"/>
        <v>2100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95</v>
      </c>
      <c r="B67" s="193">
        <f>'Données projet'!D75</f>
        <v>42</v>
      </c>
      <c r="C67" s="204">
        <v>60</v>
      </c>
      <c r="D67" s="191">
        <f t="shared" si="4"/>
        <v>2520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105</v>
      </c>
      <c r="B68" s="193">
        <f>'Données projet'!D76</f>
        <v>41</v>
      </c>
      <c r="C68" s="204">
        <v>70</v>
      </c>
      <c r="D68" s="191">
        <f t="shared" si="4"/>
        <v>2870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115</v>
      </c>
      <c r="B69" s="193">
        <f>'Données projet'!D77</f>
        <v>37</v>
      </c>
      <c r="C69" s="204">
        <v>80</v>
      </c>
      <c r="D69" s="191">
        <f t="shared" si="4"/>
        <v>2960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125</v>
      </c>
      <c r="B70" s="193">
        <f>'Données projet'!D78</f>
        <v>33</v>
      </c>
      <c r="C70" s="204">
        <v>90</v>
      </c>
      <c r="D70" s="191">
        <f t="shared" si="4"/>
        <v>2970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135</v>
      </c>
      <c r="B71" s="193">
        <f>'Données projet'!D79</f>
        <v>29</v>
      </c>
      <c r="C71" s="204">
        <v>100</v>
      </c>
      <c r="D71" s="191">
        <f t="shared" si="4"/>
        <v>2900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145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150</v>
      </c>
      <c r="B73" s="193">
        <f>'Données projet'!D81</f>
        <v>306</v>
      </c>
      <c r="C73" s="204">
        <v>150</v>
      </c>
      <c r="D73" s="191">
        <f t="shared" si="4"/>
        <v>45900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Erable sycomore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20</v>
      </c>
      <c r="B86" s="193">
        <f>'Données projet'!D89</f>
        <v>43.1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25</v>
      </c>
      <c r="B87" s="193">
        <f>'Données projet'!D90</f>
        <v>0</v>
      </c>
      <c r="C87" s="204">
        <v>10</v>
      </c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30</v>
      </c>
      <c r="B88" s="193">
        <f>'Données projet'!D91</f>
        <v>56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35</v>
      </c>
      <c r="B89" s="193">
        <f>'Données projet'!D92</f>
        <v>0</v>
      </c>
      <c r="C89" s="204">
        <v>20</v>
      </c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40</v>
      </c>
      <c r="B90" s="193">
        <f>'Données projet'!D93</f>
        <v>56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45</v>
      </c>
      <c r="B91" s="193">
        <f>'Données projet'!D94</f>
        <v>0</v>
      </c>
      <c r="C91" s="204">
        <v>30</v>
      </c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50</v>
      </c>
      <c r="B92" s="193">
        <f>'Données projet'!D95</f>
        <v>38.299999999999997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55</v>
      </c>
      <c r="B93" s="193">
        <f>'Données projet'!D96</f>
        <v>0</v>
      </c>
      <c r="C93" s="204">
        <v>40</v>
      </c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60</v>
      </c>
      <c r="B94" s="193">
        <f>'Données projet'!D97</f>
        <v>25.200000000000003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65</v>
      </c>
      <c r="B95" s="193">
        <f>'Données projet'!D98</f>
        <v>0</v>
      </c>
      <c r="C95" s="204">
        <v>40</v>
      </c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70</v>
      </c>
      <c r="B96" s="193">
        <f>'Données projet'!D99</f>
        <v>20.9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75</v>
      </c>
      <c r="B97" s="193">
        <f>'Données projet'!D100</f>
        <v>0</v>
      </c>
      <c r="C97" s="204">
        <v>60</v>
      </c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80</v>
      </c>
      <c r="B98" s="193">
        <f>'Données projet'!D101</f>
        <v>284.60000000000002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>
        <v>80</v>
      </c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/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/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/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4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4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4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4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4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4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4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4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4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4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4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4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4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4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4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4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4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4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4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4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4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4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4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4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4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4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4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4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4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4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4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4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4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4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4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4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4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4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4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4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4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4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4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4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4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4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4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4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4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4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4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4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4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4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130" zoomScaleNormal="130" workbookViewId="0">
      <selection activeCell="M70" sqref="M7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Koster</v>
      </c>
      <c r="B6" s="155">
        <f>'Données projet'!D9</f>
        <v>1.93052</v>
      </c>
      <c r="C6" s="156">
        <f ca="1">IF(OR('Données projet'!B9="",'Données projet'!C9="",'Données projet'!C9=0%),0,Calculateur!S3)</f>
        <v>57.778110971082867</v>
      </c>
      <c r="D6" s="156">
        <f>IF(OR('Données projet'!B9="",'Données projet'!C9="",'Données projet'!C9=0%),0,Calculateur!T3)</f>
        <v>144.26475989880868</v>
      </c>
      <c r="E6" s="156">
        <f ca="1">MIN(C6,D6)</f>
        <v>57.778110971082867</v>
      </c>
      <c r="F6" s="156">
        <f ca="1">E6*B6</f>
        <v>111.54179879189489</v>
      </c>
      <c r="G6" s="156">
        <f ca="1">F6*(100%-'Données projet'!$C$24)*(100%-'Données projet'!$C$25)*(100%-'Données projet'!$C$26)*(100%-'Données projet'!$C$27)</f>
        <v>100.38761891270541</v>
      </c>
      <c r="H6" s="157">
        <f>IF(OR('Données projet'!B9="",'Données projet'!C9="",'Données projet'!C9=0%),0,AVERAGE(Calculateur!$AC$3:$AC$33)*B6)</f>
        <v>33.394101893088909</v>
      </c>
      <c r="I6" s="158">
        <f>H6*(100%-'Données projet'!$C$24)*(100%-'Données projet'!$C$25)*(100%-'Données projet'!$C$26)*(100%-'Données projet'!$C$27)</f>
        <v>30.054691703780019</v>
      </c>
      <c r="J6" s="159">
        <f>IF(OR('Données projet'!B9="",'Données projet'!C9="",'Données projet'!C9=0%),0,SUM(Calculateur!$V$3:$V$33)*VLOOKUP('Données projet'!$B$9,Paramètres!$A$1:$I$89,9,0)*B6)</f>
        <v>312.1843892</v>
      </c>
      <c r="K6" s="160">
        <f>J6*(100%-'Données projet'!$C$24)*(100%-'Données projet'!$C$25)*(100%-'Données projet'!$C$26)*(100%-'Données projet'!$C$27)</f>
        <v>280.96595028000002</v>
      </c>
      <c r="L6" s="161">
        <f ca="1">G6+I6+K6</f>
        <v>411.40826089648544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pédonculé</v>
      </c>
      <c r="B7" s="163">
        <f>'Données projet'!D10</f>
        <v>0.68135999999999997</v>
      </c>
      <c r="C7" s="156">
        <f ca="1">IF(OR('Données projet'!B10="",'Données projet'!C10="",'Données projet'!C10=0%),0,Calculateur!AN3)</f>
        <v>237.45928008030023</v>
      </c>
      <c r="D7" s="156">
        <f>IF(OR('Données projet'!B10="",'Données projet'!C10="",'Données projet'!C10=0%),0,Calculateur!AO3)</f>
        <v>126.78839015508379</v>
      </c>
      <c r="E7" s="156">
        <f t="shared" ref="E7:E15" ca="1" si="0">MIN(C7,D7)</f>
        <v>126.78839015508379</v>
      </c>
      <c r="F7" s="156">
        <f t="shared" ref="F7:F15" ca="1" si="1">E7*B7</f>
        <v>86.388537516067885</v>
      </c>
      <c r="G7" s="156">
        <f ca="1">F7*(100%-'Données projet'!$C$24)*(100%-'Données projet'!$C$25)*(100%-'Données projet'!$C$26)*(100%-'Données projet'!$C$27)</f>
        <v>77.749683764461096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1.3627199999999999</v>
      </c>
      <c r="K7" s="160">
        <f>J7*(100%-'Données projet'!$C$24)*(100%-'Données projet'!$C$25)*(100%-'Données projet'!$C$26)*(100%-'Données projet'!$C$27)</f>
        <v>1.226448</v>
      </c>
      <c r="L7" s="161">
        <f t="shared" ref="L7:L15" ca="1" si="2">G7+I7+K7</f>
        <v>78.976131764461101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Erable sycomore</v>
      </c>
      <c r="B8" s="163">
        <f>'Données projet'!D11</f>
        <v>0.22711999999999999</v>
      </c>
      <c r="C8" s="156">
        <f ca="1">IF(OR('Données projet'!B11="",'Données projet'!C11="",'Données projet'!C11=0%),0,Calculateur!BI3)</f>
        <v>210.55867376929405</v>
      </c>
      <c r="D8" s="156">
        <f>IF(OR('Données projet'!B11="",'Données projet'!C11="",'Données projet'!C11=0%),0,Calculateur!BJ3)</f>
        <v>249.73837672556022</v>
      </c>
      <c r="E8" s="156">
        <f t="shared" ca="1" si="0"/>
        <v>210.55867376929405</v>
      </c>
      <c r="F8" s="156">
        <f t="shared" ca="1" si="1"/>
        <v>47.822085986482058</v>
      </c>
      <c r="G8" s="156">
        <f ca="1">F8*(100%-'Données projet'!$C$24)*(100%-'Données projet'!$C$25)*(100%-'Données projet'!$C$26)*(100%-'Données projet'!$C$27)</f>
        <v>43.039877387833855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5.6268979999999997</v>
      </c>
      <c r="K8" s="160">
        <f>J8*(100%-'Données projet'!$C$24)*(100%-'Données projet'!$C$25)*(100%-'Données projet'!$C$26)*(100%-'Données projet'!$C$27)</f>
        <v>5.0642081999999995</v>
      </c>
      <c r="L8" s="161">
        <f t="shared" ca="1" si="2"/>
        <v>48.10408558783385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245.75242229444481</v>
      </c>
      <c r="G16" s="175">
        <f t="shared" ca="1" si="3"/>
        <v>221.17718006500036</v>
      </c>
      <c r="H16" s="176">
        <f t="shared" si="3"/>
        <v>33.394101893088909</v>
      </c>
      <c r="I16" s="176">
        <f t="shared" si="3"/>
        <v>30.054691703780019</v>
      </c>
      <c r="J16" s="177">
        <f t="shared" si="3"/>
        <v>319.17400720000001</v>
      </c>
      <c r="K16" s="177">
        <f t="shared" si="3"/>
        <v>287.25660648000002</v>
      </c>
      <c r="L16" s="178">
        <f t="shared" ca="1" si="3"/>
        <v>538.48847824878044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39" t="s">
        <v>246</v>
      </c>
      <c r="G17" s="340"/>
      <c r="H17" s="340"/>
      <c r="I17" s="340"/>
      <c r="J17" s="340"/>
      <c r="K17" s="340"/>
      <c r="L17" s="34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41"/>
      <c r="G18" s="341"/>
      <c r="H18" s="341"/>
      <c r="I18" s="341"/>
      <c r="J18" s="341"/>
      <c r="K18" s="341"/>
      <c r="L18" s="34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pédonculé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Erable sycomore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VAN</vt:lpstr>
      <vt:lpstr>REE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alex.pousse</cp:lastModifiedBy>
  <dcterms:created xsi:type="dcterms:W3CDTF">2021-02-01T08:22:39Z</dcterms:created>
  <dcterms:modified xsi:type="dcterms:W3CDTF">2025-01-21T15:53:06Z</dcterms:modified>
</cp:coreProperties>
</file>