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erge_tuby/1.Dossier_en_cours/"/>
    </mc:Choice>
  </mc:AlternateContent>
  <xr:revisionPtr revIDLastSave="129" documentId="8_{7AB3BACC-9F93-4CA5-A460-6DFFA338CC32}" xr6:coauthVersionLast="47" xr6:coauthVersionMax="47" xr10:uidLastSave="{EDA76DC2-B752-4892-8021-25EEE85742DF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6" l="1"/>
  <c r="E110" i="6"/>
  <c r="E172" i="6"/>
  <c r="E141" i="6"/>
  <c r="E17" i="6"/>
  <c r="E48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R4" i="2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H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X155" i="2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B156" i="2"/>
  <c r="DH156" i="2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X157" i="2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EX161" i="2"/>
  <c r="AB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X164" i="2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DG167" i="2"/>
  <c r="EA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HI168" i="2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HI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A183" i="2"/>
  <c r="ED182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B185" i="2"/>
  <c r="EW185" i="2"/>
  <c r="HH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HH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I192" i="2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FQ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FS197" i="2"/>
  <c r="AA197" i="2"/>
  <c r="EC197" i="2"/>
  <c r="HH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A201" i="2" l="1"/>
  <c r="DI200" i="2"/>
  <c r="FS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D201" i="2" l="1"/>
  <c r="FZ6" i="2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41" i="2" a="1"/>
  <c r="DN41" i="2" s="1"/>
  <c r="DN152" i="2" a="1"/>
  <c r="DN152" i="2" s="1"/>
  <c r="DN184" i="2" a="1"/>
  <c r="DN184" i="2" s="1"/>
  <c r="DN25" i="2" a="1"/>
  <c r="DN25" i="2" s="1"/>
  <c r="DN113" i="2" a="1"/>
  <c r="DN113" i="2" s="1"/>
  <c r="DN129" i="2" a="1"/>
  <c r="DN129" i="2" s="1"/>
  <c r="DN177" i="2" a="1"/>
  <c r="DN177" i="2" s="1"/>
  <c r="DN188" i="2" a="1"/>
  <c r="DN188" i="2" s="1"/>
  <c r="DN192" i="2" a="1"/>
  <c r="DN192" i="2" s="1"/>
  <c r="EI195" i="2" a="1"/>
  <c r="EI195" i="2" s="1"/>
  <c r="DN123" i="2" a="1"/>
  <c r="DN123" i="2" s="1"/>
  <c r="DN103" i="2" a="1"/>
  <c r="DN103" i="2" s="1"/>
  <c r="DN114" i="2" a="1"/>
  <c r="DN114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38" i="2" l="1" a="1"/>
  <c r="CS38" i="2" s="1"/>
  <c r="DN170" i="2" a="1"/>
  <c r="DN170" i="2" s="1"/>
  <c r="DN150" i="2" a="1"/>
  <c r="DN150" i="2" s="1"/>
  <c r="DN29" i="2" a="1"/>
  <c r="DN29" i="2" s="1"/>
  <c r="DN66" i="2" a="1"/>
  <c r="DN66" i="2" s="1"/>
  <c r="DN43" i="2" a="1"/>
  <c r="DN43" i="2" s="1"/>
  <c r="DN86" i="2" a="1"/>
  <c r="DN86" i="2" s="1"/>
  <c r="DN115" i="2" a="1"/>
  <c r="DN115" i="2" s="1"/>
  <c r="DN186" i="2" a="1"/>
  <c r="DN186" i="2" s="1"/>
  <c r="DN153" i="2" a="1"/>
  <c r="DN153" i="2" s="1"/>
  <c r="DN137" i="2" a="1"/>
  <c r="DN137" i="2" s="1"/>
  <c r="DN124" i="2" a="1"/>
  <c r="DN124" i="2" s="1"/>
  <c r="DN50" i="2" a="1"/>
  <c r="DN50" i="2" s="1"/>
  <c r="CS77" i="2" a="1"/>
  <c r="CS77" i="2" s="1"/>
  <c r="AH90" i="2" a="1"/>
  <c r="AH90" i="2" s="1"/>
  <c r="AH151" i="2" a="1"/>
  <c r="AH151" i="2" s="1"/>
  <c r="FY126" i="2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32" i="2" l="1"/>
  <c r="CD40" i="2"/>
  <c r="CD50" i="2"/>
  <c r="CD98" i="2"/>
  <c r="CD60" i="2"/>
  <c r="CD78" i="2"/>
  <c r="CD142" i="2"/>
  <c r="CD171" i="2"/>
  <c r="CD20" i="2"/>
  <c r="CD67" i="2"/>
  <c r="CD54" i="2"/>
  <c r="CD131" i="2"/>
  <c r="CD138" i="2"/>
  <c r="CD182" i="2"/>
  <c r="CD113" i="2"/>
  <c r="CD136" i="2"/>
  <c r="CD42" i="2"/>
  <c r="CD102" i="2"/>
  <c r="CD181" i="2"/>
  <c r="CD127" i="2"/>
  <c r="CD9" i="2"/>
  <c r="CD7" i="2"/>
  <c r="CD117" i="2"/>
  <c r="CD192" i="2"/>
  <c r="CD27" i="2"/>
  <c r="CD152" i="2"/>
  <c r="CD151" i="2"/>
  <c r="CD149" i="2"/>
  <c r="CD25" i="2"/>
  <c r="CD87" i="2"/>
  <c r="CD11" i="2"/>
  <c r="CD68" i="2"/>
  <c r="CD112" i="2"/>
  <c r="CD81" i="2"/>
  <c r="CD119" i="2"/>
  <c r="CD45" i="2"/>
  <c r="CD134" i="2"/>
  <c r="CD116" i="2"/>
  <c r="CD118" i="2"/>
  <c r="CD193" i="2"/>
  <c r="CD135" i="2"/>
  <c r="CD111" i="2"/>
  <c r="CD148" i="2"/>
  <c r="CD84" i="2"/>
  <c r="CD63" i="2"/>
  <c r="CD128" i="2"/>
  <c r="CD79" i="2"/>
  <c r="CD177" i="2"/>
  <c r="CD198" i="2"/>
  <c r="CD168" i="2"/>
  <c r="CD13" i="2"/>
  <c r="CD58" i="2"/>
  <c r="CD39" i="2"/>
  <c r="CD105" i="2"/>
  <c r="CD19" i="2"/>
  <c r="CD46" i="2"/>
  <c r="CD76" i="2"/>
  <c r="CD189" i="2"/>
  <c r="CD75" i="2"/>
  <c r="CD200" i="2"/>
  <c r="CD137" i="2"/>
  <c r="CD187" i="2"/>
  <c r="CD31" i="2"/>
  <c r="CD93" i="2"/>
  <c r="CD101" i="2"/>
  <c r="CD176" i="2"/>
  <c r="CD157" i="2"/>
  <c r="CD85" i="2"/>
  <c r="CD178" i="2"/>
  <c r="CD173" i="2"/>
  <c r="CD203" i="2"/>
  <c r="CD96" i="2"/>
  <c r="CD103" i="2"/>
  <c r="CD94" i="2"/>
  <c r="CD65" i="2"/>
  <c r="CD146" i="2"/>
  <c r="CD141" i="2"/>
  <c r="CD72" i="2"/>
  <c r="CD158" i="2"/>
  <c r="CD153" i="2"/>
  <c r="CD199" i="2"/>
  <c r="CD100" i="2"/>
  <c r="CD190" i="2"/>
  <c r="CD167" i="2"/>
  <c r="CD108" i="2"/>
  <c r="CD21" i="2"/>
  <c r="CD129" i="2"/>
  <c r="CD52" i="2"/>
  <c r="CD80" i="2"/>
  <c r="CD115" i="2"/>
  <c r="CD201" i="2"/>
  <c r="CD3" i="2"/>
  <c r="C9" i="4" s="1"/>
  <c r="E9" i="4" s="1"/>
  <c r="F9" i="4" s="1"/>
  <c r="G9" i="4" s="1"/>
  <c r="L9" i="4" s="1"/>
  <c r="CD53" i="2"/>
  <c r="CD159" i="2"/>
  <c r="CD49" i="2"/>
  <c r="CD8" i="2"/>
  <c r="CD109" i="2"/>
  <c r="CD47" i="2"/>
  <c r="CD41" i="2"/>
  <c r="CD163" i="2"/>
  <c r="CD12" i="2"/>
  <c r="CD185" i="2"/>
  <c r="CD114" i="2"/>
  <c r="CD95" i="2"/>
  <c r="CD37" i="2"/>
  <c r="CD86" i="2"/>
  <c r="CD34" i="2"/>
  <c r="CD156" i="2"/>
  <c r="CD170" i="2"/>
  <c r="CD5" i="2"/>
  <c r="CD14" i="2"/>
  <c r="CD106" i="2"/>
  <c r="CD183" i="2"/>
  <c r="CD126" i="2"/>
  <c r="CD172" i="2"/>
  <c r="CD61" i="2"/>
  <c r="CD202" i="2"/>
  <c r="CD28" i="2"/>
  <c r="CD89" i="2"/>
  <c r="CD82" i="2"/>
  <c r="CD24" i="2"/>
  <c r="CD107" i="2"/>
  <c r="CD88" i="2"/>
  <c r="CD169" i="2"/>
  <c r="CD184" i="2"/>
  <c r="CD69" i="2"/>
  <c r="CD15" i="2"/>
  <c r="CD122" i="2"/>
  <c r="CD70" i="2"/>
  <c r="CD33" i="2"/>
  <c r="CD174" i="2"/>
  <c r="CD110" i="2"/>
  <c r="CD194" i="2"/>
  <c r="CD92" i="2"/>
  <c r="CD162" i="2"/>
  <c r="CD144" i="2"/>
  <c r="CD180" i="2"/>
  <c r="CD59" i="2"/>
  <c r="CD38" i="2"/>
  <c r="CD197" i="2"/>
  <c r="CD130" i="2"/>
  <c r="CD154" i="2"/>
  <c r="CD196" i="2"/>
  <c r="CD17" i="2"/>
  <c r="CD51" i="2"/>
  <c r="CD18" i="2"/>
  <c r="CD35" i="2"/>
  <c r="CD125" i="2"/>
  <c r="CD139" i="2"/>
  <c r="CD175" i="2"/>
  <c r="CD150" i="2"/>
  <c r="CD145" i="2"/>
  <c r="CD10" i="2"/>
  <c r="CD71" i="2"/>
  <c r="CD91" i="2"/>
  <c r="CD147" i="2"/>
  <c r="CD90" i="2"/>
  <c r="CD22" i="2"/>
  <c r="CD191" i="2"/>
  <c r="CD77" i="2"/>
  <c r="CD43" i="2"/>
  <c r="CD64" i="2"/>
  <c r="CD55" i="2"/>
  <c r="CD143" i="2"/>
  <c r="CD166" i="2"/>
  <c r="CD30" i="2"/>
  <c r="CD155" i="2"/>
  <c r="CD165" i="2"/>
  <c r="CD6" i="2"/>
  <c r="CD23" i="2"/>
  <c r="CD104" i="2"/>
  <c r="CD4" i="2"/>
  <c r="CD16" i="2"/>
  <c r="CD179" i="2"/>
  <c r="CD161" i="2"/>
  <c r="CD164" i="2"/>
  <c r="CD186" i="2"/>
  <c r="CD124" i="2"/>
  <c r="CD73" i="2"/>
  <c r="CD62" i="2"/>
  <c r="CD121" i="2"/>
  <c r="CD160" i="2"/>
  <c r="CD97" i="2"/>
  <c r="CD140" i="2"/>
  <c r="CD57" i="2"/>
  <c r="CD36" i="2"/>
  <c r="CD132" i="2"/>
  <c r="CD120" i="2"/>
  <c r="CD133" i="2"/>
  <c r="CD99" i="2"/>
  <c r="CD29" i="2"/>
  <c r="CD44" i="2"/>
  <c r="CD195" i="2"/>
  <c r="CD56" i="2"/>
  <c r="CD83" i="2"/>
  <c r="CD26" i="2"/>
  <c r="CD74" i="2"/>
  <c r="CD123" i="2"/>
  <c r="CD188" i="2"/>
  <c r="CD48" i="2"/>
  <c r="CD66" i="2"/>
  <c r="DT175" i="2"/>
  <c r="DT173" i="2"/>
  <c r="DT91" i="2"/>
  <c r="DT122" i="2"/>
  <c r="DT38" i="2"/>
  <c r="DT140" i="2"/>
  <c r="DT69" i="2"/>
  <c r="DT194" i="2"/>
  <c r="DT10" i="2"/>
  <c r="DT167" i="2"/>
  <c r="DT25" i="2"/>
  <c r="DT59" i="2"/>
  <c r="DT157" i="2"/>
  <c r="DT129" i="2"/>
  <c r="DT37" i="2"/>
  <c r="DT80" i="2"/>
  <c r="DT177" i="2"/>
  <c r="DT188" i="2"/>
  <c r="DT74" i="2"/>
  <c r="DT102" i="2"/>
  <c r="DT134" i="2"/>
  <c r="DT201" i="2"/>
  <c r="DT84" i="2"/>
  <c r="DT178" i="2"/>
  <c r="DT32" i="2"/>
  <c r="DT75" i="2"/>
  <c r="DT148" i="2"/>
  <c r="DT101" i="2"/>
  <c r="DT155" i="2"/>
  <c r="DT190" i="2"/>
  <c r="DT107" i="2"/>
  <c r="DT33" i="2"/>
  <c r="DT17" i="2"/>
  <c r="DT15" i="2"/>
  <c r="DT13" i="2"/>
  <c r="DT26" i="2"/>
  <c r="DT23" i="2"/>
  <c r="DT124" i="2"/>
  <c r="DT106" i="2"/>
  <c r="DT172" i="2"/>
  <c r="DT6" i="2"/>
  <c r="DT141" i="2"/>
  <c r="DT43" i="2"/>
  <c r="DT97" i="2"/>
  <c r="DT19" i="2"/>
  <c r="DT21" i="2"/>
  <c r="DT138" i="2"/>
  <c r="DT115" i="2"/>
  <c r="DT5" i="2"/>
  <c r="DT109" i="2"/>
  <c r="DT53" i="2"/>
  <c r="DT55" i="2"/>
  <c r="DT29" i="2"/>
  <c r="DT150" i="2"/>
  <c r="DT62" i="2"/>
  <c r="DT199" i="2"/>
  <c r="DT114" i="2"/>
  <c r="DT95" i="2"/>
  <c r="DT64" i="2"/>
  <c r="DT147" i="2"/>
  <c r="DT145" i="2"/>
  <c r="DT110" i="2"/>
  <c r="DT36" i="2"/>
  <c r="DT52" i="2"/>
  <c r="DT130" i="2"/>
  <c r="DT158" i="2"/>
  <c r="DT136" i="2"/>
  <c r="DT41" i="2"/>
  <c r="DT87" i="2"/>
  <c r="DT182" i="2"/>
  <c r="DT111" i="2"/>
  <c r="DT79" i="2"/>
  <c r="DT28" i="2"/>
  <c r="DT104" i="2"/>
  <c r="DT96" i="2"/>
  <c r="DT78" i="2"/>
  <c r="DT51" i="2"/>
  <c r="DT139" i="2"/>
  <c r="DT125" i="2"/>
  <c r="DT179" i="2"/>
  <c r="DT161" i="2"/>
  <c r="DT7" i="2"/>
  <c r="DT146" i="2"/>
  <c r="DT171" i="2"/>
  <c r="DT65" i="2"/>
  <c r="DT112" i="2"/>
  <c r="DT165" i="2"/>
  <c r="DT60" i="2"/>
  <c r="DT163" i="2"/>
  <c r="DT4" i="2"/>
  <c r="DT160" i="2"/>
  <c r="DT93" i="2"/>
  <c r="DT42" i="2"/>
  <c r="DT67" i="2"/>
  <c r="DT49" i="2"/>
  <c r="DT81" i="2"/>
  <c r="DT34" i="2"/>
  <c r="DT187" i="2"/>
  <c r="DT120" i="2"/>
  <c r="DT174" i="2"/>
  <c r="DT151" i="2"/>
  <c r="DT76" i="2"/>
  <c r="DT197" i="2"/>
  <c r="DT99" i="2"/>
  <c r="DT40" i="2"/>
  <c r="DT68" i="2"/>
  <c r="DT164" i="2"/>
  <c r="DT8" i="2"/>
  <c r="DT100" i="2"/>
  <c r="DT82" i="2"/>
  <c r="DT92" i="2"/>
  <c r="DT35" i="2"/>
  <c r="DT31" i="2"/>
  <c r="DT16" i="2"/>
  <c r="DT203" i="2"/>
  <c r="DT181" i="2"/>
  <c r="DT73" i="2"/>
  <c r="DT200" i="2"/>
  <c r="DT149" i="2"/>
  <c r="DT118" i="2"/>
  <c r="DT142" i="2"/>
  <c r="DT132" i="2"/>
  <c r="DT50" i="2"/>
  <c r="DT70" i="2"/>
  <c r="DT85" i="2"/>
  <c r="DT152" i="2"/>
  <c r="DT108" i="2"/>
  <c r="DT88" i="2"/>
  <c r="DT126" i="2"/>
  <c r="DT159" i="2"/>
  <c r="DT83" i="2"/>
  <c r="DT198" i="2"/>
  <c r="DT162" i="2"/>
  <c r="DT71" i="2"/>
  <c r="DT27" i="2"/>
  <c r="DT89" i="2"/>
  <c r="DT189" i="2"/>
  <c r="DT131" i="2"/>
  <c r="DT180" i="2"/>
  <c r="DT195" i="2"/>
  <c r="DT121" i="2"/>
  <c r="DT103" i="2"/>
  <c r="DT135" i="2"/>
  <c r="DT47" i="2"/>
  <c r="DT63" i="2"/>
  <c r="DT183" i="2"/>
  <c r="DT191" i="2"/>
  <c r="DT14" i="2"/>
  <c r="DT22" i="2"/>
  <c r="DT20" i="2"/>
  <c r="DT30" i="2"/>
  <c r="DT116" i="2"/>
  <c r="DT192" i="2"/>
  <c r="DT58" i="2"/>
  <c r="DT153" i="2"/>
  <c r="DT18" i="2"/>
  <c r="DT57" i="2"/>
  <c r="DT39" i="2"/>
  <c r="DT77" i="2"/>
  <c r="DT66" i="2"/>
  <c r="DT123" i="2"/>
  <c r="DT72" i="2"/>
  <c r="DT137" i="2"/>
  <c r="DT196" i="2"/>
  <c r="DT127" i="2"/>
  <c r="DT98" i="2"/>
  <c r="DT156" i="2"/>
  <c r="DT170" i="2"/>
  <c r="DT24" i="2"/>
  <c r="DT86" i="2"/>
  <c r="DT202" i="2"/>
  <c r="DT154" i="2"/>
  <c r="DT186" i="2"/>
  <c r="DT133" i="2"/>
  <c r="DT117" i="2"/>
  <c r="DT113" i="2"/>
  <c r="DT105" i="2"/>
  <c r="DT169" i="2"/>
  <c r="DT46" i="2"/>
  <c r="DT168" i="2"/>
  <c r="DT45" i="2"/>
  <c r="DT12" i="2"/>
  <c r="DT143" i="2"/>
  <c r="DT56" i="2"/>
  <c r="DT166" i="2"/>
  <c r="DT94" i="2"/>
  <c r="DT54" i="2"/>
  <c r="DT128" i="2"/>
  <c r="DT184" i="2"/>
  <c r="DT176" i="2"/>
  <c r="DT9" i="2"/>
  <c r="DT193" i="2"/>
  <c r="DT11" i="2"/>
  <c r="DT44" i="2"/>
  <c r="DT61" i="2"/>
  <c r="DT119" i="2"/>
  <c r="DT90" i="2"/>
  <c r="DT185" i="2"/>
  <c r="DT48" i="2"/>
  <c r="DT3" i="2"/>
  <c r="C11" i="4" s="1"/>
  <c r="E11" i="4" s="1"/>
  <c r="F11" i="4" s="1"/>
  <c r="G11" i="4" s="1"/>
  <c r="L11" i="4" s="1"/>
  <c r="DT14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<sst xmlns="http://schemas.openxmlformats.org/spreadsheetml/2006/main" count="1195" uniqueCount="336">
  <si>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</si>
  <si>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</si>
  <si>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</si>
  <si>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</si>
  <si>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</si>
  <si>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</si>
  <si>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</si>
  <si>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</si>
  <si>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</si>
  <si>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</si>
  <si>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</si>
  <si>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</si>
  <si>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</si>
  <si>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</si>
  <si>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</si>
  <si>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</si>
  <si>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</si>
  <si>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</si>
  <si>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</si>
  <si>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Pin maritime</t>
  </si>
  <si>
    <t>Essence 3</t>
  </si>
  <si>
    <t>Chêne rouge d'Amérique</t>
  </si>
  <si>
    <t>Essence 4</t>
  </si>
  <si>
    <t>Chêne sessile</t>
  </si>
  <si>
    <t>Essence 5</t>
  </si>
  <si>
    <t>Pin taeda</t>
  </si>
  <si>
    <t>Essence 6</t>
  </si>
  <si>
    <t>Charme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</si>
  <si>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</si>
  <si>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</si>
  <si>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</si>
  <si>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</si>
  <si>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</si>
  <si>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</si>
  <si>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</si>
  <si>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</si>
  <si>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</si>
  <si>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</si>
  <si>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</si>
  <si>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</si>
  <si>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</si>
  <si>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</si>
  <si>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</si>
  <si>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</si>
  <si>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</si>
  <si>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</si>
  <si>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</si>
  <si>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</si>
  <si>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</si>
  <si>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</si>
  <si>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</si>
  <si>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</si>
  <si>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</si>
  <si>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</si>
  <si>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</si>
  <si>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</si>
  <si>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</si>
  <si>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</si>
  <si>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</si>
  <si>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29</t>
  </si>
  <si>
    <t>19</t>
  </si>
  <si>
    <t>20</t>
  </si>
  <si>
    <t>18</t>
  </si>
  <si>
    <t>17</t>
  </si>
  <si>
    <t>16</t>
  </si>
  <si>
    <t>15</t>
  </si>
  <si>
    <t>14</t>
  </si>
  <si>
    <t>12</t>
  </si>
  <si>
    <t>11</t>
  </si>
  <si>
    <t>10</t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</si>
  <si>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</si>
  <si>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</si>
  <si>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</si>
  <si>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</si>
  <si>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</si>
  <si>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</si>
  <si>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</si>
  <si>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</si>
  <si>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</si>
  <si>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</si>
  <si>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</si>
  <si>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</si>
  <si>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</si>
  <si>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</si>
  <si>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</si>
  <si>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Châtaignier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</si>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</sst>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219.2364936366308</c:v>
                </c:pt>
                <c:pt idx="44">
                  <c:v>233.16817282079023</c:v>
                </c:pt>
                <c:pt idx="45">
                  <c:v>247.08084979641851</c:v>
                </c:pt>
                <c:pt idx="46">
                  <c:v>260.97574553687451</c:v>
                </c:pt>
                <c:pt idx="47">
                  <c:v>274.85394031838462</c:v>
                </c:pt>
                <c:pt idx="48">
                  <c:v>288.71639637046309</c:v>
                </c:pt>
                <c:pt idx="49">
                  <c:v>302.56397594468757</c:v>
                </c:pt>
                <c:pt idx="50">
                  <c:v>316.39745590015349</c:v>
                </c:pt>
                <c:pt idx="51">
                  <c:v>273.38670979243687</c:v>
                </c:pt>
                <c:pt idx="52">
                  <c:v>287.42020429431284</c:v>
                </c:pt>
                <c:pt idx="53">
                  <c:v>301.43837740587037</c:v>
                </c:pt>
                <c:pt idx="54">
                  <c:v>315.44204208522223</c:v>
                </c:pt>
                <c:pt idx="55">
                  <c:v>329.43193320131792</c:v>
                </c:pt>
                <c:pt idx="56">
                  <c:v>343.40871810261575</c:v>
                </c:pt>
                <c:pt idx="57">
                  <c:v>357.37300537454212</c:v>
                </c:pt>
                <c:pt idx="58">
                  <c:v>371.32535215621283</c:v>
                </c:pt>
                <c:pt idx="59">
                  <c:v>315.51183909506216</c:v>
                </c:pt>
                <c:pt idx="60">
                  <c:v>329.05073650276262</c:v>
                </c:pt>
                <c:pt idx="61">
                  <c:v>342.57734336481394</c:v>
                </c:pt>
                <c:pt idx="62">
                  <c:v>356.09221338084268</c:v>
                </c:pt>
                <c:pt idx="63">
                  <c:v>369.59585478551793</c:v>
                </c:pt>
                <c:pt idx="64">
                  <c:v>383.08873564151554</c:v>
                </c:pt>
                <c:pt idx="65">
                  <c:v>396.5712883477056</c:v>
                </c:pt>
                <c:pt idx="66">
                  <c:v>410.0439135021868</c:v>
                </c:pt>
                <c:pt idx="67">
                  <c:v>347.44730241687625</c:v>
                </c:pt>
                <c:pt idx="68">
                  <c:v>360.38278100948378</c:v>
                </c:pt>
                <c:pt idx="69">
                  <c:v>373.30810753560894</c:v>
                </c:pt>
                <c:pt idx="70">
                  <c:v>386.22368305629948</c:v>
                </c:pt>
                <c:pt idx="71">
                  <c:v>399.12987961766686</c:v>
                </c:pt>
                <c:pt idx="72">
                  <c:v>412.02704324015616</c:v>
                </c:pt>
                <c:pt idx="73">
                  <c:v>424.91549651397821</c:v>
                </c:pt>
                <c:pt idx="74">
                  <c:v>437.79554086320655</c:v>
                </c:pt>
                <c:pt idx="75">
                  <c:v>379.41318705628618</c:v>
                </c:pt>
                <c:pt idx="76">
                  <c:v>392.00536505326244</c:v>
                </c:pt>
                <c:pt idx="77">
                  <c:v>404.5887722875338</c:v>
                </c:pt>
                <c:pt idx="78">
                  <c:v>417.16372000047312</c:v>
                </c:pt>
                <c:pt idx="79">
                  <c:v>429.73049913746746</c:v>
                </c:pt>
                <c:pt idx="80">
                  <c:v>442.28938223878066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492.45084894664933</c:v>
                </c:pt>
                <c:pt idx="85">
                  <c:v>413.69789366517688</c:v>
                </c:pt>
                <c:pt idx="86">
                  <c:v>425.72326588472441</c:v>
                </c:pt>
                <c:pt idx="87">
                  <c:v>437.74133281024564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473.75392521910811</c:v>
                </c:pt>
                <c:pt idx="91">
                  <c:v>485.74493252670771</c:v>
                </c:pt>
                <c:pt idx="92">
                  <c:v>497.72965691973968</c:v>
                </c:pt>
                <c:pt idx="93">
                  <c:v>509.70827099220446</c:v>
                </c:pt>
                <c:pt idx="94">
                  <c:v>521.68093856505448</c:v>
                </c:pt>
                <c:pt idx="95">
                  <c:v>442.71309293511808</c:v>
                </c:pt>
                <c:pt idx="96">
                  <c:v>454.37653595908381</c:v>
                </c:pt>
                <c:pt idx="97">
                  <c:v>466.03358176488229</c:v>
                </c:pt>
                <c:pt idx="98">
                  <c:v>477.68441292460778</c:v>
                </c:pt>
                <c:pt idx="99">
                  <c:v>489.32920237793724</c:v>
                </c:pt>
                <c:pt idx="100">
                  <c:v>500.96811416232453</c:v>
                </c:pt>
                <c:pt idx="101">
                  <c:v>512.60130407180907</c:v>
                </c:pt>
                <c:pt idx="102">
                  <c:v>524.22892025291412</c:v>
                </c:pt>
                <c:pt idx="103">
                  <c:v>535.85110374493036</c:v>
                </c:pt>
                <c:pt idx="104">
                  <c:v>547.46798897089673</c:v>
                </c:pt>
                <c:pt idx="105">
                  <c:v>470.83512622667905</c:v>
                </c:pt>
                <c:pt idx="106">
                  <c:v>482.31993060359929</c:v>
                </c:pt>
                <c:pt idx="107">
                  <c:v>493.79892623857194</c:v>
                </c:pt>
                <c:pt idx="108">
                  <c:v>505.27226719263109</c:v>
                </c:pt>
                <c:pt idx="109">
                  <c:v>516.74009995985261</c:v>
                </c:pt>
                <c:pt idx="110">
                  <c:v>528.20256400226049</c:v>
                </c:pt>
                <c:pt idx="111">
                  <c:v>539.65979223588909</c:v>
                </c:pt>
                <c:pt idx="112">
                  <c:v>551.11191147342799</c:v>
                </c:pt>
                <c:pt idx="113">
                  <c:v>562.55904282816812</c:v>
                </c:pt>
                <c:pt idx="114">
                  <c:v>574.00130208336589</c:v>
                </c:pt>
                <c:pt idx="115">
                  <c:v>503.63619118948264</c:v>
                </c:pt>
                <c:pt idx="116">
                  <c:v>515.16004926803487</c:v>
                </c:pt>
                <c:pt idx="117">
                  <c:v>526.67846775173223</c:v>
                </c:pt>
                <c:pt idx="118">
                  <c:v>538.19158235979023</c:v>
                </c:pt>
                <c:pt idx="119">
                  <c:v>549.69952253188956</c:v>
                </c:pt>
                <c:pt idx="120">
                  <c:v>561.2024118468803</c:v>
                </c:pt>
                <c:pt idx="121">
                  <c:v>572.70036840537955</c:v>
                </c:pt>
                <c:pt idx="122">
                  <c:v>584.19350518005501</c:v>
                </c:pt>
                <c:pt idx="123">
                  <c:v>595.68193033691477</c:v>
                </c:pt>
                <c:pt idx="124">
                  <c:v>607.16574753053146</c:v>
                </c:pt>
                <c:pt idx="125">
                  <c:v>542.67444994481593</c:v>
                </c:pt>
                <c:pt idx="126">
                  <c:v>554.28705775501305</c:v>
                </c:pt>
                <c:pt idx="127">
                  <c:v>565.89456923136788</c:v>
                </c:pt>
                <c:pt idx="128">
                  <c:v>577.49710362235521</c:v>
                </c:pt>
                <c:pt idx="129">
                  <c:v>589.09477499506363</c:v>
                </c:pt>
                <c:pt idx="130">
                  <c:v>600.68769256005351</c:v>
                </c:pt>
                <c:pt idx="131">
                  <c:v>612.27596096984428</c:v>
                </c:pt>
                <c:pt idx="132">
                  <c:v>623.8596805936337</c:v>
                </c:pt>
                <c:pt idx="133">
                  <c:v>635.43894777056346</c:v>
                </c:pt>
                <c:pt idx="134">
                  <c:v>647.0138550435679</c:v>
                </c:pt>
                <c:pt idx="135">
                  <c:v>579.21299579651088</c:v>
                </c:pt>
                <c:pt idx="136">
                  <c:v>590.93727564374069</c:v>
                </c:pt>
                <c:pt idx="137">
                  <c:v>602.65671400044437</c:v>
                </c:pt>
                <c:pt idx="138">
                  <c:v>614.37141825894662</c:v>
                </c:pt>
                <c:pt idx="139">
                  <c:v>626.08149138337728</c:v>
                </c:pt>
                <c:pt idx="140">
                  <c:v>637.78703217341183</c:v>
                </c:pt>
                <c:pt idx="141">
                  <c:v>649.48813550765476</c:v>
                </c:pt>
                <c:pt idx="142">
                  <c:v>661.18489256857811</c:v>
                </c:pt>
                <c:pt idx="143">
                  <c:v>672.87739105072149</c:v>
                </c:pt>
                <c:pt idx="144">
                  <c:v>684.56571535367812</c:v>
                </c:pt>
                <c:pt idx="145">
                  <c:v>615.99826184014375</c:v>
                </c:pt>
                <c:pt idx="146">
                  <c:v>627.92166785894335</c:v>
                </c:pt>
                <c:pt idx="147">
                  <c:v>639.84039007045806</c:v>
                </c:pt>
                <c:pt idx="148">
                  <c:v>651.75452798722438</c:v>
                </c:pt>
                <c:pt idx="149">
                  <c:v>663.6641771883518</c:v>
                </c:pt>
                <c:pt idx="150">
                  <c:v>675.56942954427871</c:v>
                </c:pt>
                <c:pt idx="151">
                  <c:v>687.47037342486567</c:v>
                </c:pt>
                <c:pt idx="152">
                  <c:v>699.36709389233977</c:v>
                </c:pt>
                <c:pt idx="153">
                  <c:v>711.25967288043512</c:v>
                </c:pt>
                <c:pt idx="154">
                  <c:v>723.14818936093525</c:v>
                </c:pt>
                <c:pt idx="155">
                  <c:v>656.10481372787308</c:v>
                </c:pt>
                <c:pt idx="156">
                  <c:v>668.18502285411148</c:v>
                </c:pt>
                <c:pt idx="157">
                  <c:v>680.26074198077038</c:v>
                </c:pt>
                <c:pt idx="158">
                  <c:v>692.33206200882375</c:v>
                </c:pt>
                <c:pt idx="159">
                  <c:v>704.39907041247409</c:v>
                </c:pt>
                <c:pt idx="160">
                  <c:v>716.46185142605191</c:v>
                </c:pt>
                <c:pt idx="161">
                  <c:v>728.52048621768233</c:v>
                </c:pt>
                <c:pt idx="162">
                  <c:v>740.57505305086443</c:v>
                </c:pt>
                <c:pt idx="163">
                  <c:v>752.62562743498745</c:v>
                </c:pt>
                <c:pt idx="164">
                  <c:v>764.67228226571467</c:v>
                </c:pt>
                <c:pt idx="165">
                  <c:v>691.65849642549881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728.29010481250054</c:v>
                </c:pt>
                <c:pt idx="169">
                  <c:v>740.49219238015883</c:v>
                </c:pt>
                <c:pt idx="170">
                  <c:v>752.69018869117497</c:v>
                </c:pt>
                <c:pt idx="171">
                  <c:v>764.88416935176735</c:v>
                </c:pt>
                <c:pt idx="172">
                  <c:v>777.07420736245524</c:v>
                </c:pt>
                <c:pt idx="173">
                  <c:v>789.26037324818117</c:v>
                </c:pt>
                <c:pt idx="174">
                  <c:v>801.44273517998261</c:v>
                </c:pt>
                <c:pt idx="175">
                  <c:v>499.6921135299911</c:v>
                </c:pt>
                <c:pt idx="176">
                  <c:v>507.54522794679673</c:v>
                </c:pt>
                <c:pt idx="177">
                  <c:v>515.39577427024676</c:v>
                </c:pt>
                <c:pt idx="178">
                  <c:v>352.97127757915587</c:v>
                </c:pt>
                <c:pt idx="179">
                  <c:v>357.82672398095787</c:v>
                </c:pt>
                <c:pt idx="180">
                  <c:v>362.68072838718234</c:v>
                </c:pt>
                <c:pt idx="181">
                  <c:v>251.76948295809464</c:v>
                </c:pt>
                <c:pt idx="182">
                  <c:v>254.76218506142436</c:v>
                </c:pt>
                <c:pt idx="183">
                  <c:v>257.75409130952295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2.7867032327286165</c:v>
                </c:pt>
                <c:pt idx="2">
                  <c:v>3.2017857634751645</c:v>
                </c:pt>
                <c:pt idx="3">
                  <c:v>3.6789163915306151</c:v>
                </c:pt>
                <c:pt idx="4">
                  <c:v>4.2274015269224003</c:v>
                </c:pt>
                <c:pt idx="5">
                  <c:v>4.857947815272996</c:v>
                </c:pt>
                <c:pt idx="6">
                  <c:v>5.5828734326394835</c:v>
                </c:pt>
                <c:pt idx="7">
                  <c:v>6.4163513508271786</c:v>
                </c:pt>
                <c:pt idx="8">
                  <c:v>7.3746894225630202</c:v>
                </c:pt>
                <c:pt idx="9">
                  <c:v>8.4766528731557784</c:v>
                </c:pt>
                <c:pt idx="10">
                  <c:v>9.7438356348243556</c:v>
                </c:pt>
                <c:pt idx="11">
                  <c:v>11.201087938884697</c:v>
                </c:pt>
                <c:pt idx="12">
                  <c:v>12.877008709212587</c:v>
                </c:pt>
                <c:pt idx="13">
                  <c:v>14.804512600629446</c:v>
                </c:pt>
                <c:pt idx="14">
                  <c:v>17.02148302435992</c:v>
                </c:pt>
                <c:pt idx="15">
                  <c:v>19.571524229773253</c:v>
                </c:pt>
                <c:pt idx="16">
                  <c:v>22.504827502166687</c:v>
                </c:pt>
                <c:pt idx="17">
                  <c:v>25.879168830646851</c:v>
                </c:pt>
                <c:pt idx="18">
                  <c:v>29.76105804464434</c:v>
                </c:pt>
                <c:pt idx="19">
                  <c:v>34.227062465796415</c:v>
                </c:pt>
                <c:pt idx="20">
                  <c:v>39.365331635590955</c:v>
                </c:pt>
                <c:pt idx="21">
                  <c:v>45.277353729472026</c:v>
                </c:pt>
                <c:pt idx="22">
                  <c:v>52.079978937162316</c:v>
                </c:pt>
                <c:pt idx="23">
                  <c:v>59.907750471433324</c:v>
                </c:pt>
                <c:pt idx="24">
                  <c:v>68.915590072633407</c:v>
                </c:pt>
                <c:pt idx="25">
                  <c:v>79.281892029880893</c:v>
                </c:pt>
                <c:pt idx="26">
                  <c:v>91.212087987157972</c:v>
                </c:pt>
                <c:pt idx="27">
                  <c:v>104.9427543110823</c:v>
                </c:pt>
                <c:pt idx="28">
                  <c:v>120.74634476003911</c:v>
                </c:pt>
                <c:pt idx="29">
                  <c:v>138.93664383441487</c:v>
                </c:pt>
                <c:pt idx="30">
                  <c:v>159.87505076182592</c:v>
                </c:pt>
                <c:pt idx="31">
                  <c:v>171.19563368768317</c:v>
                </c:pt>
                <c:pt idx="32">
                  <c:v>182.49859990550817</c:v>
                </c:pt>
                <c:pt idx="33">
                  <c:v>193.78519514617528</c:v>
                </c:pt>
                <c:pt idx="34">
                  <c:v>205.05650800614319</c:v>
                </c:pt>
                <c:pt idx="35">
                  <c:v>216.31349750542441</c:v>
                </c:pt>
                <c:pt idx="36">
                  <c:v>227.55701459906791</c:v>
                </c:pt>
                <c:pt idx="37">
                  <c:v>238.78781920828058</c:v>
                </c:pt>
                <c:pt idx="38">
                  <c:v>250.00659387558323</c:v>
                </c:pt>
                <c:pt idx="39">
                  <c:v>261.21395483781316</c:v>
                </c:pt>
                <c:pt idx="40">
                  <c:v>272.41046109738824</c:v>
                </c:pt>
                <c:pt idx="41">
                  <c:v>283.59662192280933</c:v>
                </c:pt>
                <c:pt idx="42">
                  <c:v>294.77290310289862</c:v>
                </c:pt>
                <c:pt idx="43">
                  <c:v>230.28948630733069</c:v>
                </c:pt>
                <c:pt idx="44">
                  <c:v>244.92530535426911</c:v>
                </c:pt>
                <c:pt idx="45">
                  <c:v>259.541256291617</c:v>
                </c:pt>
                <c:pt idx="46">
                  <c:v>274.1386157305883</c:v>
                </c:pt>
                <c:pt idx="47">
                  <c:v>288.71851317391554</c:v>
                </c:pt>
                <c:pt idx="48">
                  <c:v>303.28195469841353</c:v>
                </c:pt>
                <c:pt idx="49">
                  <c:v>317.8298418471224</c:v>
                </c:pt>
                <c:pt idx="50">
                  <c:v>332.36298687939632</c:v>
                </c:pt>
                <c:pt idx="51">
                  <c:v>287.17709344234351</c:v>
                </c:pt>
                <c:pt idx="52">
                  <c:v>301.92021461284895</c:v>
                </c:pt>
                <c:pt idx="53">
                  <c:v>316.64731622113209</c:v>
                </c:pt>
                <c:pt idx="54">
                  <c:v>331.3592482705414</c:v>
                </c:pt>
                <c:pt idx="55">
                  <c:v>346.05677911686024</c:v>
                </c:pt>
                <c:pt idx="56">
                  <c:v>360.74060651857735</c:v>
                </c:pt>
                <c:pt idx="57">
                  <c:v>375.41136679340917</c:v>
                </c:pt>
                <c:pt idx="58">
                  <c:v>390.06964246843387</c:v>
                </c:pt>
                <c:pt idx="59">
                  <c:v>331.43257559957584</c:v>
                </c:pt>
                <c:pt idx="60">
                  <c:v>345.65629975783145</c:v>
                </c:pt>
                <c:pt idx="61">
                  <c:v>359.86717330940729</c:v>
                </c:pt>
                <c:pt idx="62">
                  <c:v>374.06577518515957</c:v>
                </c:pt>
                <c:pt idx="63">
                  <c:v>388.25263677922021</c:v>
                </c:pt>
                <c:pt idx="64">
                  <c:v>402.42824748315252</c:v>
                </c:pt>
                <c:pt idx="65">
                  <c:v>416.59305939956988</c:v>
                </c:pt>
                <c:pt idx="66">
                  <c:v>430.74749138120251</c:v>
                </c:pt>
                <c:pt idx="67">
                  <c:v>364.98350219065077</c:v>
                </c:pt>
                <c:pt idx="68">
                  <c:v>378.57341917872117</c:v>
                </c:pt>
                <c:pt idx="69">
                  <c:v>392.1527214864447</c:v>
                </c:pt>
                <c:pt idx="70">
                  <c:v>405.72182845059689</c:v>
                </c:pt>
                <c:pt idx="71">
                  <c:v>419.28112907085114</c:v>
                </c:pt>
                <c:pt idx="72">
                  <c:v>432.83098513526539</c:v>
                </c:pt>
                <c:pt idx="73">
                  <c:v>446.37173393398433</c:v>
                </c:pt>
                <c:pt idx="74">
                  <c:v>459.90369062650694</c:v>
                </c:pt>
                <c:pt idx="75">
                  <c:v>398.56671360421461</c:v>
                </c:pt>
                <c:pt idx="76">
                  <c:v>411.7960804527674</c:v>
                </c:pt>
                <c:pt idx="77">
                  <c:v>425.0162768686136</c:v>
                </c:pt>
                <c:pt idx="78">
                  <c:v>438.22762827591077</c:v>
                </c:pt>
                <c:pt idx="79">
                  <c:v>451.43043887797427</c:v>
                </c:pt>
                <c:pt idx="80">
                  <c:v>464.62499363430373</c:v>
                </c:pt>
                <c:pt idx="81">
                  <c:v>477.81156000134843</c:v>
                </c:pt>
                <c:pt idx="82">
                  <c:v>490.9903894711199</c:v>
                </c:pt>
                <c:pt idx="83">
                  <c:v>504.16171893603246</c:v>
                </c:pt>
                <c:pt idx="84">
                  <c:v>517.32577190371592</c:v>
                </c:pt>
                <c:pt idx="85">
                  <c:v>434.5863962700077</c:v>
                </c:pt>
                <c:pt idx="86">
                  <c:v>447.22038662382914</c:v>
                </c:pt>
                <c:pt idx="87">
                  <c:v>459.84673879274868</c:v>
                </c:pt>
                <c:pt idx="88">
                  <c:v>472.46569204491794</c:v>
                </c:pt>
                <c:pt idx="89">
                  <c:v>485.07747182587377</c:v>
                </c:pt>
                <c:pt idx="90">
                  <c:v>497.68229090326798</c:v>
                </c:pt>
                <c:pt idx="91">
                  <c:v>510.28035038960496</c:v>
                </c:pt>
                <c:pt idx="92">
                  <c:v>522.87184065873873</c:v>
                </c:pt>
                <c:pt idx="93">
                  <c:v>535.45694216950994</c:v>
                </c:pt>
                <c:pt idx="94">
                  <c:v>548.03582620793679</c:v>
                </c:pt>
                <c:pt idx="95">
                  <c:v>465.07015125494121</c:v>
                </c:pt>
                <c:pt idx="96">
                  <c:v>477.32397874545717</c:v>
                </c:pt>
                <c:pt idx="97">
                  <c:v>489.57111750653371</c:v>
                </c:pt>
                <c:pt idx="98">
                  <c:v>501.81175842979081</c:v>
                </c:pt>
                <c:pt idx="99">
                  <c:v>514.04608233549732</c:v>
                </c:pt>
                <c:pt idx="100">
                  <c:v>526.27426073603885</c:v>
                </c:pt>
                <c:pt idx="101">
                  <c:v>538.49645652474635</c:v>
                </c:pt>
                <c:pt idx="102">
                  <c:v>550.71282459894917</c:v>
                </c:pt>
                <c:pt idx="103">
                  <c:v>562.9235124248795</c:v>
                </c:pt>
                <c:pt idx="104">
                  <c:v>575.12866055102506</c:v>
                </c:pt>
                <c:pt idx="105">
                  <c:v>494.61573081195274</c:v>
                </c:pt>
                <c:pt idx="106">
                  <c:v>506.68195233945966</c:v>
                </c:pt>
                <c:pt idx="107">
                  <c:v>518.74210042969173</c:v>
                </c:pt>
                <c:pt idx="108">
                  <c:v>530.79633616400429</c:v>
                </c:pt>
                <c:pt idx="109">
                  <c:v>542.84481271198081</c:v>
                </c:pt>
                <c:pt idx="110">
                  <c:v>554.88767589071199</c:v>
                </c:pt>
                <c:pt idx="111">
                  <c:v>566.92506467300927</c:v>
                </c:pt>
                <c:pt idx="112">
                  <c:v>578.95711165021885</c:v>
                </c:pt>
                <c:pt idx="113">
                  <c:v>590.98394345457598</c:v>
                </c:pt>
                <c:pt idx="114">
                  <c:v>603.00568114539942</c:v>
                </c:pt>
                <c:pt idx="115">
                  <c:v>529.07742397864865</c:v>
                </c:pt>
                <c:pt idx="116">
                  <c:v>541.18475864666573</c:v>
                </c:pt>
                <c:pt idx="117">
                  <c:v>553.2864058459586</c:v>
                </c:pt>
                <c:pt idx="118">
                  <c:v>565.382507480257</c:v>
                </c:pt>
                <c:pt idx="119">
                  <c:v>577.47319888760569</c:v>
                </c:pt>
                <c:pt idx="120">
                  <c:v>589.55860927815058</c:v>
                </c:pt>
                <c:pt idx="121">
                  <c:v>601.63886213417038</c:v>
                </c:pt>
                <c:pt idx="122">
                  <c:v>613.71407557632119</c:v>
                </c:pt>
                <c:pt idx="123">
                  <c:v>625.78436269956762</c:v>
                </c:pt>
                <c:pt idx="124">
                  <c:v>637.84983188186015</c:v>
                </c:pt>
                <c:pt idx="125">
                  <c:v>570.0923801668979</c:v>
                </c:pt>
                <c:pt idx="126">
                  <c:v>582.29304974381898</c:v>
                </c:pt>
                <c:pt idx="127">
                  <c:v>594.48839075489832</c:v>
                </c:pt>
                <c:pt idx="128">
                  <c:v>606.67852788257892</c:v>
                </c:pt>
                <c:pt idx="129">
                  <c:v>618.86358039180845</c:v>
                </c:pt>
                <c:pt idx="130">
                  <c:v>631.04366246970255</c:v>
                </c:pt>
                <c:pt idx="131">
                  <c:v>643.21888353763325</c:v>
                </c:pt>
                <c:pt idx="132">
                  <c:v>655.38934853846638</c:v>
                </c:pt>
                <c:pt idx="133">
                  <c:v>667.55515820136793</c:v>
                </c:pt>
                <c:pt idx="134">
                  <c:v>679.71640928631007</c:v>
                </c:pt>
                <c:pt idx="135">
                  <c:v>608.48132239875304</c:v>
                </c:pt>
                <c:pt idx="136">
                  <c:v>620.79939943445618</c:v>
                </c:pt>
                <c:pt idx="137">
                  <c:v>633.11241436044702</c:v>
                </c:pt>
                <c:pt idx="138">
                  <c:v>645.42047946275216</c:v>
                </c:pt>
                <c:pt idx="139">
                  <c:v>657.72370239741588</c:v>
                </c:pt>
                <c:pt idx="140">
                  <c:v>670.02218646626113</c:v>
                </c:pt>
                <c:pt idx="141">
                  <c:v>682.31603087136284</c:v>
                </c:pt>
                <c:pt idx="142">
                  <c:v>694.60533095023595</c:v>
                </c:pt>
                <c:pt idx="143">
                  <c:v>706.89017839352437</c:v>
                </c:pt>
                <c:pt idx="144">
                  <c:v>719.17066144677858</c:v>
                </c:pt>
                <c:pt idx="145">
                  <c:v>647.12972608250652</c:v>
                </c:pt>
                <c:pt idx="146">
                  <c:v>659.65709135800182</c:v>
                </c:pt>
                <c:pt idx="147">
                  <c:v>672.17955939240665</c:v>
                </c:pt>
                <c:pt idx="148">
                  <c:v>684.69723423288826</c:v>
                </c:pt>
                <c:pt idx="149">
                  <c:v>697.21021581394746</c:v>
                </c:pt>
                <c:pt idx="150">
                  <c:v>709.71860019241558</c:v>
                </c:pt>
                <c:pt idx="151">
                  <c:v>722.22247976503024</c:v>
                </c:pt>
                <c:pt idx="152">
                  <c:v>734.7219434701716</c:v>
                </c:pt>
                <c:pt idx="153">
                  <c:v>747.21707697516661</c:v>
                </c:pt>
                <c:pt idx="154">
                  <c:v>759.7079628504199</c:v>
                </c:pt>
                <c:pt idx="155">
                  <c:v>689.26789900881238</c:v>
                </c:pt>
                <c:pt idx="156">
                  <c:v>701.96008944238645</c:v>
                </c:pt>
                <c:pt idx="157">
                  <c:v>714.64758527409037</c:v>
                </c:pt>
                <c:pt idx="158">
                  <c:v>727.33048154711423</c:v>
                </c:pt>
                <c:pt idx="159">
                  <c:v>740.00886972172327</c:v>
                </c:pt>
                <c:pt idx="160">
                  <c:v>752.68283787067548</c:v>
                </c:pt>
                <c:pt idx="161">
                  <c:v>765.35247086080153</c:v>
                </c:pt>
                <c:pt idx="162">
                  <c:v>778.01785052194566</c:v>
                </c:pt>
                <c:pt idx="163">
                  <c:v>790.67905580434297</c:v>
                </c:pt>
                <c:pt idx="164">
                  <c:v>803.3361629253983</c:v>
                </c:pt>
                <c:pt idx="165">
                  <c:v>726.62279013951832</c:v>
                </c:pt>
                <c:pt idx="166">
                  <c:v>739.4565021053096</c:v>
                </c:pt>
                <c:pt idx="167">
                  <c:v>752.28568137134243</c:v>
                </c:pt>
                <c:pt idx="168">
                  <c:v>765.11041607917366</c:v>
                </c:pt>
                <c:pt idx="169">
                  <c:v>777.93079117659556</c:v>
                </c:pt>
                <c:pt idx="170">
                  <c:v>790.74688858517982</c:v>
                </c:pt>
                <c:pt idx="171">
                  <c:v>803.55878735640215</c:v>
                </c:pt>
                <c:pt idx="172">
                  <c:v>816.36656381730199</c:v>
                </c:pt>
                <c:pt idx="173">
                  <c:v>829.17029170653325</c:v>
                </c:pt>
                <c:pt idx="174">
                  <c:v>841.97004230158245</c:v>
                </c:pt>
                <c:pt idx="175">
                  <c:v>524.93365602368169</c:v>
                </c:pt>
                <c:pt idx="176">
                  <c:v>533.18438016030393</c:v>
                </c:pt>
                <c:pt idx="177">
                  <c:v>541.43241917955402</c:v>
                </c:pt>
                <c:pt idx="178">
                  <c:v>370.7869427742703</c:v>
                </c:pt>
                <c:pt idx="179">
                  <c:v>375.88804068549649</c:v>
                </c:pt>
                <c:pt idx="180">
                  <c:v>380.98763089165163</c:v>
                </c:pt>
                <c:pt idx="181">
                  <c:v>264.46691611820017</c:v>
                </c:pt>
                <c:pt idx="182">
                  <c:v>267.61091486362113</c:v>
                </c:pt>
                <c:pt idx="183">
                  <c:v>270.75408148792729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2" zoomScale="80" zoomScaleNormal="80" workbookViewId="0">
      <selection activeCell="E28" sqref="E2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7.07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0.36</v>
      </c>
      <c r="D9" s="33">
        <f t="shared" ref="D9:D18" si="0">C9*$C$5</f>
        <v>2.5451999999999999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0.28000000000000003</v>
      </c>
      <c r="D10" s="33">
        <f t="shared" si="0"/>
        <v>1.9796000000000002</v>
      </c>
      <c r="E10" s="34">
        <v>56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0.18</v>
      </c>
      <c r="D11" s="33">
        <f t="shared" si="0"/>
        <v>1.2726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0.08</v>
      </c>
      <c r="D12" s="33">
        <f t="shared" si="0"/>
        <v>0.56559999999999999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7.0000000000000007E-2</v>
      </c>
      <c r="D13" s="33">
        <f t="shared" si="0"/>
        <v>0.49490000000000006</v>
      </c>
      <c r="E13" s="34">
        <v>60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 t="s">
        <v>27</v>
      </c>
      <c r="C14" s="32">
        <v>0.03</v>
      </c>
      <c r="D14" s="33">
        <f t="shared" si="0"/>
        <v>0.21210000000000001</v>
      </c>
      <c r="E14" s="34">
        <v>183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28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29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30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31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32</v>
      </c>
      <c r="C19" s="37">
        <f>SUM(C9:C18)</f>
        <v>1</v>
      </c>
      <c r="D19" s="38">
        <f>SUM(D9:D18)</f>
        <v>7.07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33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34</v>
      </c>
      <c r="B24" s="42" t="s">
        <v>35</v>
      </c>
      <c r="C24" s="43">
        <v>0</v>
      </c>
      <c r="D24" s="44" t="s">
        <v>36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37</v>
      </c>
      <c r="B25" s="42" t="s">
        <v>38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39</v>
      </c>
      <c r="B26" s="42" t="s">
        <v>40</v>
      </c>
      <c r="C26" s="43">
        <v>0</v>
      </c>
      <c r="D26" s="44" t="s">
        <v>41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42</v>
      </c>
      <c r="B27" s="42" t="s">
        <v>43</v>
      </c>
      <c r="C27" s="43">
        <v>0</v>
      </c>
      <c r="D27" s="44" t="s">
        <v>44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45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laricio</v>
      </c>
      <c r="D32" s="229" t="s">
        <v>46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47</v>
      </c>
      <c r="C34" s="258" t="s">
        <v>48</v>
      </c>
      <c r="D34" s="258"/>
      <c r="E34" s="259" t="s">
        <v>49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50</v>
      </c>
      <c r="B35" s="36" t="s">
        <v>51</v>
      </c>
      <c r="C35" s="48" t="s">
        <v>52</v>
      </c>
      <c r="D35" s="48" t="s">
        <v>53</v>
      </c>
      <c r="E35" s="36" t="s">
        <v>54</v>
      </c>
      <c r="F35" s="36" t="s">
        <v>55</v>
      </c>
      <c r="G35" s="36" t="s">
        <v>56</v>
      </c>
      <c r="H35" s="36" t="s">
        <v>57</v>
      </c>
      <c r="I35" s="48" t="s">
        <v>58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maritime</v>
      </c>
      <c r="D58" s="229" t="s">
        <v>46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47</v>
      </c>
      <c r="C60" s="258" t="s">
        <v>48</v>
      </c>
      <c r="D60" s="258"/>
      <c r="E60" s="259" t="s">
        <v>49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50</v>
      </c>
      <c r="B61" s="36" t="s">
        <v>51</v>
      </c>
      <c r="C61" s="48" t="s">
        <v>52</v>
      </c>
      <c r="D61" s="48" t="s">
        <v>53</v>
      </c>
      <c r="E61" s="36" t="s">
        <v>54</v>
      </c>
      <c r="F61" s="36" t="s">
        <v>55</v>
      </c>
      <c r="G61" s="36" t="s">
        <v>56</v>
      </c>
      <c r="H61" s="36" t="s">
        <v>57</v>
      </c>
      <c r="I61" s="48" t="s">
        <v>58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141.17692307692306</v>
      </c>
      <c r="C62" s="60">
        <v>1</v>
      </c>
      <c r="D62" s="60">
        <v>49.784615384615385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9.4117948717948714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183.7076923076923</v>
      </c>
      <c r="C63" s="60">
        <v>2</v>
      </c>
      <c r="D63" s="60">
        <v>48.723076923076924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18.463076923076926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26</v>
      </c>
      <c r="B64" s="60">
        <v>249.41538461538462</v>
      </c>
      <c r="C64" s="60">
        <v>3</v>
      </c>
      <c r="D64" s="60">
        <v>46.984615384615381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19.071794871794875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318.7923076923077</v>
      </c>
      <c r="C65" s="60">
        <v>4</v>
      </c>
      <c r="D65" s="60">
        <v>64.523076923076914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19.393589743589743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398.71538461538461</v>
      </c>
      <c r="C66" s="60">
        <v>5</v>
      </c>
      <c r="D66" s="60">
        <v>92.661538461538456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18.055769230769229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48</v>
      </c>
      <c r="B67" s="60">
        <v>427.74615384615385</v>
      </c>
      <c r="C67" s="60">
        <v>6</v>
      </c>
      <c r="D67" s="60">
        <v>83.969230769230762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15.21153846153846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56</v>
      </c>
      <c r="B68" s="60">
        <v>446.47692307692301</v>
      </c>
      <c r="C68" s="60">
        <v>7</v>
      </c>
      <c r="D68" s="60">
        <v>446.47692307692301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12.837499999999991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rouge d'Amérique</v>
      </c>
      <c r="D84" s="229" t="s">
        <v>46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47</v>
      </c>
      <c r="C86" s="258" t="s">
        <v>48</v>
      </c>
      <c r="D86" s="258"/>
      <c r="E86" s="259" t="s">
        <v>49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50</v>
      </c>
      <c r="B87" s="36" t="s">
        <v>51</v>
      </c>
      <c r="C87" s="48" t="s">
        <v>52</v>
      </c>
      <c r="D87" s="48" t="s">
        <v>53</v>
      </c>
      <c r="E87" s="36" t="s">
        <v>54</v>
      </c>
      <c r="F87" s="36" t="s">
        <v>55</v>
      </c>
      <c r="G87" s="36" t="s">
        <v>56</v>
      </c>
      <c r="H87" s="36" t="s">
        <v>57</v>
      </c>
      <c r="I87" s="48" t="s">
        <v>58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18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47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87</v>
      </c>
      <c r="C90" s="60">
        <v>1</v>
      </c>
      <c r="D90" s="60" t="s">
        <v>59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98</v>
      </c>
      <c r="C91" s="60">
        <v>2</v>
      </c>
      <c r="D91" s="60" t="s">
        <v>60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119</v>
      </c>
      <c r="C92" s="60">
        <v>3</v>
      </c>
      <c r="D92" s="60" t="s">
        <v>61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135</v>
      </c>
      <c r="C93" s="60">
        <v>4</v>
      </c>
      <c r="D93" s="60" t="s">
        <v>61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7.2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150</v>
      </c>
      <c r="C94" s="60">
        <v>5</v>
      </c>
      <c r="D94" s="60" t="s">
        <v>61</v>
      </c>
      <c r="E94" s="87">
        <v>0</v>
      </c>
      <c r="F94" s="87">
        <v>0.5</v>
      </c>
      <c r="G94" s="87">
        <v>0</v>
      </c>
      <c r="H94" s="87">
        <v>0.5</v>
      </c>
      <c r="I94" s="53">
        <f t="shared" si="3"/>
        <v>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162</v>
      </c>
      <c r="C95" s="60">
        <v>6</v>
      </c>
      <c r="D95" s="60" t="s">
        <v>60</v>
      </c>
      <c r="E95" s="87">
        <v>0</v>
      </c>
      <c r="F95" s="87">
        <v>0.5</v>
      </c>
      <c r="G95" s="87">
        <v>0</v>
      </c>
      <c r="H95" s="87">
        <v>0.5</v>
      </c>
      <c r="I95" s="53">
        <f t="shared" si="3"/>
        <v>6.4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173</v>
      </c>
      <c r="C96" s="60">
        <v>7</v>
      </c>
      <c r="D96" s="60" t="s">
        <v>62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181</v>
      </c>
      <c r="C97" s="60">
        <v>8</v>
      </c>
      <c r="D97" s="60" t="s">
        <v>63</v>
      </c>
      <c r="E97" s="87">
        <v>0.4</v>
      </c>
      <c r="F97" s="87">
        <v>0.4</v>
      </c>
      <c r="G97" s="87">
        <v>0</v>
      </c>
      <c r="H97" s="87">
        <v>0.2</v>
      </c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189</v>
      </c>
      <c r="C98" s="60">
        <v>9</v>
      </c>
      <c r="D98" s="60" t="s">
        <v>64</v>
      </c>
      <c r="E98" s="87">
        <v>0.4</v>
      </c>
      <c r="F98" s="87">
        <v>0.4</v>
      </c>
      <c r="G98" s="87">
        <v>0</v>
      </c>
      <c r="H98" s="87">
        <v>0.2</v>
      </c>
      <c r="I98" s="53">
        <f t="shared" si="3"/>
        <v>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195</v>
      </c>
      <c r="C99" s="60">
        <v>10</v>
      </c>
      <c r="D99" s="60" t="s">
        <v>65</v>
      </c>
      <c r="E99" s="87">
        <v>0.4</v>
      </c>
      <c r="F99" s="87">
        <v>0.4</v>
      </c>
      <c r="G99" s="87">
        <v>0</v>
      </c>
      <c r="H99" s="87">
        <v>0.2</v>
      </c>
      <c r="I99" s="53">
        <f t="shared" si="3"/>
        <v>4.4000000000000004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201</v>
      </c>
      <c r="C100" s="60">
        <v>11</v>
      </c>
      <c r="D100" s="60" t="s">
        <v>66</v>
      </c>
      <c r="E100" s="65">
        <v>0.4</v>
      </c>
      <c r="F100" s="65">
        <v>0.4</v>
      </c>
      <c r="G100" s="65">
        <v>0</v>
      </c>
      <c r="H100" s="65">
        <v>0.2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204</v>
      </c>
      <c r="C101" s="60">
        <v>12</v>
      </c>
      <c r="D101" s="60" t="s">
        <v>67</v>
      </c>
      <c r="E101" s="65">
        <v>0.4</v>
      </c>
      <c r="F101" s="65">
        <v>0.4</v>
      </c>
      <c r="G101" s="65">
        <v>0</v>
      </c>
      <c r="H101" s="65">
        <v>0.2</v>
      </c>
      <c r="I101" s="53">
        <f t="shared" si="3"/>
        <v>3.4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208</v>
      </c>
      <c r="C102" s="60">
        <v>13</v>
      </c>
      <c r="D102" s="50" t="s">
        <v>68</v>
      </c>
      <c r="E102" s="54">
        <v>0.4</v>
      </c>
      <c r="F102" s="54">
        <v>0.4</v>
      </c>
      <c r="G102" s="54">
        <v>0</v>
      </c>
      <c r="H102" s="54">
        <v>0.2</v>
      </c>
      <c r="I102" s="53">
        <f t="shared" si="3"/>
        <v>3.2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211</v>
      </c>
      <c r="C103" s="60">
        <v>14</v>
      </c>
      <c r="D103" s="50" t="s">
        <v>69</v>
      </c>
      <c r="E103" s="54">
        <v>0.5</v>
      </c>
      <c r="F103" s="54">
        <v>0.4</v>
      </c>
      <c r="G103" s="54">
        <v>0</v>
      </c>
      <c r="H103" s="54">
        <v>0.1</v>
      </c>
      <c r="I103" s="53">
        <f t="shared" si="3"/>
        <v>2.8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215</v>
      </c>
      <c r="C104" s="60">
        <v>15</v>
      </c>
      <c r="D104" s="50" t="s">
        <v>69</v>
      </c>
      <c r="E104" s="54">
        <v>0.5</v>
      </c>
      <c r="F104" s="54">
        <v>0.4</v>
      </c>
      <c r="G104" s="54">
        <v>0</v>
      </c>
      <c r="H104" s="54">
        <v>0.1</v>
      </c>
      <c r="I104" s="53">
        <f t="shared" si="3"/>
        <v>2.8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95</v>
      </c>
      <c r="B105" s="50">
        <v>219</v>
      </c>
      <c r="C105" s="50">
        <v>16</v>
      </c>
      <c r="D105" s="50" t="s">
        <v>68</v>
      </c>
      <c r="E105" s="54">
        <v>0.5</v>
      </c>
      <c r="F105" s="54">
        <v>0.4</v>
      </c>
      <c r="G105" s="54">
        <v>0</v>
      </c>
      <c r="H105" s="54">
        <v>0.1</v>
      </c>
      <c r="I105" s="53">
        <f t="shared" si="3"/>
        <v>2.8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100</v>
      </c>
      <c r="B106" s="50">
        <v>223</v>
      </c>
      <c r="C106" s="50">
        <v>17</v>
      </c>
      <c r="D106" s="50" t="s">
        <v>68</v>
      </c>
      <c r="E106" s="54">
        <v>0.5</v>
      </c>
      <c r="F106" s="54">
        <v>0.4</v>
      </c>
      <c r="G106" s="54">
        <v>0</v>
      </c>
      <c r="H106" s="54">
        <v>0.1</v>
      </c>
      <c r="I106" s="53">
        <f t="shared" si="3"/>
        <v>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Chêne sessile</v>
      </c>
      <c r="D110" s="229" t="s">
        <v>46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47</v>
      </c>
      <c r="C112" s="258" t="s">
        <v>48</v>
      </c>
      <c r="D112" s="258"/>
      <c r="E112" s="259" t="s">
        <v>49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50</v>
      </c>
      <c r="B113" s="36" t="s">
        <v>51</v>
      </c>
      <c r="C113" s="48" t="s">
        <v>52</v>
      </c>
      <c r="D113" s="48" t="s">
        <v>53</v>
      </c>
      <c r="E113" s="36" t="s">
        <v>54</v>
      </c>
      <c r="F113" s="36" t="s">
        <v>55</v>
      </c>
      <c r="G113" s="36" t="s">
        <v>56</v>
      </c>
      <c r="H113" s="36" t="s">
        <v>57</v>
      </c>
      <c r="I113" s="48" t="s">
        <v>58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75.346153846153854</v>
      </c>
      <c r="C114" s="50" t="s">
        <v>70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2.5115384615384619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42</v>
      </c>
      <c r="B115" s="60">
        <v>141.09615384615384</v>
      </c>
      <c r="C115" s="50">
        <v>1</v>
      </c>
      <c r="D115" s="60">
        <v>38.685897435897438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5.4791666666666652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50</v>
      </c>
      <c r="B116" s="60">
        <v>159.55769230769232</v>
      </c>
      <c r="C116" s="50">
        <v>2</v>
      </c>
      <c r="D116" s="60">
        <v>29.416666666666664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7.143429487179489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58</v>
      </c>
      <c r="B117" s="60">
        <v>187.98717948717947</v>
      </c>
      <c r="C117" s="50">
        <v>3</v>
      </c>
      <c r="D117" s="60">
        <v>35.88461538461538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7.2307692307692264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66</v>
      </c>
      <c r="B118" s="60">
        <v>208.08333333333334</v>
      </c>
      <c r="C118" s="50">
        <v>4</v>
      </c>
      <c r="D118" s="60">
        <v>39.166666666666664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6.9975961538461569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74</v>
      </c>
      <c r="B119" s="60">
        <v>222.5128205128205</v>
      </c>
      <c r="C119" s="50">
        <v>5</v>
      </c>
      <c r="D119" s="60">
        <v>36.865384615384613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4"/>
        <v>6.6995192307692264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250.98717948717945</v>
      </c>
      <c r="C120" s="60">
        <v>6</v>
      </c>
      <c r="D120" s="60">
        <v>47.256410256410255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6.5339743589743566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94</v>
      </c>
      <c r="B121" s="60">
        <v>266.24358974358972</v>
      </c>
      <c r="C121" s="60">
        <v>7</v>
      </c>
      <c r="D121" s="60">
        <v>47.243589743589745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6.2512820512820522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104</v>
      </c>
      <c r="B122" s="60">
        <v>279.71794871794873</v>
      </c>
      <c r="C122" s="60">
        <v>8</v>
      </c>
      <c r="D122" s="60">
        <v>45.987179487179482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6.071794871794876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114</v>
      </c>
      <c r="B123" s="60">
        <v>293.59615384615381</v>
      </c>
      <c r="C123" s="60">
        <v>9</v>
      </c>
      <c r="D123" s="60">
        <v>42.78846153846154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5.9865384615384558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124</v>
      </c>
      <c r="B124" s="60">
        <v>310.96153846153845</v>
      </c>
      <c r="C124" s="60">
        <v>10</v>
      </c>
      <c r="D124" s="60">
        <v>39.820512820512818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6.0153846153846189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134</v>
      </c>
      <c r="B125" s="60">
        <v>331.85256410256414</v>
      </c>
      <c r="C125" s="60">
        <v>11</v>
      </c>
      <c r="D125" s="60">
        <v>41.666666666666664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6.0711538461538508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144</v>
      </c>
      <c r="B126" s="60">
        <v>351.5641025641026</v>
      </c>
      <c r="C126" s="60">
        <v>12</v>
      </c>
      <c r="D126" s="60">
        <v>42.224358974358978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6.1378205128205137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154</v>
      </c>
      <c r="B127" s="60">
        <v>371.83974358974359</v>
      </c>
      <c r="C127" s="60">
        <v>13</v>
      </c>
      <c r="D127" s="60">
        <v>41.557692307692307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6.2499999999999947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164</v>
      </c>
      <c r="B128" s="50">
        <v>393.6858974358974</v>
      </c>
      <c r="C128" s="50">
        <v>14</v>
      </c>
      <c r="D128" s="50">
        <v>44.814102564102562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6.3403846153846128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174</v>
      </c>
      <c r="B129" s="50">
        <v>413.05128205128204</v>
      </c>
      <c r="C129" s="50">
        <v>15</v>
      </c>
      <c r="D129" s="50">
        <v>162.38461538461539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6.4179487179487182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177</v>
      </c>
      <c r="B130" s="50">
        <v>262.96153846153845</v>
      </c>
      <c r="C130" s="50">
        <v>16</v>
      </c>
      <c r="D130" s="50">
        <v>87</v>
      </c>
      <c r="E130" s="54">
        <v>0.9</v>
      </c>
      <c r="F130" s="54">
        <v>0</v>
      </c>
      <c r="G130" s="54">
        <v>0</v>
      </c>
      <c r="H130" s="54">
        <v>0.1</v>
      </c>
      <c r="I130" s="53">
        <f t="shared" si="4"/>
        <v>4.0982905982905988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180</v>
      </c>
      <c r="B131" s="50">
        <v>183.50641025641025</v>
      </c>
      <c r="C131" s="50">
        <v>17</v>
      </c>
      <c r="D131" s="50">
        <v>58.794871794871796</v>
      </c>
      <c r="E131" s="54">
        <v>0.9</v>
      </c>
      <c r="F131" s="54">
        <v>0</v>
      </c>
      <c r="G131" s="54">
        <v>0</v>
      </c>
      <c r="H131" s="54">
        <v>0.1</v>
      </c>
      <c r="I131" s="53">
        <f t="shared" si="4"/>
        <v>2.5149572649572653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183</v>
      </c>
      <c r="B132" s="50">
        <v>129.32692307692307</v>
      </c>
      <c r="C132" s="50">
        <v>18</v>
      </c>
      <c r="D132" s="50">
        <v>129.32692307692307</v>
      </c>
      <c r="E132" s="54">
        <v>0.9</v>
      </c>
      <c r="F132" s="54">
        <v>0</v>
      </c>
      <c r="G132" s="54">
        <v>0</v>
      </c>
      <c r="H132" s="54">
        <v>0.1</v>
      </c>
      <c r="I132" s="53">
        <f t="shared" si="4"/>
        <v>1.5384615384615377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Pin taeda</v>
      </c>
      <c r="D136" s="229" t="s">
        <v>46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47</v>
      </c>
      <c r="C138" s="258" t="s">
        <v>48</v>
      </c>
      <c r="D138" s="258"/>
      <c r="E138" s="259" t="s">
        <v>49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50</v>
      </c>
      <c r="B139" s="36" t="s">
        <v>51</v>
      </c>
      <c r="C139" s="48" t="s">
        <v>52</v>
      </c>
      <c r="D139" s="48" t="s">
        <v>53</v>
      </c>
      <c r="E139" s="36" t="s">
        <v>54</v>
      </c>
      <c r="F139" s="36" t="s">
        <v>55</v>
      </c>
      <c r="G139" s="36" t="s">
        <v>56</v>
      </c>
      <c r="H139" s="36" t="s">
        <v>57</v>
      </c>
      <c r="I139" s="48" t="s">
        <v>58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17</v>
      </c>
      <c r="B140" s="60">
        <v>126.33076923076922</v>
      </c>
      <c r="C140" s="50">
        <v>1</v>
      </c>
      <c r="D140" s="60">
        <v>42.084615384615383</v>
      </c>
      <c r="E140" s="51">
        <v>0</v>
      </c>
      <c r="F140" s="51">
        <v>0.56000000000000005</v>
      </c>
      <c r="G140" s="51">
        <v>0.44</v>
      </c>
      <c r="H140" s="51">
        <v>0</v>
      </c>
      <c r="I140" s="57">
        <f>IFERROR(B140/A140,"")</f>
        <v>7.4312217194570129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23</v>
      </c>
      <c r="B141" s="60">
        <v>173.80769230769229</v>
      </c>
      <c r="C141" s="50">
        <v>2</v>
      </c>
      <c r="D141" s="60">
        <v>54.099999999999994</v>
      </c>
      <c r="E141" s="51">
        <v>0</v>
      </c>
      <c r="F141" s="51">
        <v>0.56000000000000005</v>
      </c>
      <c r="G141" s="51">
        <v>0.44</v>
      </c>
      <c r="H141" s="51">
        <v>0</v>
      </c>
      <c r="I141" s="57">
        <f t="shared" ref="I141:I159" si="5">IF(A141&lt;&gt;0,(B141-(B140-D140))/(A141-A140),"")</f>
        <v>14.926923076923075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29</v>
      </c>
      <c r="B142" s="60">
        <v>210.14615384615385</v>
      </c>
      <c r="C142" s="50">
        <v>3</v>
      </c>
      <c r="D142" s="60">
        <v>47.661538461538463</v>
      </c>
      <c r="E142" s="51">
        <v>0.7</v>
      </c>
      <c r="F142" s="51">
        <v>0.16800000000000001</v>
      </c>
      <c r="G142" s="51">
        <v>0.13200000000000001</v>
      </c>
      <c r="H142" s="51">
        <v>0</v>
      </c>
      <c r="I142" s="57">
        <f t="shared" si="5"/>
        <v>15.073076923076925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176.66153846153844</v>
      </c>
      <c r="C143" s="50" t="s">
        <v>70</v>
      </c>
      <c r="D143" s="60">
        <v>0</v>
      </c>
      <c r="E143" s="51">
        <v>0</v>
      </c>
      <c r="F143" s="51">
        <v>0</v>
      </c>
      <c r="G143" s="51">
        <v>0</v>
      </c>
      <c r="H143" s="51">
        <v>0</v>
      </c>
      <c r="I143" s="57">
        <f t="shared" si="5"/>
        <v>14.17692307692306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36</v>
      </c>
      <c r="B144" s="60">
        <v>262.57692307692309</v>
      </c>
      <c r="C144" s="50">
        <v>4</v>
      </c>
      <c r="D144" s="60">
        <v>64.553846153846152</v>
      </c>
      <c r="E144" s="51">
        <v>0.7</v>
      </c>
      <c r="F144" s="51">
        <v>0.16800000000000001</v>
      </c>
      <c r="G144" s="51">
        <v>0.13200000000000001</v>
      </c>
      <c r="H144" s="51">
        <v>0</v>
      </c>
      <c r="I144" s="57">
        <f t="shared" si="5"/>
        <v>14.319230769230776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44</v>
      </c>
      <c r="B145" s="60">
        <v>303.15384615384613</v>
      </c>
      <c r="C145" s="50">
        <v>5</v>
      </c>
      <c r="D145" s="60">
        <v>64.476923076923072</v>
      </c>
      <c r="E145" s="51">
        <v>0.7</v>
      </c>
      <c r="F145" s="51">
        <v>0.16800000000000001</v>
      </c>
      <c r="G145" s="51">
        <v>0.13200000000000001</v>
      </c>
      <c r="H145" s="51">
        <v>0</v>
      </c>
      <c r="I145" s="57">
        <f t="shared" si="5"/>
        <v>13.14134615384615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52</v>
      </c>
      <c r="B146" s="60">
        <v>331.81538461538463</v>
      </c>
      <c r="C146" s="50">
        <v>6</v>
      </c>
      <c r="D146" s="60">
        <v>61.784615384615378</v>
      </c>
      <c r="E146" s="51">
        <v>0.7</v>
      </c>
      <c r="F146" s="51">
        <v>0.16800000000000001</v>
      </c>
      <c r="G146" s="51">
        <v>0.13200000000000001</v>
      </c>
      <c r="H146" s="51">
        <v>0</v>
      </c>
      <c r="I146" s="57">
        <f t="shared" si="5"/>
        <v>11.642307692307696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60</v>
      </c>
      <c r="B147" s="60">
        <v>353.5</v>
      </c>
      <c r="C147" s="50">
        <v>7</v>
      </c>
      <c r="D147" s="60">
        <v>353.5</v>
      </c>
      <c r="E147" s="51">
        <v>0.7</v>
      </c>
      <c r="F147" s="51">
        <v>0.16800000000000001</v>
      </c>
      <c r="G147" s="51">
        <v>0.13200000000000001</v>
      </c>
      <c r="H147" s="51">
        <v>0</v>
      </c>
      <c r="I147" s="57">
        <f>IF(A147&lt;&gt;0,(B147-(B146-D146))/(A147-A146),"")</f>
        <v>10.433653846153845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>Charme</v>
      </c>
      <c r="D162" s="229" t="s">
        <v>46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47</v>
      </c>
      <c r="C164" s="258" t="s">
        <v>48</v>
      </c>
      <c r="D164" s="258"/>
      <c r="E164" s="259" t="s">
        <v>49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50</v>
      </c>
      <c r="B165" s="36" t="s">
        <v>51</v>
      </c>
      <c r="C165" s="48" t="s">
        <v>52</v>
      </c>
      <c r="D165" s="48" t="s">
        <v>53</v>
      </c>
      <c r="E165" s="36" t="s">
        <v>54</v>
      </c>
      <c r="F165" s="36" t="s">
        <v>55</v>
      </c>
      <c r="G165" s="36" t="s">
        <v>56</v>
      </c>
      <c r="H165" s="36" t="s">
        <v>57</v>
      </c>
      <c r="I165" s="48" t="s">
        <v>58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30</v>
      </c>
      <c r="B166" s="60">
        <v>75.346153846153854</v>
      </c>
      <c r="C166" s="60" t="s">
        <v>70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2.5115384615384619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42</v>
      </c>
      <c r="B167" s="60">
        <v>141.09615384615384</v>
      </c>
      <c r="C167" s="60">
        <v>1</v>
      </c>
      <c r="D167" s="60">
        <v>38.685897435897438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5.4791666666666652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50</v>
      </c>
      <c r="B168" s="60">
        <v>159.55769230769232</v>
      </c>
      <c r="C168" s="60">
        <v>2</v>
      </c>
      <c r="D168" s="60">
        <v>29.416666666666664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7.143429487179489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58</v>
      </c>
      <c r="B169" s="60">
        <v>187.98717948717947</v>
      </c>
      <c r="C169" s="60">
        <v>3</v>
      </c>
      <c r="D169" s="60">
        <v>35.88461538461538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7.2307692307692264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66</v>
      </c>
      <c r="B170" s="60">
        <v>208.08333333333334</v>
      </c>
      <c r="C170" s="60">
        <v>4</v>
      </c>
      <c r="D170" s="60">
        <v>39.166666666666664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6.9975961538461569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74</v>
      </c>
      <c r="B171" s="60">
        <v>222.5128205128205</v>
      </c>
      <c r="C171" s="60">
        <v>5</v>
      </c>
      <c r="D171" s="60">
        <v>36.865384615384613</v>
      </c>
      <c r="E171" s="51">
        <v>0</v>
      </c>
      <c r="F171" s="51">
        <v>0</v>
      </c>
      <c r="G171" s="51">
        <v>0</v>
      </c>
      <c r="H171" s="51">
        <v>1</v>
      </c>
      <c r="I171" s="49">
        <f t="shared" si="6"/>
        <v>6.6995192307692264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84</v>
      </c>
      <c r="B172" s="60">
        <v>250.98717948717945</v>
      </c>
      <c r="C172" s="60">
        <v>6</v>
      </c>
      <c r="D172" s="60">
        <v>47.256410256410255</v>
      </c>
      <c r="E172" s="51">
        <v>0.7</v>
      </c>
      <c r="F172" s="51">
        <v>0</v>
      </c>
      <c r="G172" s="51">
        <v>0</v>
      </c>
      <c r="H172" s="51">
        <v>0.3</v>
      </c>
      <c r="I172" s="49">
        <f t="shared" si="6"/>
        <v>6.5339743589743566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94</v>
      </c>
      <c r="B173" s="50">
        <v>266.24358974358972</v>
      </c>
      <c r="C173" s="50">
        <v>7</v>
      </c>
      <c r="D173" s="50">
        <v>47.243589743589745</v>
      </c>
      <c r="E173" s="51">
        <v>0.7</v>
      </c>
      <c r="F173" s="51">
        <v>0</v>
      </c>
      <c r="G173" s="51">
        <v>0</v>
      </c>
      <c r="H173" s="51">
        <v>0.3</v>
      </c>
      <c r="I173" s="49">
        <f t="shared" si="6"/>
        <v>6.2512820512820522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104</v>
      </c>
      <c r="B174" s="50">
        <v>279.71794871794873</v>
      </c>
      <c r="C174" s="50">
        <v>8</v>
      </c>
      <c r="D174" s="50">
        <v>45.987179487179482</v>
      </c>
      <c r="E174" s="51">
        <v>0.7</v>
      </c>
      <c r="F174" s="51">
        <v>0</v>
      </c>
      <c r="G174" s="51">
        <v>0</v>
      </c>
      <c r="H174" s="51">
        <v>0.3</v>
      </c>
      <c r="I174" s="49">
        <f t="shared" si="6"/>
        <v>6.071794871794876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114</v>
      </c>
      <c r="B175" s="50">
        <v>293.59615384615381</v>
      </c>
      <c r="C175" s="50">
        <v>9</v>
      </c>
      <c r="D175" s="50">
        <v>42.78846153846154</v>
      </c>
      <c r="E175" s="51">
        <v>0.7</v>
      </c>
      <c r="F175" s="51">
        <v>0</v>
      </c>
      <c r="G175" s="51">
        <v>0</v>
      </c>
      <c r="H175" s="51">
        <v>0.3</v>
      </c>
      <c r="I175" s="49">
        <f t="shared" si="6"/>
        <v>5.9865384615384558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124</v>
      </c>
      <c r="B176" s="50">
        <v>310.96153846153845</v>
      </c>
      <c r="C176" s="50">
        <v>10</v>
      </c>
      <c r="D176" s="50">
        <v>39.820512820512818</v>
      </c>
      <c r="E176" s="51">
        <v>0.7</v>
      </c>
      <c r="F176" s="51">
        <v>0</v>
      </c>
      <c r="G176" s="51">
        <v>0</v>
      </c>
      <c r="H176" s="51">
        <v>0.3</v>
      </c>
      <c r="I176" s="49">
        <f t="shared" si="6"/>
        <v>6.0153846153846189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134</v>
      </c>
      <c r="B177" s="50">
        <v>331.85256410256414</v>
      </c>
      <c r="C177" s="50">
        <v>11</v>
      </c>
      <c r="D177" s="50">
        <v>41.666666666666664</v>
      </c>
      <c r="E177" s="51">
        <v>0.7</v>
      </c>
      <c r="F177" s="51">
        <v>0</v>
      </c>
      <c r="G177" s="51">
        <v>0</v>
      </c>
      <c r="H177" s="51">
        <v>0.3</v>
      </c>
      <c r="I177" s="49">
        <f t="shared" si="6"/>
        <v>6.0711538461538508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144</v>
      </c>
      <c r="B178" s="50">
        <v>351.5641025641026</v>
      </c>
      <c r="C178" s="50">
        <v>12</v>
      </c>
      <c r="D178" s="50">
        <v>42.224358974358978</v>
      </c>
      <c r="E178" s="51">
        <v>0.9</v>
      </c>
      <c r="F178" s="51">
        <v>0</v>
      </c>
      <c r="G178" s="51">
        <v>0</v>
      </c>
      <c r="H178" s="51">
        <v>0.1</v>
      </c>
      <c r="I178" s="49">
        <f t="shared" si="6"/>
        <v>6.1378205128205137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154</v>
      </c>
      <c r="B179" s="50">
        <v>371.83974358974359</v>
      </c>
      <c r="C179" s="50">
        <v>13</v>
      </c>
      <c r="D179" s="50">
        <v>41.557692307692307</v>
      </c>
      <c r="E179" s="51">
        <v>0.9</v>
      </c>
      <c r="F179" s="51">
        <v>0</v>
      </c>
      <c r="G179" s="51">
        <v>0</v>
      </c>
      <c r="H179" s="51">
        <v>0.1</v>
      </c>
      <c r="I179" s="49">
        <f t="shared" si="6"/>
        <v>6.2499999999999947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164</v>
      </c>
      <c r="B180" s="50">
        <v>393.6858974358974</v>
      </c>
      <c r="C180" s="50">
        <v>14</v>
      </c>
      <c r="D180" s="50">
        <v>44.814102564102562</v>
      </c>
      <c r="E180" s="51">
        <v>0.9</v>
      </c>
      <c r="F180" s="51">
        <v>0</v>
      </c>
      <c r="G180" s="51">
        <v>0</v>
      </c>
      <c r="H180" s="51">
        <v>0.1</v>
      </c>
      <c r="I180" s="49">
        <f t="shared" si="6"/>
        <v>6.3403846153846128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174</v>
      </c>
      <c r="B181" s="50">
        <v>413.05128205128204</v>
      </c>
      <c r="C181" s="50">
        <v>15</v>
      </c>
      <c r="D181" s="50">
        <v>162.38461538461539</v>
      </c>
      <c r="E181" s="51">
        <v>0.9</v>
      </c>
      <c r="F181" s="51">
        <v>0</v>
      </c>
      <c r="G181" s="51">
        <v>0</v>
      </c>
      <c r="H181" s="51">
        <v>0.1</v>
      </c>
      <c r="I181" s="49">
        <f t="shared" si="6"/>
        <v>6.4179487179487182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177</v>
      </c>
      <c r="B182" s="50">
        <v>262.96153846153845</v>
      </c>
      <c r="C182" s="50">
        <v>16</v>
      </c>
      <c r="D182" s="50">
        <v>87</v>
      </c>
      <c r="E182" s="51">
        <v>0.9</v>
      </c>
      <c r="F182" s="51">
        <v>0</v>
      </c>
      <c r="G182" s="51">
        <v>0</v>
      </c>
      <c r="H182" s="51">
        <v>0.1</v>
      </c>
      <c r="I182" s="49">
        <f t="shared" si="6"/>
        <v>4.0982905982905988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180</v>
      </c>
      <c r="B183" s="50">
        <v>183.50641025641025</v>
      </c>
      <c r="C183" s="50">
        <v>17</v>
      </c>
      <c r="D183" s="50">
        <v>58.794871794871796</v>
      </c>
      <c r="E183" s="51">
        <v>0.9</v>
      </c>
      <c r="F183" s="51">
        <v>0</v>
      </c>
      <c r="G183" s="51">
        <v>0</v>
      </c>
      <c r="H183" s="51">
        <v>0.1</v>
      </c>
      <c r="I183" s="49">
        <f t="shared" si="6"/>
        <v>2.5149572649572653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183</v>
      </c>
      <c r="B184" s="50">
        <v>129.32692307692307</v>
      </c>
      <c r="C184" s="50">
        <v>18</v>
      </c>
      <c r="D184" s="50">
        <v>129.32692307692307</v>
      </c>
      <c r="E184" s="51">
        <v>0.9</v>
      </c>
      <c r="F184" s="51">
        <v>0</v>
      </c>
      <c r="G184" s="51">
        <v>0</v>
      </c>
      <c r="H184" s="51">
        <v>0.1</v>
      </c>
      <c r="I184" s="49">
        <f t="shared" si="6"/>
        <v>1.5384615384615377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28</v>
      </c>
      <c r="B188" s="52" t="str">
        <f>IF(B15="","",B15)</f>
        <v/>
      </c>
      <c r="D188" s="229" t="s">
        <v>46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47</v>
      </c>
      <c r="C190" s="258" t="s">
        <v>48</v>
      </c>
      <c r="D190" s="258"/>
      <c r="E190" s="259" t="s">
        <v>49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50</v>
      </c>
      <c r="B191" s="36" t="s">
        <v>51</v>
      </c>
      <c r="C191" s="48" t="s">
        <v>52</v>
      </c>
      <c r="D191" s="48" t="s">
        <v>53</v>
      </c>
      <c r="E191" s="36" t="s">
        <v>54</v>
      </c>
      <c r="F191" s="36" t="s">
        <v>55</v>
      </c>
      <c r="G191" s="36" t="s">
        <v>56</v>
      </c>
      <c r="H191" s="36" t="s">
        <v>57</v>
      </c>
      <c r="I191" s="48" t="s">
        <v>58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29</v>
      </c>
      <c r="B214" s="52" t="str">
        <f>IF(B16="","",B16)</f>
        <v/>
      </c>
      <c r="D214" s="229" t="s">
        <v>46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47</v>
      </c>
      <c r="C216" s="258" t="s">
        <v>48</v>
      </c>
      <c r="D216" s="258"/>
      <c r="E216" s="259" t="s">
        <v>49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50</v>
      </c>
      <c r="B217" s="36" t="s">
        <v>51</v>
      </c>
      <c r="C217" s="48" t="s">
        <v>52</v>
      </c>
      <c r="D217" s="48" t="s">
        <v>53</v>
      </c>
      <c r="E217" s="36" t="s">
        <v>54</v>
      </c>
      <c r="F217" s="36" t="s">
        <v>55</v>
      </c>
      <c r="G217" s="36" t="s">
        <v>56</v>
      </c>
      <c r="H217" s="36" t="s">
        <v>57</v>
      </c>
      <c r="I217" s="48" t="s">
        <v>58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30</v>
      </c>
      <c r="B240" s="52" t="str">
        <f>IF(B17="","",B17)</f>
        <v/>
      </c>
      <c r="D240" s="229" t="s">
        <v>46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47</v>
      </c>
      <c r="C242" s="258" t="s">
        <v>48</v>
      </c>
      <c r="D242" s="258"/>
      <c r="E242" s="259" t="s">
        <v>49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50</v>
      </c>
      <c r="B243" s="36" t="s">
        <v>51</v>
      </c>
      <c r="C243" s="48" t="s">
        <v>52</v>
      </c>
      <c r="D243" s="48" t="s">
        <v>53</v>
      </c>
      <c r="E243" s="36" t="s">
        <v>54</v>
      </c>
      <c r="F243" s="36" t="s">
        <v>55</v>
      </c>
      <c r="G243" s="36" t="s">
        <v>56</v>
      </c>
      <c r="H243" s="36" t="s">
        <v>57</v>
      </c>
      <c r="I243" s="48" t="s">
        <v>58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31</v>
      </c>
      <c r="B266" s="52" t="str">
        <f>IF(B18="","",B18)</f>
        <v/>
      </c>
      <c r="D266" s="229" t="s">
        <v>46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47</v>
      </c>
      <c r="C268" s="258" t="s">
        <v>48</v>
      </c>
      <c r="D268" s="258"/>
      <c r="E268" s="259" t="s">
        <v>49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50</v>
      </c>
      <c r="B269" s="36" t="s">
        <v>51</v>
      </c>
      <c r="C269" s="48" t="s">
        <v>52</v>
      </c>
      <c r="D269" s="48" t="s">
        <v>53</v>
      </c>
      <c r="E269" s="36" t="s">
        <v>54</v>
      </c>
      <c r="F269" s="36" t="s">
        <v>55</v>
      </c>
      <c r="G269" s="36" t="s">
        <v>56</v>
      </c>
      <c r="H269" s="36" t="s">
        <v>57</v>
      </c>
      <c r="I269" s="48" t="s">
        <v>58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Normal="100" workbookViewId="0">
      <selection activeCell="G18" sqref="G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71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72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73</v>
      </c>
      <c r="C7" s="100" t="s">
        <v>74</v>
      </c>
      <c r="D7" s="215"/>
      <c r="E7" s="101"/>
      <c r="F7" s="26" t="s">
        <v>73</v>
      </c>
      <c r="G7" s="100" t="s">
        <v>75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76</v>
      </c>
      <c r="D8" s="23"/>
      <c r="E8" s="105">
        <v>4</v>
      </c>
      <c r="F8" s="61">
        <v>1</v>
      </c>
      <c r="G8" s="102" t="s">
        <v>77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78</v>
      </c>
      <c r="D9" s="23"/>
      <c r="E9" s="105">
        <v>5</v>
      </c>
      <c r="F9" s="61">
        <v>0</v>
      </c>
      <c r="G9" s="103" t="s">
        <v>79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80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81</v>
      </c>
      <c r="D13" s="216"/>
      <c r="E13" s="99"/>
      <c r="F13" s="107"/>
      <c r="G13" s="98" t="s">
        <v>82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83</v>
      </c>
      <c r="D14" s="216"/>
      <c r="E14" s="99"/>
      <c r="F14" s="107"/>
      <c r="G14" s="98" t="s">
        <v>84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73</v>
      </c>
      <c r="C15" s="4"/>
      <c r="D15" s="23"/>
      <c r="E15" s="4"/>
      <c r="F15" s="4"/>
      <c r="G15" s="2" t="s">
        <v>85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86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87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88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89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taeda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Charme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90</v>
      </c>
      <c r="B2" s="72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66" t="s">
        <v>97</v>
      </c>
      <c r="I2" s="68" t="s">
        <v>94</v>
      </c>
      <c r="J2" s="69" t="s">
        <v>95</v>
      </c>
      <c r="K2" s="6" t="s">
        <v>98</v>
      </c>
      <c r="L2" s="6" t="s">
        <v>99</v>
      </c>
      <c r="M2" s="6" t="s">
        <v>99</v>
      </c>
      <c r="N2" s="6" t="s">
        <v>100</v>
      </c>
      <c r="O2" s="6" t="s">
        <v>101</v>
      </c>
      <c r="P2" s="6" t="s">
        <v>102</v>
      </c>
      <c r="Q2" s="6" t="s">
        <v>96</v>
      </c>
      <c r="R2" s="6" t="s">
        <v>103</v>
      </c>
      <c r="S2" s="6" t="s">
        <v>104</v>
      </c>
      <c r="T2" s="6" t="s">
        <v>105</v>
      </c>
      <c r="U2" s="7" t="s">
        <v>106</v>
      </c>
      <c r="V2" s="8" t="s">
        <v>107</v>
      </c>
      <c r="W2" s="7" t="s">
        <v>54</v>
      </c>
      <c r="X2" s="7" t="s">
        <v>55</v>
      </c>
      <c r="Y2" s="7" t="s">
        <v>108</v>
      </c>
      <c r="Z2" s="8" t="s">
        <v>109</v>
      </c>
      <c r="AA2" s="8" t="s">
        <v>110</v>
      </c>
      <c r="AB2" s="8" t="s">
        <v>111</v>
      </c>
      <c r="AC2" s="9" t="s">
        <v>112</v>
      </c>
      <c r="AD2" s="69" t="s">
        <v>94</v>
      </c>
      <c r="AE2" s="69" t="s">
        <v>95</v>
      </c>
      <c r="AF2" s="6" t="s">
        <v>98</v>
      </c>
      <c r="AG2" s="6" t="s">
        <v>99</v>
      </c>
      <c r="AH2" s="6" t="s">
        <v>99</v>
      </c>
      <c r="AI2" s="6" t="s">
        <v>100</v>
      </c>
      <c r="AJ2" s="6" t="s">
        <v>101</v>
      </c>
      <c r="AK2" s="6" t="s">
        <v>102</v>
      </c>
      <c r="AL2" s="6" t="s">
        <v>96</v>
      </c>
      <c r="AM2" s="6" t="s">
        <v>103</v>
      </c>
      <c r="AN2" s="6" t="s">
        <v>104</v>
      </c>
      <c r="AO2" s="6" t="s">
        <v>105</v>
      </c>
      <c r="AP2" s="7" t="s">
        <v>106</v>
      </c>
      <c r="AQ2" s="8" t="s">
        <v>107</v>
      </c>
      <c r="AR2" s="7" t="s">
        <v>54</v>
      </c>
      <c r="AS2" s="7" t="s">
        <v>55</v>
      </c>
      <c r="AT2" s="8" t="s">
        <v>113</v>
      </c>
      <c r="AU2" s="8" t="s">
        <v>109</v>
      </c>
      <c r="AV2" s="8" t="s">
        <v>110</v>
      </c>
      <c r="AW2" s="8" t="s">
        <v>111</v>
      </c>
      <c r="AX2" s="8" t="s">
        <v>112</v>
      </c>
      <c r="AY2" s="68" t="s">
        <v>94</v>
      </c>
      <c r="AZ2" s="69" t="s">
        <v>95</v>
      </c>
      <c r="BA2" s="6" t="s">
        <v>98</v>
      </c>
      <c r="BB2" s="6" t="s">
        <v>99</v>
      </c>
      <c r="BC2" s="6" t="s">
        <v>99</v>
      </c>
      <c r="BD2" s="6" t="s">
        <v>100</v>
      </c>
      <c r="BE2" s="6" t="s">
        <v>101</v>
      </c>
      <c r="BF2" s="6" t="s">
        <v>102</v>
      </c>
      <c r="BG2" s="6" t="s">
        <v>96</v>
      </c>
      <c r="BH2" s="6" t="s">
        <v>103</v>
      </c>
      <c r="BI2" s="6" t="s">
        <v>104</v>
      </c>
      <c r="BJ2" s="6" t="s">
        <v>105</v>
      </c>
      <c r="BK2" s="7" t="s">
        <v>106</v>
      </c>
      <c r="BL2" s="8" t="s">
        <v>107</v>
      </c>
      <c r="BM2" s="7" t="s">
        <v>54</v>
      </c>
      <c r="BN2" s="7" t="s">
        <v>55</v>
      </c>
      <c r="BO2" s="8" t="s">
        <v>113</v>
      </c>
      <c r="BP2" s="8" t="s">
        <v>109</v>
      </c>
      <c r="BQ2" s="8" t="s">
        <v>110</v>
      </c>
      <c r="BR2" s="8" t="s">
        <v>111</v>
      </c>
      <c r="BS2" s="9" t="s">
        <v>112</v>
      </c>
      <c r="BT2" s="68" t="s">
        <v>94</v>
      </c>
      <c r="BU2" s="69" t="s">
        <v>95</v>
      </c>
      <c r="BV2" s="6" t="s">
        <v>98</v>
      </c>
      <c r="BW2" s="6" t="s">
        <v>99</v>
      </c>
      <c r="BX2" s="6" t="s">
        <v>99</v>
      </c>
      <c r="BY2" s="6" t="s">
        <v>100</v>
      </c>
      <c r="BZ2" s="6" t="s">
        <v>101</v>
      </c>
      <c r="CA2" s="6" t="s">
        <v>102</v>
      </c>
      <c r="CB2" s="6" t="s">
        <v>96</v>
      </c>
      <c r="CC2" s="6" t="s">
        <v>103</v>
      </c>
      <c r="CD2" s="6" t="s">
        <v>104</v>
      </c>
      <c r="CE2" s="6" t="s">
        <v>105</v>
      </c>
      <c r="CF2" s="7" t="s">
        <v>106</v>
      </c>
      <c r="CG2" s="8" t="s">
        <v>107</v>
      </c>
      <c r="CH2" s="7" t="s">
        <v>54</v>
      </c>
      <c r="CI2" s="7" t="s">
        <v>55</v>
      </c>
      <c r="CJ2" s="8" t="s">
        <v>113</v>
      </c>
      <c r="CK2" s="8" t="s">
        <v>109</v>
      </c>
      <c r="CL2" s="8" t="s">
        <v>110</v>
      </c>
      <c r="CM2" s="8" t="s">
        <v>111</v>
      </c>
      <c r="CN2" s="9" t="s">
        <v>112</v>
      </c>
      <c r="CO2" s="68" t="s">
        <v>94</v>
      </c>
      <c r="CP2" s="69" t="s">
        <v>95</v>
      </c>
      <c r="CQ2" s="6" t="s">
        <v>98</v>
      </c>
      <c r="CR2" s="6" t="s">
        <v>99</v>
      </c>
      <c r="CS2" s="6" t="s">
        <v>99</v>
      </c>
      <c r="CT2" s="6" t="s">
        <v>100</v>
      </c>
      <c r="CU2" s="6" t="s">
        <v>101</v>
      </c>
      <c r="CV2" s="6" t="s">
        <v>102</v>
      </c>
      <c r="CW2" s="6" t="s">
        <v>96</v>
      </c>
      <c r="CX2" s="6" t="s">
        <v>103</v>
      </c>
      <c r="CY2" s="6" t="s">
        <v>104</v>
      </c>
      <c r="CZ2" s="6" t="s">
        <v>105</v>
      </c>
      <c r="DA2" s="7" t="s">
        <v>106</v>
      </c>
      <c r="DB2" s="8" t="s">
        <v>107</v>
      </c>
      <c r="DC2" s="7" t="s">
        <v>54</v>
      </c>
      <c r="DD2" s="7" t="s">
        <v>55</v>
      </c>
      <c r="DE2" s="8" t="s">
        <v>113</v>
      </c>
      <c r="DF2" s="8" t="s">
        <v>109</v>
      </c>
      <c r="DG2" s="8" t="s">
        <v>110</v>
      </c>
      <c r="DH2" s="8" t="s">
        <v>111</v>
      </c>
      <c r="DI2" s="9" t="s">
        <v>112</v>
      </c>
      <c r="DJ2" s="68" t="s">
        <v>94</v>
      </c>
      <c r="DK2" s="69" t="s">
        <v>95</v>
      </c>
      <c r="DL2" s="6" t="s">
        <v>98</v>
      </c>
      <c r="DM2" s="6" t="s">
        <v>99</v>
      </c>
      <c r="DN2" s="6" t="s">
        <v>99</v>
      </c>
      <c r="DO2" s="6" t="s">
        <v>100</v>
      </c>
      <c r="DP2" s="6" t="s">
        <v>101</v>
      </c>
      <c r="DQ2" s="6" t="s">
        <v>102</v>
      </c>
      <c r="DR2" s="6" t="s">
        <v>96</v>
      </c>
      <c r="DS2" s="6" t="s">
        <v>103</v>
      </c>
      <c r="DT2" s="6" t="s">
        <v>104</v>
      </c>
      <c r="DU2" s="6" t="s">
        <v>105</v>
      </c>
      <c r="DV2" s="7" t="s">
        <v>106</v>
      </c>
      <c r="DW2" s="8" t="s">
        <v>107</v>
      </c>
      <c r="DX2" s="7" t="s">
        <v>54</v>
      </c>
      <c r="DY2" s="7" t="s">
        <v>55</v>
      </c>
      <c r="DZ2" s="8" t="s">
        <v>113</v>
      </c>
      <c r="EA2" s="8" t="s">
        <v>109</v>
      </c>
      <c r="EB2" s="8" t="s">
        <v>110</v>
      </c>
      <c r="EC2" s="8" t="s">
        <v>111</v>
      </c>
      <c r="ED2" s="9" t="s">
        <v>112</v>
      </c>
      <c r="EE2" s="68" t="s">
        <v>94</v>
      </c>
      <c r="EF2" s="69" t="s">
        <v>95</v>
      </c>
      <c r="EG2" s="6" t="s">
        <v>98</v>
      </c>
      <c r="EH2" s="6" t="s">
        <v>99</v>
      </c>
      <c r="EI2" s="6" t="s">
        <v>99</v>
      </c>
      <c r="EJ2" s="6" t="s">
        <v>100</v>
      </c>
      <c r="EK2" s="6" t="s">
        <v>101</v>
      </c>
      <c r="EL2" s="6" t="s">
        <v>102</v>
      </c>
      <c r="EM2" s="6" t="s">
        <v>96</v>
      </c>
      <c r="EN2" s="6" t="s">
        <v>103</v>
      </c>
      <c r="EO2" s="6" t="s">
        <v>104</v>
      </c>
      <c r="EP2" s="6" t="s">
        <v>105</v>
      </c>
      <c r="EQ2" s="7" t="s">
        <v>106</v>
      </c>
      <c r="ER2" s="8" t="s">
        <v>107</v>
      </c>
      <c r="ES2" s="7" t="s">
        <v>54</v>
      </c>
      <c r="ET2" s="7" t="s">
        <v>55</v>
      </c>
      <c r="EU2" s="8" t="s">
        <v>113</v>
      </c>
      <c r="EV2" s="8" t="s">
        <v>109</v>
      </c>
      <c r="EW2" s="8" t="s">
        <v>110</v>
      </c>
      <c r="EX2" s="8" t="s">
        <v>111</v>
      </c>
      <c r="EY2" s="9" t="s">
        <v>112</v>
      </c>
      <c r="EZ2" s="68" t="s">
        <v>94</v>
      </c>
      <c r="FA2" s="69" t="s">
        <v>95</v>
      </c>
      <c r="FB2" s="6" t="s">
        <v>98</v>
      </c>
      <c r="FC2" s="6" t="s">
        <v>99</v>
      </c>
      <c r="FD2" s="6" t="s">
        <v>99</v>
      </c>
      <c r="FE2" s="6" t="s">
        <v>100</v>
      </c>
      <c r="FF2" s="6" t="s">
        <v>101</v>
      </c>
      <c r="FG2" s="6" t="s">
        <v>102</v>
      </c>
      <c r="FH2" s="6" t="s">
        <v>96</v>
      </c>
      <c r="FI2" s="6" t="s">
        <v>103</v>
      </c>
      <c r="FJ2" s="6" t="s">
        <v>104</v>
      </c>
      <c r="FK2" s="6" t="s">
        <v>105</v>
      </c>
      <c r="FL2" s="7" t="s">
        <v>106</v>
      </c>
      <c r="FM2" s="8" t="s">
        <v>107</v>
      </c>
      <c r="FN2" s="7" t="s">
        <v>54</v>
      </c>
      <c r="FO2" s="7" t="s">
        <v>55</v>
      </c>
      <c r="FP2" s="8" t="s">
        <v>114</v>
      </c>
      <c r="FQ2" s="8" t="s">
        <v>109</v>
      </c>
      <c r="FR2" s="8" t="s">
        <v>110</v>
      </c>
      <c r="FS2" s="8" t="s">
        <v>111</v>
      </c>
      <c r="FT2" s="9" t="s">
        <v>112</v>
      </c>
      <c r="FU2" s="68" t="s">
        <v>94</v>
      </c>
      <c r="FV2" s="69" t="s">
        <v>95</v>
      </c>
      <c r="FW2" s="6" t="s">
        <v>98</v>
      </c>
      <c r="FX2" s="6" t="s">
        <v>99</v>
      </c>
      <c r="FY2" s="6" t="s">
        <v>99</v>
      </c>
      <c r="FZ2" s="6" t="s">
        <v>100</v>
      </c>
      <c r="GA2" s="6" t="s">
        <v>101</v>
      </c>
      <c r="GB2" s="6" t="s">
        <v>102</v>
      </c>
      <c r="GC2" s="6" t="s">
        <v>96</v>
      </c>
      <c r="GD2" s="6" t="s">
        <v>103</v>
      </c>
      <c r="GE2" s="6" t="s">
        <v>104</v>
      </c>
      <c r="GF2" s="6" t="s">
        <v>105</v>
      </c>
      <c r="GG2" s="7" t="s">
        <v>106</v>
      </c>
      <c r="GH2" s="8" t="s">
        <v>107</v>
      </c>
      <c r="GI2" s="7" t="s">
        <v>54</v>
      </c>
      <c r="GJ2" s="7" t="s">
        <v>55</v>
      </c>
      <c r="GK2" s="8" t="s">
        <v>113</v>
      </c>
      <c r="GL2" s="8" t="s">
        <v>109</v>
      </c>
      <c r="GM2" s="8" t="s">
        <v>110</v>
      </c>
      <c r="GN2" s="8" t="s">
        <v>111</v>
      </c>
      <c r="GO2" s="8" t="s">
        <v>112</v>
      </c>
      <c r="GP2" s="68" t="s">
        <v>94</v>
      </c>
      <c r="GQ2" s="69" t="s">
        <v>95</v>
      </c>
      <c r="GR2" s="6" t="s">
        <v>98</v>
      </c>
      <c r="GS2" s="6" t="s">
        <v>99</v>
      </c>
      <c r="GT2" s="6" t="s">
        <v>99</v>
      </c>
      <c r="GU2" s="6" t="s">
        <v>100</v>
      </c>
      <c r="GV2" s="6" t="s">
        <v>101</v>
      </c>
      <c r="GW2" s="6" t="s">
        <v>102</v>
      </c>
      <c r="GX2" s="6" t="s">
        <v>96</v>
      </c>
      <c r="GY2" s="6" t="s">
        <v>103</v>
      </c>
      <c r="GZ2" s="6" t="s">
        <v>104</v>
      </c>
      <c r="HA2" s="6" t="s">
        <v>105</v>
      </c>
      <c r="HB2" s="7" t="s">
        <v>106</v>
      </c>
      <c r="HC2" s="8" t="s">
        <v>107</v>
      </c>
      <c r="HD2" s="7" t="s">
        <v>54</v>
      </c>
      <c r="HE2" s="7" t="s">
        <v>55</v>
      </c>
      <c r="HF2" s="8" t="s">
        <v>113</v>
      </c>
      <c r="HG2" s="8" t="s">
        <v>109</v>
      </c>
      <c r="HH2" s="8" t="s">
        <v>110</v>
      </c>
      <c r="HI2" s="8" t="s">
        <v>111</v>
      </c>
      <c r="HJ2" s="9" t="s">
        <v>112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262.42149466677068</v>
      </c>
      <c r="T3" s="59">
        <f>IF('Données projet'!E9&gt;30,$R$33-$H$33,LOOKUP('Données projet'!$E$9,$A$3:$A$203,R3:R203)-LOOKUP('Données projet'!$E$9,$A$3:$A$203,$H$3:$H$203))</f>
        <v>232.7693253699756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249.37919739649828</v>
      </c>
      <c r="AO3" s="59">
        <f>IF('Données projet'!E10&gt;30,$AM$33-$H$33,LOOKUP('Données projet'!$E$10,$A$3:$A$203,AM3:AM203)-LOOKUP('Données projet'!$E$10,$A$3:$A$203,$H$3:$H$203))</f>
        <v>315.05045383693073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186.80594222554424</v>
      </c>
      <c r="BJ3" s="59">
        <f>IF('Données projet'!E11&gt;30,$BH$33-$H$33,LOOKUP('Données projet'!$E$11,$A$3:$A$203,BH3:BH203)-LOOKUP('Données projet'!$E$11,$A$3:$A$203,$H$3:$H$203))</f>
        <v>179.02867751001872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265.17389489035344</v>
      </c>
      <c r="CE3" s="59">
        <f>IF('Données projet'!E12&gt;30,$CC$33-$H$33,LOOKUP('Données projet'!$E$12,$A$3:$A$203,CC3:CC203)-LOOKUP('Données projet'!$E$12,$A$3:$A$203,$H$3:$H$203))</f>
        <v>101.57852403610769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182.34243693018033</v>
      </c>
      <c r="CZ3" s="59">
        <f>IF('Données projet'!E13&gt;30,$CX$33-$H$33,LOOKUP('Données projet'!$E$13,$A$3:$A$203,CX3:CX203)-LOOKUP('Données projet'!$E$13,$A$3:$A$203,$H$3:$H$203))</f>
        <v>182.65916563909786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286.10360882057586</v>
      </c>
      <c r="DU3" s="59">
        <f>IF('Données projet'!E14&gt;30,$DS$33-$H$33,LOOKUP('Données projet'!$E$14,$A$3:$A$203,DS3:DS203)-LOOKUP('Données projet'!$E$14,$A$3:$A$203,$H$3:$H$203))</f>
        <v>109.24531387923128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295.22046076180141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295.31642317474365</v>
      </c>
      <c r="S4" s="59">
        <f ca="1">AVERAGE(OFFSET($R$3,0,0,'Données projet'!$E$9+1,1))-AVERAGE(OFFSET($H$3,0,0,'Données projet'!$E$9+1,1))</f>
        <v>262.42149466677068</v>
      </c>
      <c r="T4" s="59">
        <f>$T$3</f>
        <v>232.7693253699756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9.4117948717948714</v>
      </c>
      <c r="AI4" s="13">
        <f>IF('Données projet'!$A$62&gt;35,AI3+AH4-AQ3,IF(A4&lt;'Données projet'!$A$62,$AF$205^A4,IF(A4='Données projet'!$A$62,'Données projet'!$B$62,AI3+AH4-AQ3)))</f>
        <v>1.3909694153327172</v>
      </c>
      <c r="AJ4" s="13">
        <f>AI4*VLOOKUP('Données projet'!$B$10,Paramètres!$A$1:$I$89,3,0)*VLOOKUP('Données projet'!$B$10,Paramètres!$A$1:$I$89,5,0)</f>
        <v>0.83179971036896505</v>
      </c>
      <c r="AK4" s="13">
        <f>EXP(-1.0587+0.8836*LN(AJ4)+0.284)</f>
        <v>0.39163423183147406</v>
      </c>
      <c r="AL4" s="20">
        <f t="shared" ref="AL4:AL67" si="4">(AJ4+AK4)*0.475*44/12</f>
        <v>2.1308141159990979</v>
      </c>
      <c r="AM4" s="59">
        <f t="shared" ref="AM4:AM67" si="5">AL4+(AD4+AE4)*44/12</f>
        <v>295.46414744933242</v>
      </c>
      <c r="AN4" s="59">
        <f ca="1">AVERAGE(OFFSET($AM$3,0,0,'Données projet'!$E$10+1,1))-AVERAGE(OFFSET($H$3,0,0,'Données projet'!$E$10+1,1))</f>
        <v>249.37919739649828</v>
      </c>
      <c r="AO4" s="59">
        <f>$AO$3</f>
        <v>315.05045383693073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1.8</v>
      </c>
      <c r="BD4" s="12">
        <f>IF('Données projet'!$A$88&gt;35,BD3+BC4-BL3,IF(A4&lt;'Données projet'!$A$88,$BA$205^A4,IF(A4='Données projet'!$A$88,'Données projet'!$B$88,BD3+BC4-BL3)))</f>
        <v>1.335141362540313</v>
      </c>
      <c r="BE4" s="13">
        <f>BD4*VLOOKUP('Données projet'!$B$11,Paramètres!$A$1:$I$89,3,0)*VLOOKUP('Données projet'!$B$11,Paramètres!$A$1:$I$89,5,0)</f>
        <v>1.1663794943152175</v>
      </c>
      <c r="BF4" s="13">
        <f>EXP(-1.0587+0.8836*LN(BE4)+0.284)</f>
        <v>0.52797307958445927</v>
      </c>
      <c r="BG4" s="20">
        <f t="shared" ref="BG4:BG67" si="7">(BE4+BF4)*0.475*44/12</f>
        <v>2.9509973995419365</v>
      </c>
      <c r="BH4" s="59">
        <f t="shared" ref="BH4:BH67" si="8">BG4+(AY4+AZ4)*44/12</f>
        <v>296.28433073287528</v>
      </c>
      <c r="BI4" s="59">
        <f ca="1">AVERAGE(OFFSET($BH$3,0,0,'Données projet'!$E$11+1,1))-AVERAGE(OFFSET($H$3,0,0,'Données projet'!$E$11+1,1))</f>
        <v>186.80594222554424</v>
      </c>
      <c r="BJ4" s="59">
        <f>$BJ$3</f>
        <v>179.02867751001872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2.5115384615384619</v>
      </c>
      <c r="BY4" s="12">
        <f>IF('Données projet'!$A$114&gt;35,BY3+BX4-CG3,IF(A4&lt;'Données projet'!$A$114,$BV$205^A4,IF(A4='Données projet'!$A$114,'Données projet'!$B$114,BY3+BX4-CG3)))</f>
        <v>1.1549646791274306</v>
      </c>
      <c r="BZ4" s="13">
        <f>BY4*VLOOKUP('Données projet'!$B$12,Paramètres!$A$1:$I$89,3,0)*VLOOKUP('Données projet'!$B$12,Paramètres!$A$1:$I$89,5,0)</f>
        <v>1.0450120416744992</v>
      </c>
      <c r="CA4" s="13">
        <f>EXP(-1.0587+0.8836*LN(BZ4)+0.284)</f>
        <v>0.47912368577044179</v>
      </c>
      <c r="CB4" s="20">
        <f t="shared" ref="CB4:CB67" si="10">(BZ4+CA4)*0.475*44/12</f>
        <v>2.6545363919666056</v>
      </c>
      <c r="CC4" s="59">
        <f t="shared" ref="CC4:CC67" si="11">CB4+(BT4+BU4)*44/12</f>
        <v>295.9878697252999</v>
      </c>
      <c r="CD4" s="59">
        <f ca="1">AVERAGE(OFFSET($CC$3,0,0,'Données projet'!$E$12+1,1))-AVERAGE(OFFSET($H$3,0,0,'Données projet'!$E$12+1,1))</f>
        <v>265.17389489035344</v>
      </c>
      <c r="CE4" s="59">
        <f>$CE$3</f>
        <v>101.57852403610769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7.4312217194570129</v>
      </c>
      <c r="CT4" s="12">
        <f>IF('Données projet'!$A$140&gt;35,CT3+CS4-DB3,IF(A4&lt;'Données projet'!$A$140,$CQ$205^A4,IF(A4='Données projet'!$A$140,'Données projet'!$B$140,CT3+CS4-DB3)))</f>
        <v>1.3292852468636394</v>
      </c>
      <c r="CU4" s="17">
        <f>CT4*VLOOKUP('Données projet'!$B$13,Paramètres!$A$1:$I$89,3,0)*VLOOKUP('Données projet'!$B$13,Paramètres!$A$1:$I$89,5,0)</f>
        <v>0.79491257762445644</v>
      </c>
      <c r="CV4" s="13">
        <f>EXP(-1.0587+0.8836*LN(CU4)+0.284)</f>
        <v>0.37624805113513943</v>
      </c>
      <c r="CW4" s="20">
        <f t="shared" ref="CW4:CW67" si="13">(CU4+CV4)*0.475*44/12</f>
        <v>2.0397714284229629</v>
      </c>
      <c r="CX4" s="59">
        <f t="shared" ref="CX4:CX67" si="14">CW4+(CO4+CP4)*44/12</f>
        <v>295.37310476175628</v>
      </c>
      <c r="CY4" s="59">
        <f ca="1">AVERAGE(OFFSET($CX$3,0,0,'Données projet'!$E$13+1,1))-AVERAGE(OFFSET($H$3,0,0,'Données projet'!$E$13+1,1))</f>
        <v>182.34243693018033</v>
      </c>
      <c r="CZ4" s="59">
        <f>$CZ$3</f>
        <v>182.65916563909786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2.5115384615384619</v>
      </c>
      <c r="DO4" s="12">
        <f>IF('Données projet'!$A$166&gt;35,DO3+DN4-DW3,IF(A4&lt;'Données projet'!$A$166,$DL$205^A4,IF(A4='Données projet'!$A$166,'Données projet'!$B$166,DO3+DN4-DW3)))</f>
        <v>1.1549646791274306</v>
      </c>
      <c r="DP4" s="17">
        <f>DO4*VLOOKUP('Données projet'!$B$14,Paramètres!$A$1:$I$89,3,0)*VLOOKUP('Données projet'!$B$14,Paramètres!$A$1:$I$89,5,0)</f>
        <v>1.099064388657663</v>
      </c>
      <c r="DQ4" s="13">
        <f>EXP(-1.0587+0.8836*LN(DP4)+0.284)</f>
        <v>0.50095660621044258</v>
      </c>
      <c r="DR4" s="20">
        <f t="shared" ref="DR4:DR67" si="16">(DP4+DQ4)*0.475*44/12</f>
        <v>2.7867032327286165</v>
      </c>
      <c r="DS4" s="59">
        <f t="shared" ref="DS4:DS67" si="17">DR4+(DJ4+DK4)*44/12</f>
        <v>296.12003656606191</v>
      </c>
      <c r="DT4" s="59">
        <f ca="1">AVERAGE(OFFSET($DS$3,0,0,'Données projet'!$E$14+1,1))-AVERAGE(OFFSET($H$3,0,0,'Données projet'!$E$14+1,1))</f>
        <v>286.10360882057586</v>
      </c>
      <c r="DU4" s="59">
        <f>$DU$3</f>
        <v>109.24531387923128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297.01300064647927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295.8692231276803</v>
      </c>
      <c r="S5" s="59">
        <f ca="1">AVERAGE(OFFSET($R$3,0,0,'Données projet'!$E$9+1,1))-AVERAGE(OFFSET($H$3,0,0,'Données projet'!$E$9+1,1))</f>
        <v>262.42149466677068</v>
      </c>
      <c r="T5" s="59">
        <f t="shared" ref="T5:T68" si="34">$T$3</f>
        <v>232.7693253699756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9.4117948717948714</v>
      </c>
      <c r="AI5" s="13">
        <f>IF('Données projet'!$A$62&gt;35,AI4+AH5-AQ4,IF(A5&lt;'Données projet'!$A$62,$AF$205^A5,IF(A5='Données projet'!$A$62,'Données projet'!$B$62,AI4+AH5-AQ4)))</f>
        <v>1.9347959143910411</v>
      </c>
      <c r="AJ5" s="13">
        <f>AI5*VLOOKUP('Données projet'!$B$10,Paramètres!$A$1:$I$89,3,0)*VLOOKUP('Données projet'!$B$10,Paramètres!$A$1:$I$89,5,0)</f>
        <v>1.1570079568058427</v>
      </c>
      <c r="AK5" s="13">
        <f t="shared" ref="AK5:AK68" si="35">EXP(-1.0587+0.8836*LN(AJ5)+0.284)</f>
        <v>0.52422298600197004</v>
      </c>
      <c r="AL5" s="20">
        <f t="shared" si="4"/>
        <v>2.9281438920569403</v>
      </c>
      <c r="AM5" s="59">
        <f t="shared" si="5"/>
        <v>296.26147722539025</v>
      </c>
      <c r="AN5" s="59">
        <f ca="1">AVERAGE(OFFSET($AM$3,0,0,'Données projet'!$E$10+1,1))-AVERAGE(OFFSET($H$3,0,0,'Données projet'!$E$10+1,1))</f>
        <v>249.37919739649828</v>
      </c>
      <c r="AO5" s="59">
        <f t="shared" ref="AO5:AO68" si="36">$AO$3</f>
        <v>315.05045383693073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1.8</v>
      </c>
      <c r="BD5" s="12">
        <f>IF('Données projet'!$A$88&gt;35,BD4+BC5-BL4,IF(A5&lt;'Données projet'!$A$88,$BA$205^A5,IF(A5='Données projet'!$A$88,'Données projet'!$B$88,BD4+BC5-BL4)))</f>
        <v>1.7826024579660036</v>
      </c>
      <c r="BE5" s="13">
        <f>BD5*VLOOKUP('Données projet'!$B$11,Paramètres!$A$1:$I$89,3,0)*VLOOKUP('Données projet'!$B$11,Paramètres!$A$1:$I$89,5,0)</f>
        <v>1.5572815072791011</v>
      </c>
      <c r="BF5" s="13">
        <f t="shared" ref="BF5:BF68" si="37">EXP(-1.0587+0.8836*LN(BE5)+0.284)</f>
        <v>0.68159698037116012</v>
      </c>
      <c r="BG5" s="20">
        <f t="shared" si="7"/>
        <v>3.8993800326575379</v>
      </c>
      <c r="BH5" s="59">
        <f t="shared" si="8"/>
        <v>297.23271336599083</v>
      </c>
      <c r="BI5" s="59">
        <f ca="1">AVERAGE(OFFSET($BH$3,0,0,'Données projet'!$E$11+1,1))-AVERAGE(OFFSET($H$3,0,0,'Données projet'!$E$11+1,1))</f>
        <v>186.80594222554424</v>
      </c>
      <c r="BJ5" s="59">
        <f t="shared" ref="BJ5:BJ68" si="38">$BJ$3</f>
        <v>179.02867751001872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2.5115384615384619</v>
      </c>
      <c r="BY5" s="12">
        <f>IF('Données projet'!$A$114&gt;35,BY4+BX5-CG4,IF(A5&lt;'Données projet'!$A$114,$BV$205^A5,IF(A5='Données projet'!$A$114,'Données projet'!$B$114,BY4+BX5-CG4)))</f>
        <v>1.3339434100319287</v>
      </c>
      <c r="BZ5" s="13">
        <f>BY5*VLOOKUP('Données projet'!$B$12,Paramètres!$A$1:$I$89,3,0)*VLOOKUP('Données projet'!$B$12,Paramètres!$A$1:$I$89,5,0)</f>
        <v>1.206951997396889</v>
      </c>
      <c r="CA5" s="13">
        <f t="shared" ref="CA5:CA68" si="39">EXP(-1.0587+0.8836*LN(BZ5)+0.284)</f>
        <v>0.54416843549744709</v>
      </c>
      <c r="CB5" s="20">
        <f t="shared" si="10"/>
        <v>3.0498680872909687</v>
      </c>
      <c r="CC5" s="59">
        <f t="shared" si="11"/>
        <v>296.38320142062429</v>
      </c>
      <c r="CD5" s="59">
        <f ca="1">AVERAGE(OFFSET($CC$3,0,0,'Données projet'!$E$12+1,1))-AVERAGE(OFFSET($H$3,0,0,'Données projet'!$E$12+1,1))</f>
        <v>265.17389489035344</v>
      </c>
      <c r="CE5" s="59">
        <f t="shared" ref="CE5:CE68" si="40">$CE$3</f>
        <v>101.57852403610769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7.4312217194570129</v>
      </c>
      <c r="CT5" s="12">
        <f>IF('Données projet'!$A$140&gt;35,CT4+CS5-DB4,IF(A5&lt;'Données projet'!$A$140,$CQ$205^A5,IF(A5='Données projet'!$A$140,'Données projet'!$B$140,CT4+CS5-DB4)))</f>
        <v>1.7669992675293267</v>
      </c>
      <c r="CU5" s="17">
        <f>CT5*VLOOKUP('Données projet'!$B$13,Paramètres!$A$1:$I$89,3,0)*VLOOKUP('Données projet'!$B$13,Paramètres!$A$1:$I$89,5,0)</f>
        <v>1.0566655619825374</v>
      </c>
      <c r="CV5" s="13">
        <f t="shared" ref="CV5:CV68" si="41">EXP(-1.0587+0.8836*LN(CU5)+0.284)</f>
        <v>0.48384169076702271</v>
      </c>
      <c r="CW5" s="20">
        <f t="shared" si="13"/>
        <v>2.6830501318721502</v>
      </c>
      <c r="CX5" s="59">
        <f t="shared" si="14"/>
        <v>296.01638346520548</v>
      </c>
      <c r="CY5" s="59">
        <f ca="1">AVERAGE(OFFSET($CX$3,0,0,'Données projet'!$E$13+1,1))-AVERAGE(OFFSET($H$3,0,0,'Données projet'!$E$13+1,1))</f>
        <v>182.34243693018033</v>
      </c>
      <c r="CZ5" s="59">
        <f t="shared" ref="CZ5:CZ68" si="42">$CZ$3</f>
        <v>182.65916563909786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2.5115384615384619</v>
      </c>
      <c r="DO5" s="12">
        <f>IF('Données projet'!$A$166&gt;35,DO4+DN5-DW4,IF(A5&lt;'Données projet'!$A$166,$DL$205^A5,IF(A5='Données projet'!$A$166,'Données projet'!$B$166,DO4+DN5-DW4)))</f>
        <v>1.3339434100319287</v>
      </c>
      <c r="DP5" s="17">
        <f>DO5*VLOOKUP('Données projet'!$B$14,Paramètres!$A$1:$I$89,3,0)*VLOOKUP('Données projet'!$B$14,Paramètres!$A$1:$I$89,5,0)</f>
        <v>1.2693805489863834</v>
      </c>
      <c r="DQ5" s="13">
        <f t="shared" ref="DQ5:DQ68" si="43">EXP(-1.0587+0.8836*LN(DP5)+0.284)</f>
        <v>0.56896534391801701</v>
      </c>
      <c r="DR5" s="20">
        <f t="shared" si="16"/>
        <v>3.2017857634751645</v>
      </c>
      <c r="DS5" s="59">
        <f t="shared" si="17"/>
        <v>296.5351190968085</v>
      </c>
      <c r="DT5" s="59">
        <f ca="1">AVERAGE(OFFSET($DS$3,0,0,'Données projet'!$E$14+1,1))-AVERAGE(OFFSET($H$3,0,0,'Données projet'!$E$14+1,1))</f>
        <v>286.10360882057586</v>
      </c>
      <c r="DU5" s="59">
        <f t="shared" ref="DU5:DU68" si="44">$DU$3</f>
        <v>109.24531387923128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298.77499350251054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296.57673872359732</v>
      </c>
      <c r="S6" s="59">
        <f ca="1">AVERAGE(OFFSET($R$3,0,0,'Données projet'!$E$9+1,1))-AVERAGE(OFFSET($H$3,0,0,'Données projet'!$E$9+1,1))</f>
        <v>262.42149466677068</v>
      </c>
      <c r="T6" s="59">
        <f t="shared" si="34"/>
        <v>232.7693253699756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9.4117948717948714</v>
      </c>
      <c r="AI6" s="13">
        <f>IF('Données projet'!$A$62&gt;35,AI5+AH6-AQ5,IF(A6&lt;'Données projet'!$A$62,$AF$205^A6,IF(A6='Données projet'!$A$62,'Données projet'!$B$62,AI5+AH6-AQ5)))</f>
        <v>2.6912419418286366</v>
      </c>
      <c r="AJ6" s="13">
        <f>AI6*VLOOKUP('Données projet'!$B$10,Paramètres!$A$1:$I$89,3,0)*VLOOKUP('Données projet'!$B$10,Paramètres!$A$1:$I$89,5,0)</f>
        <v>1.6093626812135247</v>
      </c>
      <c r="AK6" s="13">
        <f t="shared" si="35"/>
        <v>0.70169999636568137</v>
      </c>
      <c r="AL6" s="20">
        <f t="shared" si="4"/>
        <v>4.0251008301171156</v>
      </c>
      <c r="AM6" s="59">
        <f t="shared" si="5"/>
        <v>297.35843416345045</v>
      </c>
      <c r="AN6" s="59">
        <f ca="1">AVERAGE(OFFSET($AM$3,0,0,'Données projet'!$E$10+1,1))-AVERAGE(OFFSET($H$3,0,0,'Données projet'!$E$10+1,1))</f>
        <v>249.37919739649828</v>
      </c>
      <c r="AO6" s="59">
        <f t="shared" si="36"/>
        <v>315.05045383693073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1.8</v>
      </c>
      <c r="BD6" s="12">
        <f>IF('Données projet'!$A$88&gt;35,BD5+BC6-BL5,IF(A6&lt;'Données projet'!$A$88,$BA$205^A6,IF(A6='Données projet'!$A$88,'Données projet'!$B$88,BD5+BC6-BL5)))</f>
        <v>2.3800262745964411</v>
      </c>
      <c r="BE6" s="13">
        <f>BD6*VLOOKUP('Données projet'!$B$11,Paramètres!$A$1:$I$89,3,0)*VLOOKUP('Données projet'!$B$11,Paramètres!$A$1:$I$89,5,0)</f>
        <v>2.0791909534874513</v>
      </c>
      <c r="BF6" s="13">
        <f t="shared" si="37"/>
        <v>0.87992070356451979</v>
      </c>
      <c r="BG6" s="20">
        <f t="shared" si="7"/>
        <v>5.1537861360321822</v>
      </c>
      <c r="BH6" s="59">
        <f t="shared" si="8"/>
        <v>298.4871194693655</v>
      </c>
      <c r="BI6" s="59">
        <f ca="1">AVERAGE(OFFSET($BH$3,0,0,'Données projet'!$E$11+1,1))-AVERAGE(OFFSET($H$3,0,0,'Données projet'!$E$11+1,1))</f>
        <v>186.80594222554424</v>
      </c>
      <c r="BJ6" s="59">
        <f t="shared" si="38"/>
        <v>179.02867751001872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2.5115384615384619</v>
      </c>
      <c r="BY6" s="12">
        <f>IF('Données projet'!$A$114&gt;35,BY5+BX6-CG5,IF(A6&lt;'Données projet'!$A$114,$BV$205^A6,IF(A6='Données projet'!$A$114,'Données projet'!$B$114,BY5+BX6-CG5)))</f>
        <v>1.5406575225416772</v>
      </c>
      <c r="BZ6" s="13">
        <f>BY6*VLOOKUP('Données projet'!$B$12,Paramètres!$A$1:$I$89,3,0)*VLOOKUP('Données projet'!$B$12,Paramètres!$A$1:$I$89,5,0)</f>
        <v>1.3939869263957094</v>
      </c>
      <c r="CA6" s="13">
        <f t="shared" si="39"/>
        <v>0.6180435135774448</v>
      </c>
      <c r="CB6" s="20">
        <f t="shared" si="10"/>
        <v>3.5042863496199099</v>
      </c>
      <c r="CC6" s="59">
        <f t="shared" si="11"/>
        <v>296.83761968295323</v>
      </c>
      <c r="CD6" s="59">
        <f ca="1">AVERAGE(OFFSET($CC$3,0,0,'Données projet'!$E$12+1,1))-AVERAGE(OFFSET($H$3,0,0,'Données projet'!$E$12+1,1))</f>
        <v>265.17389489035344</v>
      </c>
      <c r="CE6" s="59">
        <f t="shared" si="40"/>
        <v>101.57852403610769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7.4312217194570129</v>
      </c>
      <c r="CT6" s="12">
        <f>IF('Données projet'!$A$140&gt;35,CT5+CS6-DB5,IF(A6&lt;'Données projet'!$A$140,$CQ$205^A6,IF(A6='Données projet'!$A$140,'Données projet'!$B$140,CT5+CS6-DB5)))</f>
        <v>2.3488460575455909</v>
      </c>
      <c r="CU6" s="17">
        <f>CT6*VLOOKUP('Données projet'!$B$13,Paramètres!$A$1:$I$89,3,0)*VLOOKUP('Données projet'!$B$13,Paramètres!$A$1:$I$89,5,0)</f>
        <v>1.4046099424122636</v>
      </c>
      <c r="CV6" s="13">
        <f t="shared" si="41"/>
        <v>0.62220330714804695</v>
      </c>
      <c r="CW6" s="20">
        <f t="shared" si="13"/>
        <v>3.5300330763175403</v>
      </c>
      <c r="CX6" s="59">
        <f t="shared" si="14"/>
        <v>296.86336640965084</v>
      </c>
      <c r="CY6" s="59">
        <f ca="1">AVERAGE(OFFSET($CX$3,0,0,'Données projet'!$E$13+1,1))-AVERAGE(OFFSET($H$3,0,0,'Données projet'!$E$13+1,1))</f>
        <v>182.34243693018033</v>
      </c>
      <c r="CZ6" s="59">
        <f t="shared" si="42"/>
        <v>182.65916563909786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2.5115384615384619</v>
      </c>
      <c r="DO6" s="12">
        <f>IF('Données projet'!$A$166&gt;35,DO5+DN6-DW5,IF(A6&lt;'Données projet'!$A$166,$DL$205^A6,IF(A6='Données projet'!$A$166,'Données projet'!$B$166,DO5+DN6-DW5)))</f>
        <v>1.5406575225416772</v>
      </c>
      <c r="DP6" s="17">
        <f>DO6*VLOOKUP('Données projet'!$B$14,Paramètres!$A$1:$I$89,3,0)*VLOOKUP('Données projet'!$B$14,Paramètres!$A$1:$I$89,5,0)</f>
        <v>1.4660896984506602</v>
      </c>
      <c r="DQ6" s="13">
        <f t="shared" si="43"/>
        <v>0.64620679429419081</v>
      </c>
      <c r="DR6" s="20">
        <f t="shared" si="16"/>
        <v>3.6789163915306151</v>
      </c>
      <c r="DS6" s="59">
        <f t="shared" si="17"/>
        <v>297.01224972486392</v>
      </c>
      <c r="DT6" s="59">
        <f ca="1">AVERAGE(OFFSET($DS$3,0,0,'Données projet'!$E$14+1,1))-AVERAGE(OFFSET($H$3,0,0,'Données projet'!$E$14+1,1))</f>
        <v>286.10360882057586</v>
      </c>
      <c r="DU6" s="59">
        <f t="shared" si="44"/>
        <v>109.24531387923128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300.51815645933317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297.48243470102432</v>
      </c>
      <c r="S7" s="59">
        <f ca="1">AVERAGE(OFFSET($R$3,0,0,'Données projet'!$E$9+1,1))-AVERAGE(OFFSET($H$3,0,0,'Données projet'!$E$9+1,1))</f>
        <v>262.42149466677068</v>
      </c>
      <c r="T7" s="59">
        <f t="shared" si="34"/>
        <v>232.7693253699756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9.4117948717948714</v>
      </c>
      <c r="AI7" s="13">
        <f>IF('Données projet'!$A$62&gt;35,AI6+AH7-AQ6,IF(A7&lt;'Données projet'!$A$62,$AF$205^A7,IF(A7='Données projet'!$A$62,'Données projet'!$B$62,AI6+AH7-AQ6)))</f>
        <v>3.7434352303442648</v>
      </c>
      <c r="AJ7" s="13">
        <f>AI7*VLOOKUP('Données projet'!$B$10,Paramètres!$A$1:$I$89,3,0)*VLOOKUP('Données projet'!$B$10,Paramètres!$A$1:$I$89,5,0)</f>
        <v>2.2385742677458706</v>
      </c>
      <c r="AK7" s="13">
        <f t="shared" si="35"/>
        <v>0.93926229495351976</v>
      </c>
      <c r="AL7" s="20">
        <f t="shared" si="4"/>
        <v>5.5347320133681039</v>
      </c>
      <c r="AM7" s="59">
        <f t="shared" si="5"/>
        <v>298.86806534670143</v>
      </c>
      <c r="AN7" s="59">
        <f ca="1">AVERAGE(OFFSET($AM$3,0,0,'Données projet'!$E$10+1,1))-AVERAGE(OFFSET($H$3,0,0,'Données projet'!$E$10+1,1))</f>
        <v>249.37919739649828</v>
      </c>
      <c r="AO7" s="59">
        <f t="shared" si="36"/>
        <v>315.05045383693073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1.8</v>
      </c>
      <c r="BD7" s="12">
        <f>IF('Données projet'!$A$88&gt;35,BD6+BC7-BL6,IF(A7&lt;'Données projet'!$A$88,$BA$205^A7,IF(A7='Données projet'!$A$88,'Données projet'!$B$88,BD6+BC7-BL6)))</f>
        <v>3.1776715231464374</v>
      </c>
      <c r="BE7" s="13">
        <f>BD7*VLOOKUP('Données projet'!$B$11,Paramètres!$A$1:$I$89,3,0)*VLOOKUP('Données projet'!$B$11,Paramètres!$A$1:$I$89,5,0)</f>
        <v>2.7760138426207281</v>
      </c>
      <c r="BF7" s="13">
        <f t="shared" si="37"/>
        <v>1.135950520408497</v>
      </c>
      <c r="BG7" s="20">
        <f t="shared" si="7"/>
        <v>6.8133379322758998</v>
      </c>
      <c r="BH7" s="59">
        <f t="shared" si="8"/>
        <v>300.1466712656092</v>
      </c>
      <c r="BI7" s="59">
        <f ca="1">AVERAGE(OFFSET($BH$3,0,0,'Données projet'!$E$11+1,1))-AVERAGE(OFFSET($H$3,0,0,'Données projet'!$E$11+1,1))</f>
        <v>186.80594222554424</v>
      </c>
      <c r="BJ7" s="59">
        <f t="shared" si="38"/>
        <v>179.02867751001872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2.5115384615384619</v>
      </c>
      <c r="BY7" s="12">
        <f>IF('Données projet'!$A$114&gt;35,BY6+BX7-CG6,IF(A7&lt;'Données projet'!$A$114,$BV$205^A7,IF(A7='Données projet'!$A$114,'Données projet'!$B$114,BY6+BX7-CG6)))</f>
        <v>1.7794050211676105</v>
      </c>
      <c r="BZ7" s="13">
        <f>BY7*VLOOKUP('Données projet'!$B$12,Paramètres!$A$1:$I$89,3,0)*VLOOKUP('Données projet'!$B$12,Paramètres!$A$1:$I$89,5,0)</f>
        <v>1.610005663152454</v>
      </c>
      <c r="CA7" s="13">
        <f t="shared" si="39"/>
        <v>0.70194770544890439</v>
      </c>
      <c r="CB7" s="20">
        <f t="shared" si="10"/>
        <v>4.0266521169806992</v>
      </c>
      <c r="CC7" s="59">
        <f t="shared" si="11"/>
        <v>297.35998545031401</v>
      </c>
      <c r="CD7" s="59">
        <f ca="1">AVERAGE(OFFSET($CC$3,0,0,'Données projet'!$E$12+1,1))-AVERAGE(OFFSET($H$3,0,0,'Données projet'!$E$12+1,1))</f>
        <v>265.17389489035344</v>
      </c>
      <c r="CE7" s="59">
        <f t="shared" si="40"/>
        <v>101.57852403610769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7.4312217194570129</v>
      </c>
      <c r="CT7" s="12">
        <f>IF('Données projet'!$A$140&gt;35,CT6+CS7-DB6,IF(A7&lt;'Données projet'!$A$140,$CQ$205^A7,IF(A7='Données projet'!$A$140,'Données projet'!$B$140,CT6+CS7-DB6)))</f>
        <v>3.1222864114491768</v>
      </c>
      <c r="CU7" s="17">
        <f>CT7*VLOOKUP('Données projet'!$B$13,Paramètres!$A$1:$I$89,3,0)*VLOOKUP('Données projet'!$B$13,Paramètres!$A$1:$I$89,5,0)</f>
        <v>1.8671272740466078</v>
      </c>
      <c r="CV7" s="13">
        <f t="shared" si="41"/>
        <v>0.80013145376589556</v>
      </c>
      <c r="CW7" s="20">
        <f t="shared" si="13"/>
        <v>4.6454756176067766</v>
      </c>
      <c r="CX7" s="59">
        <f t="shared" si="14"/>
        <v>297.97880895094011</v>
      </c>
      <c r="CY7" s="59">
        <f ca="1">AVERAGE(OFFSET($CX$3,0,0,'Données projet'!$E$13+1,1))-AVERAGE(OFFSET($H$3,0,0,'Données projet'!$E$13+1,1))</f>
        <v>182.34243693018033</v>
      </c>
      <c r="CZ7" s="59">
        <f t="shared" si="42"/>
        <v>182.65916563909786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2.5115384615384619</v>
      </c>
      <c r="DO7" s="12">
        <f>IF('Données projet'!$A$166&gt;35,DO6+DN7-DW6,IF(A7&lt;'Données projet'!$A$166,$DL$205^A7,IF(A7='Données projet'!$A$166,'Données projet'!$B$166,DO6+DN7-DW6)))</f>
        <v>1.7794050211676105</v>
      </c>
      <c r="DP7" s="17">
        <f>DO7*VLOOKUP('Données projet'!$B$14,Paramètres!$A$1:$I$89,3,0)*VLOOKUP('Données projet'!$B$14,Paramètres!$A$1:$I$89,5,0)</f>
        <v>1.693281818143098</v>
      </c>
      <c r="DQ7" s="13">
        <f t="shared" si="43"/>
        <v>0.73393436956354363</v>
      </c>
      <c r="DR7" s="20">
        <f t="shared" si="16"/>
        <v>4.2274015269224003</v>
      </c>
      <c r="DS7" s="59">
        <f t="shared" si="17"/>
        <v>297.56073486025571</v>
      </c>
      <c r="DT7" s="59">
        <f ca="1">AVERAGE(OFFSET($DS$3,0,0,'Données projet'!$E$14+1,1))-AVERAGE(OFFSET($H$3,0,0,'Données projet'!$E$14+1,1))</f>
        <v>286.10360882057586</v>
      </c>
      <c r="DU7" s="59">
        <f t="shared" si="44"/>
        <v>109.24531387923128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302.24780010412121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298.64202949713871</v>
      </c>
      <c r="S8" s="59">
        <f ca="1">AVERAGE(OFFSET($R$3,0,0,'Données projet'!$E$9+1,1))-AVERAGE(OFFSET($H$3,0,0,'Données projet'!$E$9+1,1))</f>
        <v>262.42149466677068</v>
      </c>
      <c r="T8" s="59">
        <f t="shared" si="34"/>
        <v>232.7693253699756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9.4117948717948714</v>
      </c>
      <c r="AI8" s="13">
        <f>IF('Données projet'!$A$62&gt;35,AI7+AH8-AQ7,IF(A8&lt;'Données projet'!$A$62,$AF$205^A8,IF(A8='Données projet'!$A$62,'Données projet'!$B$62,AI7+AH8-AQ7)))</f>
        <v>5.2070039136878581</v>
      </c>
      <c r="AJ8" s="13">
        <f>AI8*VLOOKUP('Données projet'!$B$10,Paramètres!$A$1:$I$89,3,0)*VLOOKUP('Données projet'!$B$10,Paramètres!$A$1:$I$89,5,0)</f>
        <v>3.1137883403853395</v>
      </c>
      <c r="AK8" s="13">
        <f t="shared" si="35"/>
        <v>1.2572519072119237</v>
      </c>
      <c r="AL8" s="20">
        <f t="shared" si="4"/>
        <v>7.6128950978985666</v>
      </c>
      <c r="AM8" s="59">
        <f t="shared" si="5"/>
        <v>300.94622843123187</v>
      </c>
      <c r="AN8" s="59">
        <f ca="1">AVERAGE(OFFSET($AM$3,0,0,'Données projet'!$E$10+1,1))-AVERAGE(OFFSET($H$3,0,0,'Données projet'!$E$10+1,1))</f>
        <v>249.37919739649828</v>
      </c>
      <c r="AO8" s="59">
        <f t="shared" si="36"/>
        <v>315.05045383693073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1.8</v>
      </c>
      <c r="BD8" s="12">
        <f>IF('Données projet'!$A$88&gt;35,BD7+BC8-BL7,IF(A8&lt;'Données projet'!$A$88,$BA$205^A8,IF(A8='Données projet'!$A$88,'Données projet'!$B$88,BD7+BC8-BL7)))</f>
        <v>4.2426406871192865</v>
      </c>
      <c r="BE8" s="13">
        <f>BD8*VLOOKUP('Données projet'!$B$11,Paramètres!$A$1:$I$89,3,0)*VLOOKUP('Données projet'!$B$11,Paramètres!$A$1:$I$89,5,0)</f>
        <v>3.7063709042674091</v>
      </c>
      <c r="BF8" s="13">
        <f t="shared" si="37"/>
        <v>1.4664771263922398</v>
      </c>
      <c r="BG8" s="20">
        <f t="shared" si="7"/>
        <v>9.0093769867322209</v>
      </c>
      <c r="BH8" s="59">
        <f t="shared" si="8"/>
        <v>302.34271032006552</v>
      </c>
      <c r="BI8" s="59">
        <f ca="1">AVERAGE(OFFSET($BH$3,0,0,'Données projet'!$E$11+1,1))-AVERAGE(OFFSET($H$3,0,0,'Données projet'!$E$11+1,1))</f>
        <v>186.80594222554424</v>
      </c>
      <c r="BJ8" s="59">
        <f t="shared" si="38"/>
        <v>179.02867751001872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2.5115384615384619</v>
      </c>
      <c r="BY8" s="12">
        <f>IF('Données projet'!$A$114&gt;35,BY7+BX8-CG7,IF(A8&lt;'Données projet'!$A$114,$BV$205^A8,IF(A8='Données projet'!$A$114,'Données projet'!$B$114,BY7+BX8-CG7)))</f>
        <v>2.055149949310588</v>
      </c>
      <c r="BZ8" s="13">
        <f>BY8*VLOOKUP('Données projet'!$B$12,Paramètres!$A$1:$I$89,3,0)*VLOOKUP('Données projet'!$B$12,Paramètres!$A$1:$I$89,5,0)</f>
        <v>1.85949967413622</v>
      </c>
      <c r="CA8" s="13">
        <f t="shared" si="39"/>
        <v>0.79724254095458524</v>
      </c>
      <c r="CB8" s="20">
        <f t="shared" si="10"/>
        <v>4.6271593579498189</v>
      </c>
      <c r="CC8" s="59">
        <f t="shared" si="11"/>
        <v>297.96049269128315</v>
      </c>
      <c r="CD8" s="59">
        <f ca="1">AVERAGE(OFFSET($CC$3,0,0,'Données projet'!$E$12+1,1))-AVERAGE(OFFSET($H$3,0,0,'Données projet'!$E$12+1,1))</f>
        <v>265.17389489035344</v>
      </c>
      <c r="CE8" s="59">
        <f t="shared" si="40"/>
        <v>101.57852403610769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7.4312217194570129</v>
      </c>
      <c r="CT8" s="12">
        <f>IF('Données projet'!$A$140&gt;35,CT7+CS8-DB7,IF(A8&lt;'Données projet'!$A$140,$CQ$205^A8,IF(A8='Données projet'!$A$140,'Données projet'!$B$140,CT7+CS8-DB7)))</f>
        <v>4.1504092632222056</v>
      </c>
      <c r="CU8" s="17">
        <f>CT8*VLOOKUP('Données projet'!$B$13,Paramètres!$A$1:$I$89,3,0)*VLOOKUP('Données projet'!$B$13,Paramètres!$A$1:$I$89,5,0)</f>
        <v>2.4819447394068792</v>
      </c>
      <c r="CV8" s="13">
        <f t="shared" si="41"/>
        <v>1.0289407593154982</v>
      </c>
      <c r="CW8" s="20">
        <f t="shared" si="13"/>
        <v>6.1147922436081394</v>
      </c>
      <c r="CX8" s="59">
        <f t="shared" si="14"/>
        <v>299.44812557694144</v>
      </c>
      <c r="CY8" s="59">
        <f ca="1">AVERAGE(OFFSET($CX$3,0,0,'Données projet'!$E$13+1,1))-AVERAGE(OFFSET($H$3,0,0,'Données projet'!$E$13+1,1))</f>
        <v>182.34243693018033</v>
      </c>
      <c r="CZ8" s="59">
        <f t="shared" si="42"/>
        <v>182.65916563909786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2.5115384615384619</v>
      </c>
      <c r="DO8" s="12">
        <f>IF('Données projet'!$A$166&gt;35,DO7+DN8-DW7,IF(A8&lt;'Données projet'!$A$166,$DL$205^A8,IF(A8='Données projet'!$A$166,'Données projet'!$B$166,DO7+DN8-DW7)))</f>
        <v>2.055149949310588</v>
      </c>
      <c r="DP8" s="17">
        <f>DO8*VLOOKUP('Données projet'!$B$14,Paramètres!$A$1:$I$89,3,0)*VLOOKUP('Données projet'!$B$14,Paramètres!$A$1:$I$89,5,0)</f>
        <v>1.9556806917639555</v>
      </c>
      <c r="DQ8" s="13">
        <f t="shared" si="43"/>
        <v>0.83357164236408055</v>
      </c>
      <c r="DR8" s="20">
        <f t="shared" si="16"/>
        <v>4.857947815272996</v>
      </c>
      <c r="DS8" s="59">
        <f t="shared" si="17"/>
        <v>298.19128114860632</v>
      </c>
      <c r="DT8" s="59">
        <f ca="1">AVERAGE(OFFSET($DS$3,0,0,'Données projet'!$E$14+1,1))-AVERAGE(OFFSET($H$3,0,0,'Données projet'!$E$14+1,1))</f>
        <v>286.10360882057586</v>
      </c>
      <c r="DU8" s="59">
        <f t="shared" si="44"/>
        <v>109.24531387923128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303.96695381752204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300.12696112026919</v>
      </c>
      <c r="S9" s="59">
        <f ca="1">AVERAGE(OFFSET($R$3,0,0,'Données projet'!$E$9+1,1))-AVERAGE(OFFSET($H$3,0,0,'Données projet'!$E$9+1,1))</f>
        <v>262.42149466677068</v>
      </c>
      <c r="T9" s="59">
        <f t="shared" si="34"/>
        <v>232.7693253699756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9.4117948717948714</v>
      </c>
      <c r="AI9" s="13">
        <f>IF('Données projet'!$A$62&gt;35,AI8+AH9-AQ8,IF(A9&lt;'Données projet'!$A$62,$AF$205^A9,IF(A9='Données projet'!$A$62,'Données projet'!$B$62,AI8+AH9-AQ8)))</f>
        <v>7.2427831894575698</v>
      </c>
      <c r="AJ9" s="13">
        <f>AI9*VLOOKUP('Données projet'!$B$10,Paramètres!$A$1:$I$89,3,0)*VLOOKUP('Données projet'!$B$10,Paramètres!$A$1:$I$89,5,0)</f>
        <v>4.3311843472956273</v>
      </c>
      <c r="AK9" s="13">
        <f t="shared" si="35"/>
        <v>1.6828977024636564</v>
      </c>
      <c r="AL9" s="20">
        <f t="shared" si="4"/>
        <v>10.474526236664085</v>
      </c>
      <c r="AM9" s="59">
        <f t="shared" si="5"/>
        <v>303.80785956999739</v>
      </c>
      <c r="AN9" s="59">
        <f ca="1">AVERAGE(OFFSET($AM$3,0,0,'Données projet'!$E$10+1,1))-AVERAGE(OFFSET($H$3,0,0,'Données projet'!$E$10+1,1))</f>
        <v>249.37919739649828</v>
      </c>
      <c r="AO9" s="59">
        <f t="shared" si="36"/>
        <v>315.05045383693073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1.8</v>
      </c>
      <c r="BD9" s="12">
        <f>IF('Données projet'!$A$88&gt;35,BD8+BC9-BL8,IF(A9&lt;'Données projet'!$A$88,$BA$205^A9,IF(A9='Données projet'!$A$88,'Données projet'!$B$88,BD8+BC9-BL8)))</f>
        <v>5.6645250677694134</v>
      </c>
      <c r="BE9" s="13">
        <f>BD9*VLOOKUP('Données projet'!$B$11,Paramètres!$A$1:$I$89,3,0)*VLOOKUP('Données projet'!$B$11,Paramètres!$A$1:$I$89,5,0)</f>
        <v>4.9485290992033608</v>
      </c>
      <c r="BF9" s="13">
        <f t="shared" si="37"/>
        <v>1.8931767921179217</v>
      </c>
      <c r="BG9" s="20">
        <f t="shared" si="7"/>
        <v>11.915971094051232</v>
      </c>
      <c r="BH9" s="59">
        <f t="shared" si="8"/>
        <v>305.24930442738457</v>
      </c>
      <c r="BI9" s="59">
        <f ca="1">AVERAGE(OFFSET($BH$3,0,0,'Données projet'!$E$11+1,1))-AVERAGE(OFFSET($H$3,0,0,'Données projet'!$E$11+1,1))</f>
        <v>186.80594222554424</v>
      </c>
      <c r="BJ9" s="59">
        <f t="shared" si="38"/>
        <v>179.02867751001872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2.5115384615384619</v>
      </c>
      <c r="BY9" s="12">
        <f>IF('Données projet'!$A$114&gt;35,BY8+BX9-CG8,IF(A9&lt;'Données projet'!$A$114,$BV$205^A9,IF(A9='Données projet'!$A$114,'Données projet'!$B$114,BY8+BX9-CG8)))</f>
        <v>2.3736256017642585</v>
      </c>
      <c r="BZ9" s="13">
        <f>BY9*VLOOKUP('Données projet'!$B$12,Paramètres!$A$1:$I$89,3,0)*VLOOKUP('Données projet'!$B$12,Paramètres!$A$1:$I$89,5,0)</f>
        <v>2.1476564444763011</v>
      </c>
      <c r="CA9" s="13">
        <f t="shared" si="39"/>
        <v>0.90547438815438841</v>
      </c>
      <c r="CB9" s="20">
        <f t="shared" si="10"/>
        <v>5.3175362001651179</v>
      </c>
      <c r="CC9" s="59">
        <f t="shared" si="11"/>
        <v>298.65086953349845</v>
      </c>
      <c r="CD9" s="59">
        <f ca="1">AVERAGE(OFFSET($CC$3,0,0,'Données projet'!$E$12+1,1))-AVERAGE(OFFSET($H$3,0,0,'Données projet'!$E$12+1,1))</f>
        <v>265.17389489035344</v>
      </c>
      <c r="CE9" s="59">
        <f t="shared" si="40"/>
        <v>101.57852403610769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7.4312217194570129</v>
      </c>
      <c r="CT9" s="12">
        <f>IF('Données projet'!$A$140&gt;35,CT8+CS9-DB8,IF(A9&lt;'Données projet'!$A$140,$CQ$205^A9,IF(A9='Données projet'!$A$140,'Données projet'!$B$140,CT8+CS9-DB8)))</f>
        <v>5.5170778020474653</v>
      </c>
      <c r="CU9" s="17">
        <f>CT9*VLOOKUP('Données projet'!$B$13,Paramètres!$A$1:$I$89,3,0)*VLOOKUP('Données projet'!$B$13,Paramètres!$A$1:$I$89,5,0)</f>
        <v>3.2992125256243843</v>
      </c>
      <c r="CV9" s="13">
        <f t="shared" si="41"/>
        <v>1.3231814362474952</v>
      </c>
      <c r="CW9" s="20">
        <f t="shared" si="13"/>
        <v>8.0506694835935235</v>
      </c>
      <c r="CX9" s="59">
        <f t="shared" si="14"/>
        <v>301.38400281692685</v>
      </c>
      <c r="CY9" s="59">
        <f ca="1">AVERAGE(OFFSET($CX$3,0,0,'Données projet'!$E$13+1,1))-AVERAGE(OFFSET($H$3,0,0,'Données projet'!$E$13+1,1))</f>
        <v>182.34243693018033</v>
      </c>
      <c r="CZ9" s="59">
        <f t="shared" si="42"/>
        <v>182.65916563909786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2.5115384615384619</v>
      </c>
      <c r="DO9" s="12">
        <f>IF('Données projet'!$A$166&gt;35,DO8+DN9-DW8,IF(A9&lt;'Données projet'!$A$166,$DL$205^A9,IF(A9='Données projet'!$A$166,'Données projet'!$B$166,DO8+DN9-DW8)))</f>
        <v>2.3736256017642585</v>
      </c>
      <c r="DP9" s="17">
        <f>DO9*VLOOKUP('Données projet'!$B$14,Paramètres!$A$1:$I$89,3,0)*VLOOKUP('Données projet'!$B$14,Paramètres!$A$1:$I$89,5,0)</f>
        <v>2.2587421226388682</v>
      </c>
      <c r="DQ9" s="13">
        <f t="shared" si="43"/>
        <v>0.94673544634073947</v>
      </c>
      <c r="DR9" s="20">
        <f t="shared" si="16"/>
        <v>5.5828734326394835</v>
      </c>
      <c r="DS9" s="59">
        <f t="shared" si="17"/>
        <v>298.91620676597279</v>
      </c>
      <c r="DT9" s="59">
        <f ca="1">AVERAGE(OFFSET($DS$3,0,0,'Données projet'!$E$14+1,1))-AVERAGE(OFFSET($H$3,0,0,'Données projet'!$E$14+1,1))</f>
        <v>286.10360882057586</v>
      </c>
      <c r="DU9" s="59">
        <f t="shared" si="44"/>
        <v>109.24531387923128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305.67757052410627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302.02883626550931</v>
      </c>
      <c r="S10" s="59">
        <f ca="1">AVERAGE(OFFSET($R$3,0,0,'Données projet'!$E$9+1,1))-AVERAGE(OFFSET($H$3,0,0,'Données projet'!$E$9+1,1))</f>
        <v>262.42149466677068</v>
      </c>
      <c r="T10" s="59">
        <f t="shared" si="34"/>
        <v>232.7693253699756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9.4117948717948714</v>
      </c>
      <c r="AI10" s="13">
        <f>IF('Données projet'!$A$62&gt;35,AI9+AH10-AQ9,IF(A10&lt;'Données projet'!$A$62,$AF$205^A10,IF(A10='Données projet'!$A$62,'Données projet'!$B$62,AI9+AH10-AQ9)))</f>
        <v>10.07448989842143</v>
      </c>
      <c r="AJ10" s="13">
        <f>AI10*VLOOKUP('Données projet'!$B$10,Paramètres!$A$1:$I$89,3,0)*VLOOKUP('Données projet'!$B$10,Paramètres!$A$1:$I$89,5,0)</f>
        <v>6.0245449592560147</v>
      </c>
      <c r="AK10" s="13">
        <f t="shared" si="35"/>
        <v>2.2526469522229675</v>
      </c>
      <c r="AL10" s="20">
        <f t="shared" si="4"/>
        <v>14.416109245825893</v>
      </c>
      <c r="AM10" s="59">
        <f t="shared" si="5"/>
        <v>307.74944257915922</v>
      </c>
      <c r="AN10" s="59">
        <f ca="1">AVERAGE(OFFSET($AM$3,0,0,'Données projet'!$E$10+1,1))-AVERAGE(OFFSET($H$3,0,0,'Données projet'!$E$10+1,1))</f>
        <v>249.37919739649828</v>
      </c>
      <c r="AO10" s="59">
        <f t="shared" si="36"/>
        <v>315.05045383693073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1.8</v>
      </c>
      <c r="BD10" s="12">
        <f>IF('Données projet'!$A$88&gt;35,BD9+BC10-BL9,IF(A10&lt;'Données projet'!$A$88,$BA$205^A10,IF(A10='Données projet'!$A$88,'Données projet'!$B$88,BD9+BC10-BL9)))</f>
        <v>7.5629417171254145</v>
      </c>
      <c r="BE10" s="13">
        <f>BD10*VLOOKUP('Données projet'!$B$11,Paramètres!$A$1:$I$89,3,0)*VLOOKUP('Données projet'!$B$11,Paramètres!$A$1:$I$89,5,0)</f>
        <v>6.6069858840807631</v>
      </c>
      <c r="BF10" s="13">
        <f t="shared" si="37"/>
        <v>2.4440329151477385</v>
      </c>
      <c r="BG10" s="20">
        <f t="shared" si="7"/>
        <v>15.763857741989639</v>
      </c>
      <c r="BH10" s="59">
        <f t="shared" si="8"/>
        <v>309.09719107532294</v>
      </c>
      <c r="BI10" s="59">
        <f ca="1">AVERAGE(OFFSET($BH$3,0,0,'Données projet'!$E$11+1,1))-AVERAGE(OFFSET($H$3,0,0,'Données projet'!$E$11+1,1))</f>
        <v>186.80594222554424</v>
      </c>
      <c r="BJ10" s="59">
        <f t="shared" si="38"/>
        <v>179.02867751001872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2.5115384615384619</v>
      </c>
      <c r="BY10" s="12">
        <f>IF('Données projet'!$A$114&gt;35,BY9+BX10-CG9,IF(A10&lt;'Données projet'!$A$114,$BV$205^A10,IF(A10='Données projet'!$A$114,'Données projet'!$B$114,BY9+BX10-CG9)))</f>
        <v>2.7414537315103114</v>
      </c>
      <c r="BZ10" s="13">
        <f>BY10*VLOOKUP('Données projet'!$B$12,Paramètres!$A$1:$I$89,3,0)*VLOOKUP('Données projet'!$B$12,Paramètres!$A$1:$I$89,5,0)</f>
        <v>2.4804673362705296</v>
      </c>
      <c r="CA10" s="13">
        <f t="shared" si="39"/>
        <v>1.0283995465443541</v>
      </c>
      <c r="CB10" s="20">
        <f t="shared" si="10"/>
        <v>6.1112764875692553</v>
      </c>
      <c r="CC10" s="59">
        <f t="shared" si="11"/>
        <v>299.44460982090254</v>
      </c>
      <c r="CD10" s="59">
        <f ca="1">AVERAGE(OFFSET($CC$3,0,0,'Données projet'!$E$12+1,1))-AVERAGE(OFFSET($H$3,0,0,'Données projet'!$E$12+1,1))</f>
        <v>265.17389489035344</v>
      </c>
      <c r="CE10" s="59">
        <f t="shared" si="40"/>
        <v>101.57852403610769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7.4312217194570129</v>
      </c>
      <c r="CT10" s="12">
        <f>IF('Données projet'!$A$140&gt;35,CT9+CS10-DB9,IF(A10&lt;'Données projet'!$A$140,$CQ$205^A10,IF(A10='Données projet'!$A$140,'Données projet'!$B$140,CT9+CS10-DB9)))</f>
        <v>7.3337701280605696</v>
      </c>
      <c r="CU10" s="17">
        <f>CT10*VLOOKUP('Données projet'!$B$13,Paramètres!$A$1:$I$89,3,0)*VLOOKUP('Données projet'!$B$13,Paramètres!$A$1:$I$89,5,0)</f>
        <v>4.3855945365802205</v>
      </c>
      <c r="CV10" s="13">
        <f t="shared" si="41"/>
        <v>1.7015645433219191</v>
      </c>
      <c r="CW10" s="20">
        <f t="shared" si="13"/>
        <v>10.601802064162893</v>
      </c>
      <c r="CX10" s="59">
        <f t="shared" si="14"/>
        <v>303.9351353974962</v>
      </c>
      <c r="CY10" s="59">
        <f ca="1">AVERAGE(OFFSET($CX$3,0,0,'Données projet'!$E$13+1,1))-AVERAGE(OFFSET($H$3,0,0,'Données projet'!$E$13+1,1))</f>
        <v>182.34243693018033</v>
      </c>
      <c r="CZ10" s="59">
        <f t="shared" si="42"/>
        <v>182.65916563909786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2.5115384615384619</v>
      </c>
      <c r="DO10" s="12">
        <f>IF('Données projet'!$A$166&gt;35,DO9+DN10-DW9,IF(A10&lt;'Données projet'!$A$166,$DL$205^A10,IF(A10='Données projet'!$A$166,'Données projet'!$B$166,DO9+DN10-DW9)))</f>
        <v>2.7414537315103114</v>
      </c>
      <c r="DP10" s="17">
        <f>DO10*VLOOKUP('Données projet'!$B$14,Paramètres!$A$1:$I$89,3,0)*VLOOKUP('Données projet'!$B$14,Paramètres!$A$1:$I$89,5,0)</f>
        <v>2.6087673709052122</v>
      </c>
      <c r="DQ10" s="13">
        <f t="shared" si="43"/>
        <v>1.0752621128233117</v>
      </c>
      <c r="DR10" s="20">
        <f t="shared" si="16"/>
        <v>6.4163513508271786</v>
      </c>
      <c r="DS10" s="59">
        <f t="shared" si="17"/>
        <v>299.74968468416051</v>
      </c>
      <c r="DT10" s="59">
        <f ca="1">AVERAGE(OFFSET($DS$3,0,0,'Données projet'!$E$14+1,1))-AVERAGE(OFFSET($H$3,0,0,'Données projet'!$E$14+1,1))</f>
        <v>286.10360882057586</v>
      </c>
      <c r="DU10" s="59">
        <f t="shared" si="44"/>
        <v>109.24531387923128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307.38101051293881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304.46514237932377</v>
      </c>
      <c r="S11" s="59">
        <f ca="1">AVERAGE(OFFSET($R$3,0,0,'Données projet'!$E$9+1,1))-AVERAGE(OFFSET($H$3,0,0,'Données projet'!$E$9+1,1))</f>
        <v>262.42149466677068</v>
      </c>
      <c r="T11" s="59">
        <f t="shared" si="34"/>
        <v>232.7693253699756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9.4117948717948714</v>
      </c>
      <c r="AI11" s="13">
        <f>IF('Données projet'!$A$62&gt;35,AI10+AH11-AQ10,IF(A11&lt;'Données projet'!$A$62,$AF$205^A11,IF(A11='Données projet'!$A$62,'Données projet'!$B$62,AI10+AH11-AQ10)))</f>
        <v>14.01330732378262</v>
      </c>
      <c r="AJ11" s="13">
        <f>AI11*VLOOKUP('Données projet'!$B$10,Paramètres!$A$1:$I$89,3,0)*VLOOKUP('Données projet'!$B$10,Paramètres!$A$1:$I$89,5,0)</f>
        <v>8.3799577796220071</v>
      </c>
      <c r="AK11" s="13">
        <f t="shared" si="35"/>
        <v>3.0152862434423646</v>
      </c>
      <c r="AL11" s="20">
        <f t="shared" si="4"/>
        <v>19.846716673503781</v>
      </c>
      <c r="AM11" s="59">
        <f t="shared" si="5"/>
        <v>313.18005000683712</v>
      </c>
      <c r="AN11" s="59">
        <f ca="1">AVERAGE(OFFSET($AM$3,0,0,'Données projet'!$E$10+1,1))-AVERAGE(OFFSET($H$3,0,0,'Données projet'!$E$10+1,1))</f>
        <v>249.37919739649828</v>
      </c>
      <c r="AO11" s="59">
        <f t="shared" si="36"/>
        <v>315.05045383693073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1.8</v>
      </c>
      <c r="BD11" s="12">
        <f>IF('Données projet'!$A$88&gt;35,BD10+BC11-BL10,IF(A11&lt;'Données projet'!$A$88,$BA$205^A11,IF(A11='Données projet'!$A$88,'Données projet'!$B$88,BD10+BC11-BL10)))</f>
        <v>10.097596309015799</v>
      </c>
      <c r="BE11" s="13">
        <f>BD11*VLOOKUP('Données projet'!$B$11,Paramètres!$A$1:$I$89,3,0)*VLOOKUP('Données projet'!$B$11,Paramètres!$A$1:$I$89,5,0)</f>
        <v>8.8212601355562033</v>
      </c>
      <c r="BF11" s="13">
        <f t="shared" si="37"/>
        <v>3.1551711996443523</v>
      </c>
      <c r="BG11" s="20">
        <f t="shared" si="7"/>
        <v>20.858951242140964</v>
      </c>
      <c r="BH11" s="59">
        <f t="shared" si="8"/>
        <v>314.19228457547428</v>
      </c>
      <c r="BI11" s="59">
        <f ca="1">AVERAGE(OFFSET($BH$3,0,0,'Données projet'!$E$11+1,1))-AVERAGE(OFFSET($H$3,0,0,'Données projet'!$E$11+1,1))</f>
        <v>186.80594222554424</v>
      </c>
      <c r="BJ11" s="59">
        <f t="shared" si="38"/>
        <v>179.02867751001872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2.5115384615384619</v>
      </c>
      <c r="BY11" s="12">
        <f>IF('Données projet'!$A$114&gt;35,BY10+BX11-CG10,IF(A11&lt;'Données projet'!$A$114,$BV$205^A11,IF(A11='Données projet'!$A$114,'Données projet'!$B$114,BY10+BX11-CG10)))</f>
        <v>3.1662822293565043</v>
      </c>
      <c r="BZ11" s="13">
        <f>BY11*VLOOKUP('Données projet'!$B$12,Paramètres!$A$1:$I$89,3,0)*VLOOKUP('Données projet'!$B$12,Paramètres!$A$1:$I$89,5,0)</f>
        <v>2.8648521611217652</v>
      </c>
      <c r="CA11" s="13">
        <f t="shared" si="39"/>
        <v>1.1680127468744104</v>
      </c>
      <c r="CB11" s="20">
        <f t="shared" si="10"/>
        <v>7.0239063814266727</v>
      </c>
      <c r="CC11" s="59">
        <f t="shared" si="11"/>
        <v>300.35723971476</v>
      </c>
      <c r="CD11" s="59">
        <f ca="1">AVERAGE(OFFSET($CC$3,0,0,'Données projet'!$E$12+1,1))-AVERAGE(OFFSET($H$3,0,0,'Données projet'!$E$12+1,1))</f>
        <v>265.17389489035344</v>
      </c>
      <c r="CE11" s="59">
        <f t="shared" si="40"/>
        <v>101.57852403610769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7.4312217194570129</v>
      </c>
      <c r="CT11" s="12">
        <f>IF('Données projet'!$A$140&gt;35,CT10+CS11-DB10,IF(A11&lt;'Données projet'!$A$140,$CQ$205^A11,IF(A11='Données projet'!$A$140,'Données projet'!$B$140,CT10+CS11-DB10)))</f>
        <v>9.748672435120179</v>
      </c>
      <c r="CU11" s="17">
        <f>CT11*VLOOKUP('Données projet'!$B$13,Paramètres!$A$1:$I$89,3,0)*VLOOKUP('Données projet'!$B$13,Paramètres!$A$1:$I$89,5,0)</f>
        <v>5.8297061162018684</v>
      </c>
      <c r="CV11" s="13">
        <f t="shared" si="41"/>
        <v>2.1881518405377438</v>
      </c>
      <c r="CW11" s="20">
        <f t="shared" si="13"/>
        <v>13.96443594132149</v>
      </c>
      <c r="CX11" s="59">
        <f t="shared" si="14"/>
        <v>307.2977692746548</v>
      </c>
      <c r="CY11" s="59">
        <f ca="1">AVERAGE(OFFSET($CX$3,0,0,'Données projet'!$E$13+1,1))-AVERAGE(OFFSET($H$3,0,0,'Données projet'!$E$13+1,1))</f>
        <v>182.34243693018033</v>
      </c>
      <c r="CZ11" s="59">
        <f t="shared" si="42"/>
        <v>182.65916563909786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2.5115384615384619</v>
      </c>
      <c r="DO11" s="12">
        <f>IF('Données projet'!$A$166&gt;35,DO10+DN11-DW10,IF(A11&lt;'Données projet'!$A$166,$DL$205^A11,IF(A11='Données projet'!$A$166,'Données projet'!$B$166,DO10+DN11-DW10)))</f>
        <v>3.1662822293565043</v>
      </c>
      <c r="DP11" s="17">
        <f>DO11*VLOOKUP('Données projet'!$B$14,Paramètres!$A$1:$I$89,3,0)*VLOOKUP('Données projet'!$B$14,Paramètres!$A$1:$I$89,5,0)</f>
        <v>3.0130341694556493</v>
      </c>
      <c r="DQ11" s="13">
        <f t="shared" si="43"/>
        <v>1.2212372693365159</v>
      </c>
      <c r="DR11" s="20">
        <f t="shared" si="16"/>
        <v>7.3746894225630202</v>
      </c>
      <c r="DS11" s="59">
        <f t="shared" si="17"/>
        <v>300.70802275589631</v>
      </c>
      <c r="DT11" s="59">
        <f ca="1">AVERAGE(OFFSET($DS$3,0,0,'Données projet'!$E$14+1,1))-AVERAGE(OFFSET($H$3,0,0,'Données projet'!$E$14+1,1))</f>
        <v>286.10360882057586</v>
      </c>
      <c r="DU11" s="59">
        <f t="shared" si="44"/>
        <v>109.24531387923128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309.07827361378656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307.5865821468015</v>
      </c>
      <c r="S12" s="59">
        <f ca="1">AVERAGE(OFFSET($R$3,0,0,'Données projet'!$E$9+1,1))-AVERAGE(OFFSET($H$3,0,0,'Données projet'!$E$9+1,1))</f>
        <v>262.42149466677068</v>
      </c>
      <c r="T12" s="59">
        <f t="shared" si="34"/>
        <v>232.7693253699756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9.4117948717948714</v>
      </c>
      <c r="AI12" s="13">
        <f>IF('Données projet'!$A$62&gt;35,AI11+AH12-AQ11,IF(A12&lt;'Données projet'!$A$62,$AF$205^A12,IF(A12='Données projet'!$A$62,'Données projet'!$B$62,AI11+AH12-AQ11)))</f>
        <v>19.492081895039593</v>
      </c>
      <c r="AJ12" s="13">
        <f>AI12*VLOOKUP('Données projet'!$B$10,Paramètres!$A$1:$I$89,3,0)*VLOOKUP('Données projet'!$B$10,Paramètres!$A$1:$I$89,5,0)</f>
        <v>11.656264973233679</v>
      </c>
      <c r="AK12" s="13">
        <f t="shared" si="35"/>
        <v>4.0361189847883647</v>
      </c>
      <c r="AL12" s="20">
        <f t="shared" si="4"/>
        <v>27.330902060221728</v>
      </c>
      <c r="AM12" s="59">
        <f t="shared" si="5"/>
        <v>320.66423539355503</v>
      </c>
      <c r="AN12" s="59">
        <f ca="1">AVERAGE(OFFSET($AM$3,0,0,'Données projet'!$E$10+1,1))-AVERAGE(OFFSET($H$3,0,0,'Données projet'!$E$10+1,1))</f>
        <v>249.37919739649828</v>
      </c>
      <c r="AO12" s="59">
        <f t="shared" si="36"/>
        <v>315.05045383693073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1.8</v>
      </c>
      <c r="BD12" s="12">
        <f>IF('Données projet'!$A$88&gt;35,BD11+BC12-BL11,IF(A12&lt;'Données projet'!$A$88,$BA$205^A12,IF(A12='Données projet'!$A$88,'Données projet'!$B$88,BD11+BC12-BL11)))</f>
        <v>13.48171849440139</v>
      </c>
      <c r="BE12" s="13">
        <f>BD12*VLOOKUP('Données projet'!$B$11,Paramètres!$A$1:$I$89,3,0)*VLOOKUP('Données projet'!$B$11,Paramètres!$A$1:$I$89,5,0)</f>
        <v>11.777629276709055</v>
      </c>
      <c r="BF12" s="13">
        <f t="shared" si="37"/>
        <v>4.0732288167499631</v>
      </c>
      <c r="BG12" s="20">
        <f t="shared" si="7"/>
        <v>27.606911179441123</v>
      </c>
      <c r="BH12" s="59">
        <f t="shared" si="8"/>
        <v>320.94024451277443</v>
      </c>
      <c r="BI12" s="59">
        <f ca="1">AVERAGE(OFFSET($BH$3,0,0,'Données projet'!$E$11+1,1))-AVERAGE(OFFSET($H$3,0,0,'Données projet'!$E$11+1,1))</f>
        <v>186.80594222554424</v>
      </c>
      <c r="BJ12" s="59">
        <f t="shared" si="38"/>
        <v>179.02867751001872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2.5115384615384619</v>
      </c>
      <c r="BY12" s="12">
        <f>IF('Données projet'!$A$114&gt;35,BY11+BX12-CG11,IF(A12&lt;'Données projet'!$A$114,$BV$205^A12,IF(A12='Données projet'!$A$114,'Données projet'!$B$114,BY11+BX12-CG11)))</f>
        <v>3.6569441390556205</v>
      </c>
      <c r="BZ12" s="13">
        <f>BY12*VLOOKUP('Données projet'!$B$12,Paramètres!$A$1:$I$89,3,0)*VLOOKUP('Données projet'!$B$12,Paramètres!$A$1:$I$89,5,0)</f>
        <v>3.3088030570175251</v>
      </c>
      <c r="CA12" s="13">
        <f t="shared" si="39"/>
        <v>1.3265795200370261</v>
      </c>
      <c r="CB12" s="20">
        <f t="shared" si="10"/>
        <v>8.0732913217033442</v>
      </c>
      <c r="CC12" s="59">
        <f t="shared" si="11"/>
        <v>301.40662465503664</v>
      </c>
      <c r="CD12" s="59">
        <f ca="1">AVERAGE(OFFSET($CC$3,0,0,'Données projet'!$E$12+1,1))-AVERAGE(OFFSET($H$3,0,0,'Données projet'!$E$12+1,1))</f>
        <v>265.17389489035344</v>
      </c>
      <c r="CE12" s="59">
        <f t="shared" si="40"/>
        <v>101.57852403610769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7.4312217194570129</v>
      </c>
      <c r="CT12" s="12">
        <f>IF('Données projet'!$A$140&gt;35,CT11+CS12-DB11,IF(A12&lt;'Données projet'!$A$140,$CQ$205^A12,IF(A12='Données projet'!$A$140,'Données projet'!$B$140,CT11+CS12-DB11)))</f>
        <v>12.958766444511483</v>
      </c>
      <c r="CU12" s="17">
        <f>CT12*VLOOKUP('Données projet'!$B$13,Paramètres!$A$1:$I$89,3,0)*VLOOKUP('Données projet'!$B$13,Paramètres!$A$1:$I$89,5,0)</f>
        <v>7.7493423338178671</v>
      </c>
      <c r="CV12" s="13">
        <f t="shared" si="41"/>
        <v>2.8138859005026107</v>
      </c>
      <c r="CW12" s="20">
        <f t="shared" si="13"/>
        <v>18.397622508108167</v>
      </c>
      <c r="CX12" s="59">
        <f t="shared" si="14"/>
        <v>311.73095584144147</v>
      </c>
      <c r="CY12" s="59">
        <f ca="1">AVERAGE(OFFSET($CX$3,0,0,'Données projet'!$E$13+1,1))-AVERAGE(OFFSET($H$3,0,0,'Données projet'!$E$13+1,1))</f>
        <v>182.34243693018033</v>
      </c>
      <c r="CZ12" s="59">
        <f t="shared" si="42"/>
        <v>182.65916563909786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2.5115384615384619</v>
      </c>
      <c r="DO12" s="12">
        <f>IF('Données projet'!$A$166&gt;35,DO11+DN12-DW11,IF(A12&lt;'Données projet'!$A$166,$DL$205^A12,IF(A12='Données projet'!$A$166,'Données projet'!$B$166,DO11+DN12-DW11)))</f>
        <v>3.6569441390556205</v>
      </c>
      <c r="DP12" s="17">
        <f>DO12*VLOOKUP('Données projet'!$B$14,Paramètres!$A$1:$I$89,3,0)*VLOOKUP('Données projet'!$B$14,Paramètres!$A$1:$I$89,5,0)</f>
        <v>3.4799480427253289</v>
      </c>
      <c r="DQ12" s="13">
        <f t="shared" si="43"/>
        <v>1.387029683488515</v>
      </c>
      <c r="DR12" s="20">
        <f t="shared" si="16"/>
        <v>8.4766528731557784</v>
      </c>
      <c r="DS12" s="59">
        <f t="shared" si="17"/>
        <v>301.8099862064891</v>
      </c>
      <c r="DT12" s="59">
        <f ca="1">AVERAGE(OFFSET($DS$3,0,0,'Données projet'!$E$14+1,1))-AVERAGE(OFFSET($H$3,0,0,'Données projet'!$E$14+1,1))</f>
        <v>286.10360882057586</v>
      </c>
      <c r="DU12" s="59">
        <f t="shared" si="44"/>
        <v>109.24531387923128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310.77012443754745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311.5864924430474</v>
      </c>
      <c r="S13" s="59">
        <f ca="1">AVERAGE(OFFSET($R$3,0,0,'Données projet'!$E$9+1,1))-AVERAGE(OFFSET($H$3,0,0,'Données projet'!$E$9+1,1))</f>
        <v>262.42149466677068</v>
      </c>
      <c r="T13" s="59">
        <f t="shared" si="34"/>
        <v>232.7693253699756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9.4117948717948714</v>
      </c>
      <c r="AI13" s="13">
        <f>IF('Données projet'!$A$62&gt;35,AI12+AH13-AQ12,IF(A13&lt;'Données projet'!$A$62,$AF$205^A13,IF(A13='Données projet'!$A$62,'Données projet'!$B$62,AI12+AH13-AQ12)))</f>
        <v>27.112889757160666</v>
      </c>
      <c r="AJ13" s="13">
        <f>AI13*VLOOKUP('Données projet'!$B$10,Paramètres!$A$1:$I$89,3,0)*VLOOKUP('Données projet'!$B$10,Paramètres!$A$1:$I$89,5,0)</f>
        <v>16.21350807478208</v>
      </c>
      <c r="AK13" s="13">
        <f t="shared" si="35"/>
        <v>5.4025572181735821</v>
      </c>
      <c r="AL13" s="20">
        <f t="shared" si="4"/>
        <v>37.647980385231108</v>
      </c>
      <c r="AM13" s="59">
        <f t="shared" si="5"/>
        <v>330.98131371856442</v>
      </c>
      <c r="AN13" s="59">
        <f ca="1">AVERAGE(OFFSET($AM$3,0,0,'Données projet'!$E$10+1,1))-AVERAGE(OFFSET($H$3,0,0,'Données projet'!$E$10+1,1))</f>
        <v>249.37919739649828</v>
      </c>
      <c r="AO13" s="59">
        <f t="shared" si="36"/>
        <v>315.05045383693073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18</v>
      </c>
      <c r="BB13" s="12">
        <f>VLOOKUP(A13,'Données projet'!$A$87:$I$107,9,0)</f>
        <v>1.8</v>
      </c>
      <c r="BC13" s="12">
        <f t="array" ref="BC13">INDEX(BB:BB,MIN(IF(ISNUMBER(BB13:BB209),ROW(BB13:BB209),"")))</f>
        <v>1.8</v>
      </c>
      <c r="BD13" s="12">
        <f>IF('Données projet'!$A$88&gt;35,BD12+BC13-BL12,IF(A13&lt;'Données projet'!$A$88,$BA$205^A13,IF(A13='Données projet'!$A$88,'Données projet'!$B$88,BD12+BC13-BL12)))</f>
        <v>18</v>
      </c>
      <c r="BE13" s="13">
        <f>BD13*VLOOKUP('Données projet'!$B$11,Paramètres!$A$1:$I$89,3,0)*VLOOKUP('Données projet'!$B$11,Paramètres!$A$1:$I$89,5,0)</f>
        <v>15.724800000000004</v>
      </c>
      <c r="BF13" s="13">
        <f t="shared" si="37"/>
        <v>5.2584129176484753</v>
      </c>
      <c r="BG13" s="20">
        <f t="shared" si="7"/>
        <v>36.545762498237771</v>
      </c>
      <c r="BH13" s="59">
        <f t="shared" si="8"/>
        <v>329.87909583157108</v>
      </c>
      <c r="BI13" s="59">
        <f ca="1">AVERAGE(OFFSET($BH$3,0,0,'Données projet'!$E$11+1,1))-AVERAGE(OFFSET($H$3,0,0,'Données projet'!$E$11+1,1))</f>
        <v>186.80594222554424</v>
      </c>
      <c r="BJ13" s="59">
        <f t="shared" si="38"/>
        <v>179.02867751001872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2.5115384615384619</v>
      </c>
      <c r="BY13" s="12">
        <f>IF('Données projet'!$A$114&gt;35,BY12+BX13-CG12,IF(A13&lt;'Données projet'!$A$114,$BV$205^A13,IF(A13='Données projet'!$A$114,'Données projet'!$B$114,BY12+BX13-CG12)))</f>
        <v>4.2236413141513127</v>
      </c>
      <c r="BZ13" s="13">
        <f>BY13*VLOOKUP('Données projet'!$B$12,Paramètres!$A$1:$I$89,3,0)*VLOOKUP('Données projet'!$B$12,Paramètres!$A$1:$I$89,5,0)</f>
        <v>3.8215506610441077</v>
      </c>
      <c r="CA13" s="13">
        <f t="shared" si="39"/>
        <v>1.5066729602831042</v>
      </c>
      <c r="CB13" s="20">
        <f t="shared" si="10"/>
        <v>9.2799894738115594</v>
      </c>
      <c r="CC13" s="59">
        <f t="shared" si="11"/>
        <v>302.61332280714487</v>
      </c>
      <c r="CD13" s="59">
        <f ca="1">AVERAGE(OFFSET($CC$3,0,0,'Données projet'!$E$12+1,1))-AVERAGE(OFFSET($H$3,0,0,'Données projet'!$E$12+1,1))</f>
        <v>265.17389489035344</v>
      </c>
      <c r="CE13" s="59">
        <f t="shared" si="40"/>
        <v>101.57852403610769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7.4312217194570129</v>
      </c>
      <c r="CT13" s="12">
        <f>IF('Données projet'!$A$140&gt;35,CT12+CS13-DB12,IF(A13&lt;'Données projet'!$A$140,$CQ$205^A13,IF(A13='Données projet'!$A$140,'Données projet'!$B$140,CT12+CS13-DB12)))</f>
        <v>17.225897052240693</v>
      </c>
      <c r="CU13" s="17">
        <f>CT13*VLOOKUP('Données projet'!$B$13,Paramètres!$A$1:$I$89,3,0)*VLOOKUP('Données projet'!$B$13,Paramètres!$A$1:$I$89,5,0)</f>
        <v>10.301086437239935</v>
      </c>
      <c r="CV13" s="13">
        <f t="shared" si="41"/>
        <v>3.6185577775542006</v>
      </c>
      <c r="CW13" s="20">
        <f t="shared" si="13"/>
        <v>24.243380340766453</v>
      </c>
      <c r="CX13" s="59">
        <f t="shared" si="14"/>
        <v>317.57671367409978</v>
      </c>
      <c r="CY13" s="59">
        <f ca="1">AVERAGE(OFFSET($CX$3,0,0,'Données projet'!$E$13+1,1))-AVERAGE(OFFSET($H$3,0,0,'Données projet'!$E$13+1,1))</f>
        <v>182.34243693018033</v>
      </c>
      <c r="CZ13" s="59">
        <f t="shared" si="42"/>
        <v>182.65916563909786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2.5115384615384619</v>
      </c>
      <c r="DO13" s="12">
        <f>IF('Données projet'!$A$166&gt;35,DO12+DN13-DW12,IF(A13&lt;'Données projet'!$A$166,$DL$205^A13,IF(A13='Données projet'!$A$166,'Données projet'!$B$166,DO12+DN13-DW12)))</f>
        <v>4.2236413141513127</v>
      </c>
      <c r="DP13" s="17">
        <f>DO13*VLOOKUP('Données projet'!$B$14,Paramètres!$A$1:$I$89,3,0)*VLOOKUP('Données projet'!$B$14,Paramètres!$A$1:$I$89,5,0)</f>
        <v>4.0192170745463889</v>
      </c>
      <c r="DQ13" s="13">
        <f t="shared" si="43"/>
        <v>1.5753297014293184</v>
      </c>
      <c r="DR13" s="20">
        <f t="shared" si="16"/>
        <v>9.7438356348243556</v>
      </c>
      <c r="DS13" s="59">
        <f t="shared" si="17"/>
        <v>303.07716896815765</v>
      </c>
      <c r="DT13" s="59">
        <f ca="1">AVERAGE(OFFSET($DS$3,0,0,'Données projet'!$E$14+1,1))-AVERAGE(OFFSET($H$3,0,0,'Données projet'!$E$14+1,1))</f>
        <v>286.10360882057586</v>
      </c>
      <c r="DU13" s="59">
        <f t="shared" si="44"/>
        <v>109.24531387923128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312.45716582374195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316.71294168836005</v>
      </c>
      <c r="S14" s="59">
        <f ca="1">AVERAGE(OFFSET($R$3,0,0,'Données projet'!$E$9+1,1))-AVERAGE(OFFSET($H$3,0,0,'Données projet'!$E$9+1,1))</f>
        <v>262.42149466677068</v>
      </c>
      <c r="T14" s="59">
        <f t="shared" si="34"/>
        <v>232.7693253699756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9.4117948717948714</v>
      </c>
      <c r="AI14" s="13">
        <f>IF('Données projet'!$A$62&gt;35,AI13+AH14-AQ13,IF(A14&lt;'Données projet'!$A$62,$AF$205^A14,IF(A14='Données projet'!$A$62,'Données projet'!$B$62,AI13+AH14-AQ13)))</f>
        <v>37.713200413498193</v>
      </c>
      <c r="AJ14" s="13">
        <f>AI14*VLOOKUP('Données projet'!$B$10,Paramètres!$A$1:$I$89,3,0)*VLOOKUP('Données projet'!$B$10,Paramètres!$A$1:$I$89,5,0)</f>
        <v>22.552493847271922</v>
      </c>
      <c r="AK14" s="13">
        <f t="shared" si="35"/>
        <v>7.2316065521467667</v>
      </c>
      <c r="AL14" s="20">
        <f t="shared" si="4"/>
        <v>51.873974862320885</v>
      </c>
      <c r="AM14" s="59">
        <f t="shared" si="5"/>
        <v>345.20730819565421</v>
      </c>
      <c r="AN14" s="59">
        <f ca="1">AVERAGE(OFFSET($AM$3,0,0,'Données projet'!$E$10+1,1))-AVERAGE(OFFSET($H$3,0,0,'Données projet'!$E$10+1,1))</f>
        <v>249.37919739649828</v>
      </c>
      <c r="AO14" s="59">
        <f t="shared" si="36"/>
        <v>315.05045383693073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</v>
      </c>
      <c r="BD14" s="12">
        <f>IF('Données projet'!$A$88&gt;35,BD13+BC14-BL13,IF(A14&lt;'Données projet'!$A$88,$BA$205^A14,IF(A14='Données projet'!$A$88,'Données projet'!$B$88,BD13+BC14-BL13)))</f>
        <v>23.8</v>
      </c>
      <c r="BE14" s="13">
        <f>BD14*VLOOKUP('Données projet'!$B$11,Paramètres!$A$1:$I$89,3,0)*VLOOKUP('Données projet'!$B$11,Paramètres!$A$1:$I$89,5,0)</f>
        <v>20.791680000000003</v>
      </c>
      <c r="BF14" s="13">
        <f t="shared" si="37"/>
        <v>6.7303755760501467</v>
      </c>
      <c r="BG14" s="20">
        <f t="shared" si="7"/>
        <v>47.934246794954014</v>
      </c>
      <c r="BH14" s="59">
        <f t="shared" si="8"/>
        <v>341.26758012828731</v>
      </c>
      <c r="BI14" s="59">
        <f ca="1">AVERAGE(OFFSET($BH$3,0,0,'Données projet'!$E$11+1,1))-AVERAGE(OFFSET($H$3,0,0,'Données projet'!$E$11+1,1))</f>
        <v>186.80594222554424</v>
      </c>
      <c r="BJ14" s="59">
        <f t="shared" si="38"/>
        <v>179.02867751001872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2.5115384615384619</v>
      </c>
      <c r="BY14" s="12">
        <f>IF('Données projet'!$A$114&gt;35,BY13+BX14-CG13,IF(A14&lt;'Données projet'!$A$114,$BV$205^A14,IF(A14='Données projet'!$A$114,'Données projet'!$B$114,BY13+BX14-CG13)))</f>
        <v>4.8781565351481309</v>
      </c>
      <c r="BZ14" s="13">
        <f>BY14*VLOOKUP('Données projet'!$B$12,Paramètres!$A$1:$I$89,3,0)*VLOOKUP('Données projet'!$B$12,Paramètres!$A$1:$I$89,5,0)</f>
        <v>4.413756033002028</v>
      </c>
      <c r="CA14" s="13">
        <f t="shared" si="39"/>
        <v>1.7112154793290431</v>
      </c>
      <c r="CB14" s="20">
        <f t="shared" si="10"/>
        <v>10.66765871730995</v>
      </c>
      <c r="CC14" s="59">
        <f t="shared" si="11"/>
        <v>304.00099205064328</v>
      </c>
      <c r="CD14" s="59">
        <f ca="1">AVERAGE(OFFSET($CC$3,0,0,'Données projet'!$E$12+1,1))-AVERAGE(OFFSET($H$3,0,0,'Données projet'!$E$12+1,1))</f>
        <v>265.17389489035344</v>
      </c>
      <c r="CE14" s="59">
        <f t="shared" si="40"/>
        <v>101.57852403610769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7.4312217194570129</v>
      </c>
      <c r="CT14" s="12">
        <f>IF('Données projet'!$A$140&gt;35,CT13+CS14-DB13,IF(A14&lt;'Données projet'!$A$140,$CQ$205^A14,IF(A14='Données projet'!$A$140,'Données projet'!$B$140,CT13+CS14-DB13)))</f>
        <v>22.89813081553541</v>
      </c>
      <c r="CU14" s="17">
        <f>CT14*VLOOKUP('Données projet'!$B$13,Paramètres!$A$1:$I$89,3,0)*VLOOKUP('Données projet'!$B$13,Paramètres!$A$1:$I$89,5,0)</f>
        <v>13.693082227690176</v>
      </c>
      <c r="CV14" s="13">
        <f t="shared" si="41"/>
        <v>4.6533373606794726</v>
      </c>
      <c r="CW14" s="20">
        <f t="shared" si="13"/>
        <v>31.953347449743802</v>
      </c>
      <c r="CX14" s="59">
        <f t="shared" si="14"/>
        <v>325.28668078307714</v>
      </c>
      <c r="CY14" s="59">
        <f ca="1">AVERAGE(OFFSET($CX$3,0,0,'Données projet'!$E$13+1,1))-AVERAGE(OFFSET($H$3,0,0,'Données projet'!$E$13+1,1))</f>
        <v>182.34243693018033</v>
      </c>
      <c r="CZ14" s="59">
        <f t="shared" si="42"/>
        <v>182.65916563909786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2.5115384615384619</v>
      </c>
      <c r="DO14" s="12">
        <f>IF('Données projet'!$A$166&gt;35,DO13+DN14-DW13,IF(A14&lt;'Données projet'!$A$166,$DL$205^A14,IF(A14='Données projet'!$A$166,'Données projet'!$B$166,DO13+DN14-DW13)))</f>
        <v>4.8781565351481309</v>
      </c>
      <c r="DP14" s="17">
        <f>DO14*VLOOKUP('Données projet'!$B$14,Paramètres!$A$1:$I$89,3,0)*VLOOKUP('Données projet'!$B$14,Paramètres!$A$1:$I$89,5,0)</f>
        <v>4.6420537588469619</v>
      </c>
      <c r="DQ14" s="13">
        <f t="shared" si="43"/>
        <v>1.7891929046275064</v>
      </c>
      <c r="DR14" s="20">
        <f t="shared" si="16"/>
        <v>11.201087938884697</v>
      </c>
      <c r="DS14" s="59">
        <f t="shared" si="17"/>
        <v>304.53442127221803</v>
      </c>
      <c r="DT14" s="59">
        <f ca="1">AVERAGE(OFFSET($DS$3,0,0,'Données projet'!$E$14+1,1))-AVERAGE(OFFSET($H$3,0,0,'Données projet'!$E$14+1,1))</f>
        <v>286.10360882057586</v>
      </c>
      <c r="DU14" s="59">
        <f t="shared" si="44"/>
        <v>109.24531387923128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314.13988471799752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323.28426917937514</v>
      </c>
      <c r="S15" s="59">
        <f ca="1">AVERAGE(OFFSET($R$3,0,0,'Données projet'!$E$9+1,1))-AVERAGE(OFFSET($H$3,0,0,'Données projet'!$E$9+1,1))</f>
        <v>262.42149466677068</v>
      </c>
      <c r="T15" s="59">
        <f t="shared" si="34"/>
        <v>232.7693253699756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9.4117948717948714</v>
      </c>
      <c r="AI15" s="13">
        <f>IF('Données projet'!$A$62&gt;35,AI14+AH15-AQ14,IF(A15&lt;'Données projet'!$A$62,$AF$205^A15,IF(A15='Données projet'!$A$62,'Données projet'!$B$62,AI14+AH15-AQ14)))</f>
        <v>52.457908329489165</v>
      </c>
      <c r="AJ15" s="13">
        <f>AI15*VLOOKUP('Données projet'!$B$10,Paramètres!$A$1:$I$89,3,0)*VLOOKUP('Données projet'!$B$10,Paramètres!$A$1:$I$89,5,0)</f>
        <v>31.369829181034525</v>
      </c>
      <c r="AK15" s="13">
        <f t="shared" si="35"/>
        <v>9.6798851383070676</v>
      </c>
      <c r="AL15" s="20">
        <f t="shared" si="4"/>
        <v>71.4949191061866</v>
      </c>
      <c r="AM15" s="59">
        <f t="shared" si="5"/>
        <v>364.82825243951993</v>
      </c>
      <c r="AN15" s="59">
        <f ca="1">AVERAGE(OFFSET($AM$3,0,0,'Données projet'!$E$10+1,1))-AVERAGE(OFFSET($H$3,0,0,'Données projet'!$E$10+1,1))</f>
        <v>249.37919739649828</v>
      </c>
      <c r="AO15" s="59">
        <f t="shared" si="36"/>
        <v>315.05045383693073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</v>
      </c>
      <c r="BD15" s="12">
        <f>IF('Données projet'!$A$88&gt;35,BD14+BC15-BL14,IF(A15&lt;'Données projet'!$A$88,$BA$205^A15,IF(A15='Données projet'!$A$88,'Données projet'!$B$88,BD14+BC15-BL14)))</f>
        <v>29.6</v>
      </c>
      <c r="BE15" s="13">
        <f>BD15*VLOOKUP('Données projet'!$B$11,Paramètres!$A$1:$I$89,3,0)*VLOOKUP('Données projet'!$B$11,Paramètres!$A$1:$I$89,5,0)</f>
        <v>25.858560000000008</v>
      </c>
      <c r="BF15" s="13">
        <f t="shared" si="37"/>
        <v>8.1607346448714608</v>
      </c>
      <c r="BG15" s="20">
        <f t="shared" si="7"/>
        <v>59.250271506484466</v>
      </c>
      <c r="BH15" s="59">
        <f t="shared" si="8"/>
        <v>352.58360483981778</v>
      </c>
      <c r="BI15" s="59">
        <f ca="1">AVERAGE(OFFSET($BH$3,0,0,'Données projet'!$E$11+1,1))-AVERAGE(OFFSET($H$3,0,0,'Données projet'!$E$11+1,1))</f>
        <v>186.80594222554424</v>
      </c>
      <c r="BJ15" s="59">
        <f t="shared" si="38"/>
        <v>179.02867751001872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2.5115384615384619</v>
      </c>
      <c r="BY15" s="12">
        <f>IF('Données projet'!$A$114&gt;35,BY14+BX15-CG14,IF(A15&lt;'Données projet'!$A$114,$BV$205^A15,IF(A15='Données projet'!$A$114,'Données projet'!$B$114,BY14+BX15-CG14)))</f>
        <v>5.6340984973507391</v>
      </c>
      <c r="BZ15" s="13">
        <f>BY15*VLOOKUP('Données projet'!$B$12,Paramètres!$A$1:$I$89,3,0)*VLOOKUP('Données projet'!$B$12,Paramètres!$A$1:$I$89,5,0)</f>
        <v>5.0977323204029483</v>
      </c>
      <c r="CA15" s="13">
        <f t="shared" si="39"/>
        <v>1.9435262289071051</v>
      </c>
      <c r="CB15" s="20">
        <f t="shared" si="10"/>
        <v>12.26352530671501</v>
      </c>
      <c r="CC15" s="59">
        <f t="shared" si="11"/>
        <v>305.59685864004831</v>
      </c>
      <c r="CD15" s="59">
        <f ca="1">AVERAGE(OFFSET($CC$3,0,0,'Données projet'!$E$12+1,1))-AVERAGE(OFFSET($H$3,0,0,'Données projet'!$E$12+1,1))</f>
        <v>265.17389489035344</v>
      </c>
      <c r="CE15" s="59">
        <f t="shared" si="40"/>
        <v>101.57852403610769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7.4312217194570129</v>
      </c>
      <c r="CT15" s="12">
        <f>IF('Données projet'!$A$140&gt;35,CT14+CS15-DB14,IF(A15&lt;'Données projet'!$A$140,$CQ$205^A15,IF(A15='Données projet'!$A$140,'Données projet'!$B$140,CT14+CS15-DB14)))</f>
        <v>30.438147473844893</v>
      </c>
      <c r="CU15" s="17">
        <f>CT15*VLOOKUP('Données projet'!$B$13,Paramètres!$A$1:$I$89,3,0)*VLOOKUP('Données projet'!$B$13,Paramètres!$A$1:$I$89,5,0)</f>
        <v>18.202012189359248</v>
      </c>
      <c r="CV15" s="13">
        <f t="shared" si="41"/>
        <v>5.984027317903192</v>
      </c>
      <c r="CW15" s="20">
        <f t="shared" si="13"/>
        <v>42.124018808482084</v>
      </c>
      <c r="CX15" s="59">
        <f t="shared" si="14"/>
        <v>335.45735214181542</v>
      </c>
      <c r="CY15" s="59">
        <f ca="1">AVERAGE(OFFSET($CX$3,0,0,'Données projet'!$E$13+1,1))-AVERAGE(OFFSET($H$3,0,0,'Données projet'!$E$13+1,1))</f>
        <v>182.34243693018033</v>
      </c>
      <c r="CZ15" s="59">
        <f t="shared" si="42"/>
        <v>182.65916563909786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2.5115384615384619</v>
      </c>
      <c r="DO15" s="12">
        <f>IF('Données projet'!$A$166&gt;35,DO14+DN15-DW14,IF(A15&lt;'Données projet'!$A$166,$DL$205^A15,IF(A15='Données projet'!$A$166,'Données projet'!$B$166,DO14+DN15-DW14)))</f>
        <v>5.6340984973507391</v>
      </c>
      <c r="DP15" s="17">
        <f>DO15*VLOOKUP('Données projet'!$B$14,Paramètres!$A$1:$I$89,3,0)*VLOOKUP('Données projet'!$B$14,Paramètres!$A$1:$I$89,5,0)</f>
        <v>5.3614081300789636</v>
      </c>
      <c r="DQ15" s="13">
        <f t="shared" si="43"/>
        <v>2.0320896933923787</v>
      </c>
      <c r="DR15" s="20">
        <f t="shared" si="16"/>
        <v>12.877008709212587</v>
      </c>
      <c r="DS15" s="59">
        <f t="shared" si="17"/>
        <v>306.2103420425459</v>
      </c>
      <c r="DT15" s="59">
        <f ca="1">AVERAGE(OFFSET($DS$3,0,0,'Données projet'!$E$14+1,1))-AVERAGE(OFFSET($H$3,0,0,'Données projet'!$E$14+1,1))</f>
        <v>286.10360882057586</v>
      </c>
      <c r="DU15" s="59">
        <f t="shared" si="44"/>
        <v>109.24531387923128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315.81868228038792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331.70904815163294</v>
      </c>
      <c r="S16" s="59">
        <f ca="1">AVERAGE(OFFSET($R$3,0,0,'Données projet'!$E$9+1,1))-AVERAGE(OFFSET($H$3,0,0,'Données projet'!$E$9+1,1))</f>
        <v>262.42149466677068</v>
      </c>
      <c r="T16" s="59">
        <f t="shared" si="34"/>
        <v>232.7693253699756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9.4117948717948714</v>
      </c>
      <c r="AI16" s="13">
        <f>IF('Données projet'!$A$62&gt;35,AI15+AH16-AQ15,IF(A16&lt;'Données projet'!$A$62,$AF$205^A16,IF(A16='Données projet'!$A$62,'Données projet'!$B$62,AI15+AH16-AQ15)))</f>
        <v>72.967346078646827</v>
      </c>
      <c r="AJ16" s="13">
        <f>AI16*VLOOKUP('Données projet'!$B$10,Paramètres!$A$1:$I$89,3,0)*VLOOKUP('Données projet'!$B$10,Paramètres!$A$1:$I$89,5,0)</f>
        <v>43.634472955030802</v>
      </c>
      <c r="AK16" s="13">
        <f t="shared" si="35"/>
        <v>12.957034597381723</v>
      </c>
      <c r="AL16" s="20">
        <f t="shared" si="4"/>
        <v>98.563542320451802</v>
      </c>
      <c r="AM16" s="59">
        <f t="shared" si="5"/>
        <v>391.89687565378512</v>
      </c>
      <c r="AN16" s="59">
        <f ca="1">AVERAGE(OFFSET($AM$3,0,0,'Données projet'!$E$10+1,1))-AVERAGE(OFFSET($H$3,0,0,'Données projet'!$E$10+1,1))</f>
        <v>249.37919739649828</v>
      </c>
      <c r="AO16" s="59">
        <f t="shared" si="36"/>
        <v>315.05045383693073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</v>
      </c>
      <c r="BD16" s="12">
        <f>IF('Données projet'!$A$88&gt;35,BD15+BC16-BL15,IF(A16&lt;'Données projet'!$A$88,$BA$205^A16,IF(A16='Données projet'!$A$88,'Données projet'!$B$88,BD15+BC16-BL15)))</f>
        <v>35.4</v>
      </c>
      <c r="BE16" s="13">
        <f>BD16*VLOOKUP('Données projet'!$B$11,Paramètres!$A$1:$I$89,3,0)*VLOOKUP('Données projet'!$B$11,Paramètres!$A$1:$I$89,5,0)</f>
        <v>30.925440000000002</v>
      </c>
      <c r="BF16" s="13">
        <f t="shared" si="37"/>
        <v>9.5586196975402125</v>
      </c>
      <c r="BG16" s="20">
        <f t="shared" si="7"/>
        <v>70.509737306549212</v>
      </c>
      <c r="BH16" s="59">
        <f t="shared" si="8"/>
        <v>363.84307063988251</v>
      </c>
      <c r="BI16" s="59">
        <f ca="1">AVERAGE(OFFSET($BH$3,0,0,'Données projet'!$E$11+1,1))-AVERAGE(OFFSET($H$3,0,0,'Données projet'!$E$11+1,1))</f>
        <v>186.80594222554424</v>
      </c>
      <c r="BJ16" s="59">
        <f t="shared" si="38"/>
        <v>179.02867751001872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2.5115384615384619</v>
      </c>
      <c r="BY16" s="12">
        <f>IF('Données projet'!$A$114&gt;35,BY15+BX16-CG15,IF(A16&lt;'Données projet'!$A$114,$BV$205^A16,IF(A16='Données projet'!$A$114,'Données projet'!$B$114,BY15+BX16-CG15)))</f>
        <v>6.5071847631650357</v>
      </c>
      <c r="BZ16" s="13">
        <f>BY16*VLOOKUP('Données projet'!$B$12,Paramètres!$A$1:$I$89,3,0)*VLOOKUP('Données projet'!$B$12,Paramètres!$A$1:$I$89,5,0)</f>
        <v>5.8877007737117237</v>
      </c>
      <c r="CA16" s="13">
        <f t="shared" si="39"/>
        <v>2.2073749612941369</v>
      </c>
      <c r="CB16" s="20">
        <f t="shared" si="10"/>
        <v>14.098923571801871</v>
      </c>
      <c r="CC16" s="59">
        <f t="shared" si="11"/>
        <v>307.4322569051352</v>
      </c>
      <c r="CD16" s="59">
        <f ca="1">AVERAGE(OFFSET($CC$3,0,0,'Données projet'!$E$12+1,1))-AVERAGE(OFFSET($H$3,0,0,'Données projet'!$E$12+1,1))</f>
        <v>265.17389489035344</v>
      </c>
      <c r="CE16" s="59">
        <f t="shared" si="40"/>
        <v>101.57852403610769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7.4312217194570129</v>
      </c>
      <c r="CT16" s="12">
        <f>IF('Données projet'!$A$140&gt;35,CT15+CS16-DB15,IF(A16&lt;'Données projet'!$A$140,$CQ$205^A16,IF(A16='Données projet'!$A$140,'Données projet'!$B$140,CT15+CS16-DB15)))</f>
        <v>40.460980378841768</v>
      </c>
      <c r="CU16" s="17">
        <f>CT16*VLOOKUP('Données projet'!$B$13,Paramètres!$A$1:$I$89,3,0)*VLOOKUP('Données projet'!$B$13,Paramètres!$A$1:$I$89,5,0)</f>
        <v>24.195666266547377</v>
      </c>
      <c r="CV16" s="13">
        <f t="shared" si="41"/>
        <v>7.6952475537219458</v>
      </c>
      <c r="CW16" s="20">
        <f t="shared" si="13"/>
        <v>55.543341570302402</v>
      </c>
      <c r="CX16" s="59">
        <f t="shared" si="14"/>
        <v>348.87667490363572</v>
      </c>
      <c r="CY16" s="59">
        <f ca="1">AVERAGE(OFFSET($CX$3,0,0,'Données projet'!$E$13+1,1))-AVERAGE(OFFSET($H$3,0,0,'Données projet'!$E$13+1,1))</f>
        <v>182.34243693018033</v>
      </c>
      <c r="CZ16" s="59">
        <f t="shared" si="42"/>
        <v>182.65916563909786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2.5115384615384619</v>
      </c>
      <c r="DO16" s="12">
        <f>IF('Données projet'!$A$166&gt;35,DO15+DN16-DW15,IF(A16&lt;'Données projet'!$A$166,$DL$205^A16,IF(A16='Données projet'!$A$166,'Données projet'!$B$166,DO15+DN16-DW15)))</f>
        <v>6.5071847631650357</v>
      </c>
      <c r="DP16" s="17">
        <f>DO16*VLOOKUP('Données projet'!$B$14,Paramètres!$A$1:$I$89,3,0)*VLOOKUP('Données projet'!$B$14,Paramètres!$A$1:$I$89,5,0)</f>
        <v>6.1922370206278483</v>
      </c>
      <c r="DQ16" s="13">
        <f t="shared" si="43"/>
        <v>2.3079616017431244</v>
      </c>
      <c r="DR16" s="20">
        <f t="shared" si="16"/>
        <v>14.804512600629446</v>
      </c>
      <c r="DS16" s="59">
        <f t="shared" si="17"/>
        <v>308.13784593396275</v>
      </c>
      <c r="DT16" s="59">
        <f ca="1">AVERAGE(OFFSET($DS$3,0,0,'Données projet'!$E$14+1,1))-AVERAGE(OFFSET($H$3,0,0,'Données projet'!$E$14+1,1))</f>
        <v>286.10360882057586</v>
      </c>
      <c r="DU16" s="59">
        <f t="shared" si="44"/>
        <v>109.24531387923128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317.49389444813346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342.51173498532353</v>
      </c>
      <c r="S17" s="59">
        <f ca="1">AVERAGE(OFFSET($R$3,0,0,'Données projet'!$E$9+1,1))-AVERAGE(OFFSET($H$3,0,0,'Données projet'!$E$9+1,1))</f>
        <v>262.42149466677068</v>
      </c>
      <c r="T17" s="59">
        <f t="shared" si="34"/>
        <v>232.7693253699756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9.4117948717948714</v>
      </c>
      <c r="AI17" s="13">
        <f>IF('Données projet'!$A$62&gt;35,AI16+AH17-AQ16,IF(A17&lt;'Données projet'!$A$62,$AF$205^A17,IF(A17='Données projet'!$A$62,'Données projet'!$B$62,AI16+AH17-AQ16)))</f>
        <v>101.49534671339541</v>
      </c>
      <c r="AJ17" s="13">
        <f>AI17*VLOOKUP('Données projet'!$B$10,Paramètres!$A$1:$I$89,3,0)*VLOOKUP('Données projet'!$B$10,Paramètres!$A$1:$I$89,5,0)</f>
        <v>60.694217334610457</v>
      </c>
      <c r="AK17" s="13">
        <f t="shared" si="35"/>
        <v>17.343671248056637</v>
      </c>
      <c r="AL17" s="20">
        <f t="shared" si="4"/>
        <v>135.91598928147849</v>
      </c>
      <c r="AM17" s="59">
        <f t="shared" si="5"/>
        <v>429.24932261481183</v>
      </c>
      <c r="AN17" s="59">
        <f ca="1">AVERAGE(OFFSET($AM$3,0,0,'Données projet'!$E$10+1,1))-AVERAGE(OFFSET($H$3,0,0,'Données projet'!$E$10+1,1))</f>
        <v>249.37919739649828</v>
      </c>
      <c r="AO17" s="59">
        <f t="shared" si="36"/>
        <v>315.05045383693073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</v>
      </c>
      <c r="BD17" s="12">
        <f>IF('Données projet'!$A$88&gt;35,BD16+BC17-BL16,IF(A17&lt;'Données projet'!$A$88,$BA$205^A17,IF(A17='Données projet'!$A$88,'Données projet'!$B$88,BD16+BC17-BL16)))</f>
        <v>41.199999999999996</v>
      </c>
      <c r="BE17" s="13">
        <f>BD17*VLOOKUP('Données projet'!$B$11,Paramètres!$A$1:$I$89,3,0)*VLOOKUP('Données projet'!$B$11,Paramètres!$A$1:$I$89,5,0)</f>
        <v>35.992319999999999</v>
      </c>
      <c r="BF17" s="13">
        <f t="shared" si="37"/>
        <v>10.929972788578748</v>
      </c>
      <c r="BG17" s="20">
        <f t="shared" si="7"/>
        <v>81.722993273441304</v>
      </c>
      <c r="BH17" s="59">
        <f t="shared" si="8"/>
        <v>375.05632660677463</v>
      </c>
      <c r="BI17" s="59">
        <f ca="1">AVERAGE(OFFSET($BH$3,0,0,'Données projet'!$E$11+1,1))-AVERAGE(OFFSET($H$3,0,0,'Données projet'!$E$11+1,1))</f>
        <v>186.80594222554424</v>
      </c>
      <c r="BJ17" s="59">
        <f t="shared" si="38"/>
        <v>179.02867751001872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2.5115384615384619</v>
      </c>
      <c r="BY17" s="12">
        <f>IF('Données projet'!$A$114&gt;35,BY16+BX17-CG16,IF(A17&lt;'Données projet'!$A$114,$BV$205^A17,IF(A17='Données projet'!$A$114,'Données projet'!$B$114,BY16+BX17-CG16)))</f>
        <v>7.5155685620118104</v>
      </c>
      <c r="BZ17" s="13">
        <f>BY17*VLOOKUP('Données projet'!$B$12,Paramètres!$A$1:$I$89,3,0)*VLOOKUP('Données projet'!$B$12,Paramètres!$A$1:$I$89,5,0)</f>
        <v>6.8000864349082857</v>
      </c>
      <c r="CA17" s="13">
        <f t="shared" si="39"/>
        <v>2.5070432018240512</v>
      </c>
      <c r="CB17" s="20">
        <f t="shared" si="10"/>
        <v>16.209917450642156</v>
      </c>
      <c r="CC17" s="59">
        <f t="shared" si="11"/>
        <v>309.54325078397545</v>
      </c>
      <c r="CD17" s="59">
        <f ca="1">AVERAGE(OFFSET($CC$3,0,0,'Données projet'!$E$12+1,1))-AVERAGE(OFFSET($H$3,0,0,'Données projet'!$E$12+1,1))</f>
        <v>265.17389489035344</v>
      </c>
      <c r="CE17" s="59">
        <f t="shared" si="40"/>
        <v>101.57852403610769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7.4312217194570129</v>
      </c>
      <c r="CT17" s="12">
        <f>IF('Données projet'!$A$140&gt;35,CT16+CS17-DB16,IF(A17&lt;'Données projet'!$A$140,$CQ$205^A17,IF(A17='Données projet'!$A$140,'Données projet'!$B$140,CT16+CS17-DB16)))</f>
        <v>53.784184291233551</v>
      </c>
      <c r="CU17" s="17">
        <f>CT17*VLOOKUP('Données projet'!$B$13,Paramètres!$A$1:$I$89,3,0)*VLOOKUP('Données projet'!$B$13,Paramètres!$A$1:$I$89,5,0)</f>
        <v>32.162942206157666</v>
      </c>
      <c r="CV17" s="13">
        <f t="shared" si="41"/>
        <v>9.8958162734145461</v>
      </c>
      <c r="CW17" s="20">
        <f t="shared" si="13"/>
        <v>73.252337685254929</v>
      </c>
      <c r="CX17" s="59">
        <f t="shared" si="14"/>
        <v>366.58567101858824</v>
      </c>
      <c r="CY17" s="59">
        <f ca="1">AVERAGE(OFFSET($CX$3,0,0,'Données projet'!$E$13+1,1))-AVERAGE(OFFSET($H$3,0,0,'Données projet'!$E$13+1,1))</f>
        <v>182.34243693018033</v>
      </c>
      <c r="CZ17" s="59">
        <f t="shared" si="42"/>
        <v>182.65916563909786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2.5115384615384619</v>
      </c>
      <c r="DO17" s="12">
        <f>IF('Données projet'!$A$166&gt;35,DO16+DN17-DW16,IF(A17&lt;'Données projet'!$A$166,$DL$205^A17,IF(A17='Données projet'!$A$166,'Données projet'!$B$166,DO16+DN17-DW16)))</f>
        <v>7.5155685620118104</v>
      </c>
      <c r="DP17" s="17">
        <f>DO17*VLOOKUP('Données projet'!$B$14,Paramètres!$A$1:$I$89,3,0)*VLOOKUP('Données projet'!$B$14,Paramètres!$A$1:$I$89,5,0)</f>
        <v>7.1518150436104388</v>
      </c>
      <c r="DQ17" s="13">
        <f t="shared" si="43"/>
        <v>2.6212852574574574</v>
      </c>
      <c r="DR17" s="20">
        <f t="shared" si="16"/>
        <v>17.02148302435992</v>
      </c>
      <c r="DS17" s="59">
        <f t="shared" si="17"/>
        <v>310.35481635769321</v>
      </c>
      <c r="DT17" s="59">
        <f ca="1">AVERAGE(OFFSET($DS$3,0,0,'Données projet'!$E$14+1,1))-AVERAGE(OFFSET($H$3,0,0,'Données projet'!$E$14+1,1))</f>
        <v>286.10360882057586</v>
      </c>
      <c r="DU17" s="59">
        <f t="shared" si="44"/>
        <v>109.24531387923128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319.1658064480248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356.36562801666247</v>
      </c>
      <c r="S18" s="59">
        <f ca="1">AVERAGE(OFFSET($R$3,0,0,'Données projet'!$E$9+1,1))-AVERAGE(OFFSET($H$3,0,0,'Données projet'!$E$9+1,1))</f>
        <v>262.42149466677068</v>
      </c>
      <c r="T18" s="59">
        <f t="shared" si="34"/>
        <v>232.7693253699756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141.17692307692306</v>
      </c>
      <c r="AG18" s="12">
        <f>VLOOKUP(A18,'Données projet'!$A$61:$I$81,9,0)</f>
        <v>9.4117948717948714</v>
      </c>
      <c r="AH18" s="12">
        <f t="array" ref="AH18">INDEX(AG:AG,MIN(IF(ISNUMBER(AG18:AG214),ROW(AG18:AG214),"")))</f>
        <v>9.4117948717948714</v>
      </c>
      <c r="AI18" s="13">
        <f>IF('Données projet'!$A$62&gt;35,AI17+AH18-AQ17,IF(A18&lt;'Données projet'!$A$62,$AF$205^A18,IF(A18='Données projet'!$A$62,'Données projet'!$B$62,AI17+AH18-AQ17)))</f>
        <v>141.17692307692306</v>
      </c>
      <c r="AJ18" s="13">
        <f>AI18*VLOOKUP('Données projet'!$B$10,Paramètres!$A$1:$I$89,3,0)*VLOOKUP('Données projet'!$B$10,Paramètres!$A$1:$I$89,5,0)</f>
        <v>84.423799999999986</v>
      </c>
      <c r="AK18" s="13">
        <f t="shared" si="35"/>
        <v>23.215414769475935</v>
      </c>
      <c r="AL18" s="20">
        <f t="shared" si="4"/>
        <v>187.47163239017053</v>
      </c>
      <c r="AM18" s="59">
        <f t="shared" si="5"/>
        <v>480.80496572350387</v>
      </c>
      <c r="AN18" s="59">
        <f ca="1">AVERAGE(OFFSET($AM$3,0,0,'Données projet'!$E$10+1,1))-AVERAGE(OFFSET($H$3,0,0,'Données projet'!$E$10+1,1))</f>
        <v>249.37919739649828</v>
      </c>
      <c r="AO18" s="59">
        <f t="shared" si="36"/>
        <v>315.05045383693073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49.784615384615385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0.25200000000000006</v>
      </c>
      <c r="AT18" s="16">
        <f>IF(ISNA(VLOOKUP(A18,'Données projet'!$A$61:$I$81,7,0)),0%,VLOOKUP(A18,'Données projet'!$A$61:$I$81,7,0))</f>
        <v>0.44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9.9131546026642408</v>
      </c>
      <c r="AW18" s="21">
        <f>EXP(-LN(2)/2)*AW17+(1-EXP(-LN(2)/2))/(LN(2)/2)*AQ18*AT18*VLOOKUP('Données projet'!$B$10,Paramètres!$A$1:$I$89,3,0)*0.475*44/12</f>
        <v>14.831482237492764</v>
      </c>
      <c r="AX18" s="21">
        <f t="shared" si="6"/>
        <v>24.744636840157007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47</v>
      </c>
      <c r="BB18" s="12">
        <f>VLOOKUP(A18,'Données projet'!$A$87:$I$107,9,0)</f>
        <v>5.8</v>
      </c>
      <c r="BC18" s="12">
        <f t="array" ref="BC18">INDEX(BB:BB,MIN(IF(ISNUMBER(BB18:BB214),ROW(BB18:BB214),"")))</f>
        <v>5.8</v>
      </c>
      <c r="BD18" s="12">
        <f>IF('Données projet'!$A$88&gt;35,BD17+BC18-BL17,IF(A18&lt;'Données projet'!$A$88,$BA$205^A18,IF(A18='Données projet'!$A$88,'Données projet'!$B$88,BD17+BC18-BL17)))</f>
        <v>46.999999999999993</v>
      </c>
      <c r="BE18" s="13">
        <f>BD18*VLOOKUP('Données projet'!$B$11,Paramètres!$A$1:$I$89,3,0)*VLOOKUP('Données projet'!$B$11,Paramètres!$A$1:$I$89,5,0)</f>
        <v>41.059200000000004</v>
      </c>
      <c r="BF18" s="13">
        <f t="shared" si="37"/>
        <v>12.278959527914743</v>
      </c>
      <c r="BG18" s="20">
        <f t="shared" si="7"/>
        <v>92.897294511118176</v>
      </c>
      <c r="BH18" s="59">
        <f t="shared" si="8"/>
        <v>386.23062784445148</v>
      </c>
      <c r="BI18" s="59">
        <f ca="1">AVERAGE(OFFSET($BH$3,0,0,'Données projet'!$E$11+1,1))-AVERAGE(OFFSET($H$3,0,0,'Données projet'!$E$11+1,1))</f>
        <v>186.80594222554424</v>
      </c>
      <c r="BJ18" s="59">
        <f t="shared" si="38"/>
        <v>179.02867751001872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2.5115384615384619</v>
      </c>
      <c r="BY18" s="12">
        <f>IF('Données projet'!$A$114&gt;35,BY17+BX18-CG17,IF(A18&lt;'Données projet'!$A$114,$BV$205^A18,IF(A18='Données projet'!$A$114,'Données projet'!$B$114,BY17+BX18-CG17)))</f>
        <v>8.6802162326841756</v>
      </c>
      <c r="BZ18" s="13">
        <f>BY18*VLOOKUP('Données projet'!$B$12,Paramètres!$A$1:$I$89,3,0)*VLOOKUP('Données projet'!$B$12,Paramètres!$A$1:$I$89,5,0)</f>
        <v>7.8538596473326416</v>
      </c>
      <c r="CA18" s="13">
        <f t="shared" si="39"/>
        <v>2.8473937260424811</v>
      </c>
      <c r="CB18" s="20">
        <f t="shared" si="10"/>
        <v>18.638016291961673</v>
      </c>
      <c r="CC18" s="59">
        <f t="shared" si="11"/>
        <v>311.97134962529498</v>
      </c>
      <c r="CD18" s="59">
        <f ca="1">AVERAGE(OFFSET($CC$3,0,0,'Données projet'!$E$12+1,1))-AVERAGE(OFFSET($H$3,0,0,'Données projet'!$E$12+1,1))</f>
        <v>265.17389489035344</v>
      </c>
      <c r="CE18" s="59">
        <f t="shared" si="40"/>
        <v>101.57852403610769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7.4312217194570129</v>
      </c>
      <c r="CT18" s="12">
        <f>IF('Données projet'!$A$140&gt;35,CT17+CS18-DB17,IF(A18&lt;'Données projet'!$A$140,$CQ$205^A18,IF(A18='Données projet'!$A$140,'Données projet'!$B$140,CT17+CS18-DB17)))</f>
        <v>71.494522692931866</v>
      </c>
      <c r="CU18" s="17">
        <f>CT18*VLOOKUP('Données projet'!$B$13,Paramètres!$A$1:$I$89,3,0)*VLOOKUP('Données projet'!$B$13,Paramètres!$A$1:$I$89,5,0)</f>
        <v>42.753724570373258</v>
      </c>
      <c r="CV18" s="13">
        <f t="shared" si="41"/>
        <v>12.725669841487028</v>
      </c>
      <c r="CW18" s="20">
        <f t="shared" si="13"/>
        <v>96.626611933989992</v>
      </c>
      <c r="CX18" s="59">
        <f t="shared" si="14"/>
        <v>389.95994526732329</v>
      </c>
      <c r="CY18" s="59">
        <f ca="1">AVERAGE(OFFSET($CX$3,0,0,'Données projet'!$E$13+1,1))-AVERAGE(OFFSET($H$3,0,0,'Données projet'!$E$13+1,1))</f>
        <v>182.34243693018033</v>
      </c>
      <c r="CZ18" s="59">
        <f t="shared" si="42"/>
        <v>182.65916563909786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2.5115384615384619</v>
      </c>
      <c r="DO18" s="12">
        <f>IF('Données projet'!$A$166&gt;35,DO17+DN18-DW17,IF(A18&lt;'Données projet'!$A$166,$DL$205^A18,IF(A18='Données projet'!$A$166,'Données projet'!$B$166,DO17+DN18-DW17)))</f>
        <v>8.6802162326841756</v>
      </c>
      <c r="DP18" s="17">
        <f>DO18*VLOOKUP('Données projet'!$B$14,Paramètres!$A$1:$I$89,3,0)*VLOOKUP('Données projet'!$B$14,Paramètres!$A$1:$I$89,5,0)</f>
        <v>8.2600937670222621</v>
      </c>
      <c r="DQ18" s="13">
        <f t="shared" si="43"/>
        <v>2.9771450251920468</v>
      </c>
      <c r="DR18" s="20">
        <f t="shared" si="16"/>
        <v>19.571524229773253</v>
      </c>
      <c r="DS18" s="59">
        <f t="shared" si="17"/>
        <v>312.90485756310659</v>
      </c>
      <c r="DT18" s="59">
        <f ca="1">AVERAGE(OFFSET($DS$3,0,0,'Données projet'!$E$14+1,1))-AVERAGE(OFFSET($H$3,0,0,'Données projet'!$E$14+1,1))</f>
        <v>286.10360882057586</v>
      </c>
      <c r="DU18" s="59">
        <f t="shared" si="44"/>
        <v>109.24531387923128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320.83466332506777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374.13522393344454</v>
      </c>
      <c r="S19" s="59">
        <f ca="1">AVERAGE(OFFSET($R$3,0,0,'Données projet'!$E$9+1,1))-AVERAGE(OFFSET($H$3,0,0,'Données projet'!$E$9+1,1))</f>
        <v>262.42149466677068</v>
      </c>
      <c r="T19" s="59">
        <f t="shared" si="34"/>
        <v>232.7693253699756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18.463076923076926</v>
      </c>
      <c r="AI19" s="13">
        <f>IF('Données projet'!$A$62&gt;35,AI18+AH19-AQ18,IF(A19&lt;'Données projet'!$A$62,$AF$205^A19,IF(A19='Données projet'!$A$62,'Données projet'!$B$62,AI18+AH19-AQ18)))</f>
        <v>109.85538461538459</v>
      </c>
      <c r="AJ19" s="13">
        <f>AI19*VLOOKUP('Données projet'!$B$10,Paramètres!$A$1:$I$89,3,0)*VLOOKUP('Données projet'!$B$10,Paramètres!$A$1:$I$89,5,0)</f>
        <v>65.693519999999992</v>
      </c>
      <c r="AK19" s="13">
        <f t="shared" si="35"/>
        <v>18.600086973007183</v>
      </c>
      <c r="AL19" s="20">
        <f t="shared" si="4"/>
        <v>146.81136547798749</v>
      </c>
      <c r="AM19" s="59">
        <f t="shared" si="5"/>
        <v>440.14469881132084</v>
      </c>
      <c r="AN19" s="59">
        <f ca="1">AVERAGE(OFFSET($AM$3,0,0,'Données projet'!$E$10+1,1))-AVERAGE(OFFSET($H$3,0,0,'Données projet'!$E$10+1,1))</f>
        <v>249.37919739649828</v>
      </c>
      <c r="AO19" s="59">
        <f t="shared" si="36"/>
        <v>315.05045383693073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9.6420788687442442</v>
      </c>
      <c r="AW19" s="21">
        <f>EXP(-LN(2)/2)*AW18+(1-EXP(-LN(2)/2))/(LN(2)/2)*AQ19*AT19*VLOOKUP('Données projet'!$B$10,Paramètres!$A$1:$I$89,3,0)*0.475*44/12</f>
        <v>10.487441665178963</v>
      </c>
      <c r="AX19" s="21">
        <f t="shared" si="6"/>
        <v>20.129520533923206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</v>
      </c>
      <c r="BD19" s="12">
        <f>IF('Données projet'!$A$88&gt;35,BD18+BC19-BL18,IF(A19&lt;'Données projet'!$A$88,$BA$205^A19,IF(A19='Données projet'!$A$88,'Données projet'!$B$88,BD18+BC19-BL18)))</f>
        <v>54.999999999999993</v>
      </c>
      <c r="BE19" s="13">
        <f>BD19*VLOOKUP('Données projet'!$B$11,Paramètres!$A$1:$I$89,3,0)*VLOOKUP('Données projet'!$B$11,Paramètres!$A$1:$I$89,5,0)</f>
        <v>48.048000000000002</v>
      </c>
      <c r="BF19" s="13">
        <f t="shared" si="37"/>
        <v>14.108484750160615</v>
      </c>
      <c r="BG19" s="20">
        <f t="shared" si="7"/>
        <v>108.25587760652974</v>
      </c>
      <c r="BH19" s="59">
        <f t="shared" si="8"/>
        <v>401.58921093986305</v>
      </c>
      <c r="BI19" s="59">
        <f ca="1">AVERAGE(OFFSET($BH$3,0,0,'Données projet'!$E$11+1,1))-AVERAGE(OFFSET($H$3,0,0,'Données projet'!$E$11+1,1))</f>
        <v>186.80594222554424</v>
      </c>
      <c r="BJ19" s="59">
        <f t="shared" si="38"/>
        <v>179.02867751001872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2.5115384615384619</v>
      </c>
      <c r="BY19" s="12">
        <f>IF('Données projet'!$A$114&gt;35,BY18+BX19-CG18,IF(A19&lt;'Données projet'!$A$114,$BV$205^A19,IF(A19='Données projet'!$A$114,'Données projet'!$B$114,BY18+BX19-CG18)))</f>
        <v>10.025343155938796</v>
      </c>
      <c r="BZ19" s="13">
        <f>BY19*VLOOKUP('Données projet'!$B$12,Paramètres!$A$1:$I$89,3,0)*VLOOKUP('Données projet'!$B$12,Paramètres!$A$1:$I$89,5,0)</f>
        <v>9.0709304874934222</v>
      </c>
      <c r="CA19" s="13">
        <f t="shared" si="39"/>
        <v>3.2339494689230706</v>
      </c>
      <c r="CB19" s="20">
        <f t="shared" si="10"/>
        <v>21.430999257425388</v>
      </c>
      <c r="CC19" s="59">
        <f t="shared" si="11"/>
        <v>314.76433259075873</v>
      </c>
      <c r="CD19" s="59">
        <f ca="1">AVERAGE(OFFSET($CC$3,0,0,'Données projet'!$E$12+1,1))-AVERAGE(OFFSET($H$3,0,0,'Données projet'!$E$12+1,1))</f>
        <v>265.17389489035344</v>
      </c>
      <c r="CE19" s="59">
        <f t="shared" si="40"/>
        <v>101.57852403610769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7.4312217194570129</v>
      </c>
      <c r="CT19" s="12">
        <f>IF('Données projet'!$A$140&gt;35,CT18+CS19-DB18,IF(A19&lt;'Données projet'!$A$140,$CQ$205^A19,IF(A19='Données projet'!$A$140,'Données projet'!$B$140,CT18+CS19-DB18)))</f>
        <v>95.036614247271999</v>
      </c>
      <c r="CU19" s="17">
        <f>CT19*VLOOKUP('Données projet'!$B$13,Paramètres!$A$1:$I$89,3,0)*VLOOKUP('Données projet'!$B$13,Paramètres!$A$1:$I$89,5,0)</f>
        <v>56.831895319868664</v>
      </c>
      <c r="CV19" s="13">
        <f t="shared" si="41"/>
        <v>16.364761474967661</v>
      </c>
      <c r="CW19" s="20">
        <f t="shared" si="13"/>
        <v>127.4841772510066</v>
      </c>
      <c r="CX19" s="59">
        <f t="shared" si="14"/>
        <v>420.81751058433991</v>
      </c>
      <c r="CY19" s="59">
        <f ca="1">AVERAGE(OFFSET($CX$3,0,0,'Données projet'!$E$13+1,1))-AVERAGE(OFFSET($H$3,0,0,'Données projet'!$E$13+1,1))</f>
        <v>182.34243693018033</v>
      </c>
      <c r="CZ19" s="59">
        <f t="shared" si="42"/>
        <v>182.65916563909786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2.5115384615384619</v>
      </c>
      <c r="DO19" s="12">
        <f>IF('Données projet'!$A$166&gt;35,DO18+DN19-DW18,IF(A19&lt;'Données projet'!$A$166,$DL$205^A19,IF(A19='Données projet'!$A$166,'Données projet'!$B$166,DO18+DN19-DW18)))</f>
        <v>10.025343155938796</v>
      </c>
      <c r="DP19" s="17">
        <f>DO19*VLOOKUP('Données projet'!$B$14,Paramètres!$A$1:$I$89,3,0)*VLOOKUP('Données projet'!$B$14,Paramètres!$A$1:$I$89,5,0)</f>
        <v>9.5401165471913583</v>
      </c>
      <c r="DQ19" s="13">
        <f t="shared" si="43"/>
        <v>3.3813155114689391</v>
      </c>
      <c r="DR19" s="20">
        <f t="shared" si="16"/>
        <v>22.504827502166687</v>
      </c>
      <c r="DS19" s="59">
        <f t="shared" si="17"/>
        <v>315.83816083549999</v>
      </c>
      <c r="DT19" s="59">
        <f ca="1">AVERAGE(OFFSET($DS$3,0,0,'Données projet'!$E$14+1,1))-AVERAGE(OFFSET($H$3,0,0,'Données projet'!$E$14+1,1))</f>
        <v>286.10360882057586</v>
      </c>
      <c r="DU19" s="59">
        <f t="shared" si="44"/>
        <v>109.24531387923128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322.50067776239382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396.93065741732249</v>
      </c>
      <c r="S20" s="59">
        <f ca="1">AVERAGE(OFFSET($R$3,0,0,'Données projet'!$E$9+1,1))-AVERAGE(OFFSET($H$3,0,0,'Données projet'!$E$9+1,1))</f>
        <v>262.42149466677068</v>
      </c>
      <c r="T20" s="59">
        <f t="shared" si="34"/>
        <v>232.7693253699756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18.463076923076926</v>
      </c>
      <c r="AI20" s="13">
        <f>IF('Données projet'!$A$62&gt;35,AI19+AH20-AQ19,IF(A20&lt;'Données projet'!$A$62,$AF$205^A20,IF(A20='Données projet'!$A$62,'Données projet'!$B$62,AI19+AH20-AQ19)))</f>
        <v>128.31846153846152</v>
      </c>
      <c r="AJ20" s="13">
        <f>AI20*VLOOKUP('Données projet'!$B$10,Paramètres!$A$1:$I$89,3,0)*VLOOKUP('Données projet'!$B$10,Paramètres!$A$1:$I$89,5,0)</f>
        <v>76.734439999999992</v>
      </c>
      <c r="AK20" s="13">
        <f t="shared" si="35"/>
        <v>21.336811414414317</v>
      </c>
      <c r="AL20" s="20">
        <f t="shared" si="4"/>
        <v>170.80742954677157</v>
      </c>
      <c r="AM20" s="59">
        <f t="shared" si="5"/>
        <v>464.14076288010489</v>
      </c>
      <c r="AN20" s="59">
        <f ca="1">AVERAGE(OFFSET($AM$3,0,0,'Données projet'!$E$10+1,1))-AVERAGE(OFFSET($H$3,0,0,'Données projet'!$E$10+1,1))</f>
        <v>249.37919739649828</v>
      </c>
      <c r="AO20" s="59">
        <f t="shared" si="36"/>
        <v>315.05045383693073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9.378415715023543</v>
      </c>
      <c r="AW20" s="21">
        <f>EXP(-LN(2)/2)*AW19+(1-EXP(-LN(2)/2))/(LN(2)/2)*AQ20*AT20*VLOOKUP('Données projet'!$B$10,Paramètres!$A$1:$I$89,3,0)*0.475*44/12</f>
        <v>7.4157411187463831</v>
      </c>
      <c r="AX20" s="21">
        <f t="shared" si="6"/>
        <v>16.794156833769925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</v>
      </c>
      <c r="BD20" s="12">
        <f>IF('Données projet'!$A$88&gt;35,BD19+BC20-BL19,IF(A20&lt;'Données projet'!$A$88,$BA$205^A20,IF(A20='Données projet'!$A$88,'Données projet'!$B$88,BD19+BC20-BL19)))</f>
        <v>62.999999999999993</v>
      </c>
      <c r="BE20" s="13">
        <f>BD20*VLOOKUP('Données projet'!$B$11,Paramètres!$A$1:$I$89,3,0)*VLOOKUP('Données projet'!$B$11,Paramètres!$A$1:$I$89,5,0)</f>
        <v>55.036800000000007</v>
      </c>
      <c r="BF20" s="13">
        <f t="shared" si="37"/>
        <v>15.907180538864345</v>
      </c>
      <c r="BG20" s="20">
        <f t="shared" si="7"/>
        <v>123.56076610518875</v>
      </c>
      <c r="BH20" s="59">
        <f t="shared" si="8"/>
        <v>416.89409943852206</v>
      </c>
      <c r="BI20" s="59">
        <f ca="1">AVERAGE(OFFSET($BH$3,0,0,'Données projet'!$E$11+1,1))-AVERAGE(OFFSET($H$3,0,0,'Données projet'!$E$11+1,1))</f>
        <v>186.80594222554424</v>
      </c>
      <c r="BJ20" s="59">
        <f t="shared" si="38"/>
        <v>179.02867751001872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2.5115384615384619</v>
      </c>
      <c r="BY20" s="12">
        <f>IF('Données projet'!$A$114&gt;35,BY19+BX20-CG19,IF(A20&lt;'Données projet'!$A$114,$BV$205^A20,IF(A20='Données projet'!$A$114,'Données projet'!$B$114,BY19+BX20-CG19)))</f>
        <v>11.578917241241234</v>
      </c>
      <c r="BZ20" s="13">
        <f>BY20*VLOOKUP('Données projet'!$B$12,Paramètres!$A$1:$I$89,3,0)*VLOOKUP('Données projet'!$B$12,Paramètres!$A$1:$I$89,5,0)</f>
        <v>10.476604319875069</v>
      </c>
      <c r="CA20" s="13">
        <f t="shared" si="39"/>
        <v>3.6729831466207905</v>
      </c>
      <c r="CB20" s="20">
        <f t="shared" si="10"/>
        <v>24.643864837480283</v>
      </c>
      <c r="CC20" s="59">
        <f t="shared" si="11"/>
        <v>317.97719817081361</v>
      </c>
      <c r="CD20" s="59">
        <f ca="1">AVERAGE(OFFSET($CC$3,0,0,'Données projet'!$E$12+1,1))-AVERAGE(OFFSET($H$3,0,0,'Données projet'!$E$12+1,1))</f>
        <v>265.17389489035344</v>
      </c>
      <c r="CE20" s="59">
        <f t="shared" si="40"/>
        <v>101.57852403610769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>
        <f>VLOOKUP(A20,'Données projet'!$A$139:$I$159,2,0)</f>
        <v>126.33076923076922</v>
      </c>
      <c r="CR20" s="12">
        <f>VLOOKUP(A20,'Données projet'!$A$139:$I$159,9,0)</f>
        <v>7.4312217194570129</v>
      </c>
      <c r="CS20" s="12">
        <f t="array" ref="CS20">INDEX(CR:CR,MIN(IF(ISNUMBER(CR20:CR216),ROW(CR20:CR216),"")))</f>
        <v>7.4312217194570129</v>
      </c>
      <c r="CT20" s="12">
        <f>IF('Données projet'!$A$140&gt;35,CT19+CS20-DB19,IF(A20&lt;'Données projet'!$A$140,$CQ$205^A20,IF(A20='Données projet'!$A$140,'Données projet'!$B$140,CT19+CS20-DB19)))</f>
        <v>126.33076923076922</v>
      </c>
      <c r="CU20" s="17">
        <f>CT20*VLOOKUP('Données projet'!$B$13,Paramètres!$A$1:$I$89,3,0)*VLOOKUP('Données projet'!$B$13,Paramètres!$A$1:$I$89,5,0)</f>
        <v>75.5458</v>
      </c>
      <c r="CV20" s="13">
        <f t="shared" si="41"/>
        <v>21.044504648353485</v>
      </c>
      <c r="CW20" s="20">
        <f t="shared" si="13"/>
        <v>168.22811392921565</v>
      </c>
      <c r="CX20" s="59">
        <f t="shared" si="14"/>
        <v>461.561447262549</v>
      </c>
      <c r="CY20" s="59">
        <f ca="1">AVERAGE(OFFSET($CX$3,0,0,'Données projet'!$E$13+1,1))-AVERAGE(OFFSET($H$3,0,0,'Données projet'!$E$13+1,1))</f>
        <v>182.34243693018033</v>
      </c>
      <c r="CZ20" s="59">
        <f t="shared" si="42"/>
        <v>182.65916563909786</v>
      </c>
      <c r="DA20" s="15">
        <f>IF(ISNA(VLOOKUP(A20,'Données projet'!$A$139:$I$159,3,0)),0,VLOOKUP(A20,'Données projet'!$A$139:$I$159,3,0))</f>
        <v>1</v>
      </c>
      <c r="DB20" s="15">
        <f>IF(ISNA(VLOOKUP(A20,'Données projet'!$A$139:$I$159,4,0)),0,VLOOKUP(A20,'Données projet'!$A$139:$I$159,4,0))</f>
        <v>42.084615384615383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0.25200000000000006</v>
      </c>
      <c r="DE20" s="16">
        <f>IF(ISNA(VLOOKUP(A20,'Données projet'!$A$139:$I$159,7,0)),0%,VLOOKUP(A20,'Données projet'!$A$139:$I$159,7,0))</f>
        <v>0.44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8.3799241086489591</v>
      </c>
      <c r="DH20" s="21">
        <f>EXP(-LN(2)/2)*DH19+(1-EXP(-LN(2)/2))/(LN(2)/2)*DB20*DE20*VLOOKUP('Données projet'!$B$13,Paramètres!$A$1:$I$89,3,0)*0.475*44/12</f>
        <v>12.537552429129006</v>
      </c>
      <c r="DI20" s="22">
        <f t="shared" si="15"/>
        <v>20.917476537777965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2.5115384615384619</v>
      </c>
      <c r="DO20" s="12">
        <f>IF('Données projet'!$A$166&gt;35,DO19+DN20-DW19,IF(A20&lt;'Données projet'!$A$166,$DL$205^A20,IF(A20='Données projet'!$A$166,'Données projet'!$B$166,DO19+DN20-DW19)))</f>
        <v>11.578917241241234</v>
      </c>
      <c r="DP20" s="17">
        <f>DO20*VLOOKUP('Données projet'!$B$14,Paramètres!$A$1:$I$89,3,0)*VLOOKUP('Données projet'!$B$14,Paramètres!$A$1:$I$89,5,0)</f>
        <v>11.018497646765159</v>
      </c>
      <c r="DQ20" s="13">
        <f t="shared" si="43"/>
        <v>3.8403552703526511</v>
      </c>
      <c r="DR20" s="20">
        <f t="shared" si="16"/>
        <v>25.879168830646851</v>
      </c>
      <c r="DS20" s="59">
        <f t="shared" si="17"/>
        <v>319.21250216398016</v>
      </c>
      <c r="DT20" s="59">
        <f ca="1">AVERAGE(OFFSET($DS$3,0,0,'Données projet'!$E$14+1,1))-AVERAGE(OFFSET($H$3,0,0,'Données projet'!$E$14+1,1))</f>
        <v>286.10360882057586</v>
      </c>
      <c r="DU20" s="59">
        <f t="shared" si="44"/>
        <v>109.24531387923128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324.16403600810418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426.17767879021477</v>
      </c>
      <c r="S21" s="59">
        <f ca="1">AVERAGE(OFFSET($R$3,0,0,'Données projet'!$E$9+1,1))-AVERAGE(OFFSET($H$3,0,0,'Données projet'!$E$9+1,1))</f>
        <v>262.42149466677068</v>
      </c>
      <c r="T21" s="59">
        <f t="shared" si="34"/>
        <v>232.7693253699756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18.463076923076926</v>
      </c>
      <c r="AI21" s="13">
        <f>IF('Données projet'!$A$62&gt;35,AI20+AH21-AQ20,IF(A21&lt;'Données projet'!$A$62,$AF$205^A21,IF(A21='Données projet'!$A$62,'Données projet'!$B$62,AI20+AH21-AQ20)))</f>
        <v>146.78153846153845</v>
      </c>
      <c r="AJ21" s="13">
        <f>AI21*VLOOKUP('Données projet'!$B$10,Paramètres!$A$1:$I$89,3,0)*VLOOKUP('Données projet'!$B$10,Paramètres!$A$1:$I$89,5,0)</f>
        <v>87.775359999999992</v>
      </c>
      <c r="AK21" s="13">
        <f t="shared" si="35"/>
        <v>24.02791634919064</v>
      </c>
      <c r="AL21" s="20">
        <f t="shared" si="4"/>
        <v>194.72403964150703</v>
      </c>
      <c r="AM21" s="59">
        <f t="shared" si="5"/>
        <v>488.05737297484035</v>
      </c>
      <c r="AN21" s="59">
        <f ca="1">AVERAGE(OFFSET($AM$3,0,0,'Données projet'!$E$10+1,1))-AVERAGE(OFFSET($H$3,0,0,'Données projet'!$E$10+1,1))</f>
        <v>249.37919739649828</v>
      </c>
      <c r="AO21" s="59">
        <f t="shared" si="36"/>
        <v>315.05045383693073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9.1219624441067761</v>
      </c>
      <c r="AW21" s="21">
        <f>EXP(-LN(2)/2)*AW20+(1-EXP(-LN(2)/2))/(LN(2)/2)*AQ21*AT21*VLOOKUP('Données projet'!$B$10,Paramètres!$A$1:$I$89,3,0)*0.475*44/12</f>
        <v>5.2437208325894824</v>
      </c>
      <c r="AX21" s="21">
        <f t="shared" si="6"/>
        <v>14.365683276696259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</v>
      </c>
      <c r="BD21" s="12">
        <f>IF('Données projet'!$A$88&gt;35,BD20+BC21-BL20,IF(A21&lt;'Données projet'!$A$88,$BA$205^A21,IF(A21='Données projet'!$A$88,'Données projet'!$B$88,BD20+BC21-BL20)))</f>
        <v>71</v>
      </c>
      <c r="BE21" s="13">
        <f>BD21*VLOOKUP('Données projet'!$B$11,Paramètres!$A$1:$I$89,3,0)*VLOOKUP('Données projet'!$B$11,Paramètres!$A$1:$I$89,5,0)</f>
        <v>62.025600000000011</v>
      </c>
      <c r="BF21" s="13">
        <f t="shared" si="37"/>
        <v>17.679410406677221</v>
      </c>
      <c r="BG21" s="20">
        <f t="shared" si="7"/>
        <v>138.8195597916295</v>
      </c>
      <c r="BH21" s="59">
        <f t="shared" si="8"/>
        <v>432.15289312496282</v>
      </c>
      <c r="BI21" s="59">
        <f ca="1">AVERAGE(OFFSET($BH$3,0,0,'Données projet'!$E$11+1,1))-AVERAGE(OFFSET($H$3,0,0,'Données projet'!$E$11+1,1))</f>
        <v>186.80594222554424</v>
      </c>
      <c r="BJ21" s="59">
        <f t="shared" si="38"/>
        <v>179.02867751001872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2.5115384615384619</v>
      </c>
      <c r="BY21" s="12">
        <f>IF('Données projet'!$A$114&gt;35,BY20+BX21-CG20,IF(A21&lt;'Données projet'!$A$114,$BV$205^A21,IF(A21='Données projet'!$A$114,'Données projet'!$B$114,BY20+BX21-CG20)))</f>
        <v>13.373240436173255</v>
      </c>
      <c r="BZ21" s="13">
        <f>BY21*VLOOKUP('Données projet'!$B$12,Paramètres!$A$1:$I$89,3,0)*VLOOKUP('Données projet'!$B$12,Paramètres!$A$1:$I$89,5,0)</f>
        <v>12.10010794664956</v>
      </c>
      <c r="CA21" s="13">
        <f t="shared" si="39"/>
        <v>4.1716190450721236</v>
      </c>
      <c r="CB21" s="20">
        <f t="shared" si="10"/>
        <v>28.339924510581934</v>
      </c>
      <c r="CC21" s="59">
        <f t="shared" si="11"/>
        <v>321.67325784391522</v>
      </c>
      <c r="CD21" s="59">
        <f ca="1">AVERAGE(OFFSET($CC$3,0,0,'Données projet'!$E$12+1,1))-AVERAGE(OFFSET($H$3,0,0,'Données projet'!$E$12+1,1))</f>
        <v>265.17389489035344</v>
      </c>
      <c r="CE21" s="59">
        <f t="shared" si="40"/>
        <v>101.57852403610769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14.926923076923075</v>
      </c>
      <c r="CT21" s="12">
        <f>IF('Données projet'!$A$140&gt;35,CT20+CS21-DB20,IF(A21&lt;'Données projet'!$A$140,$CQ$205^A21,IF(A21='Données projet'!$A$140,'Données projet'!$B$140,CT20+CS21-DB20)))</f>
        <v>99.173076923076934</v>
      </c>
      <c r="CU21" s="17">
        <f>CT21*VLOOKUP('Données projet'!$B$13,Paramètres!$A$1:$I$89,3,0)*VLOOKUP('Données projet'!$B$13,Paramètres!$A$1:$I$89,5,0)</f>
        <v>59.305500000000016</v>
      </c>
      <c r="CV21" s="13">
        <f t="shared" si="41"/>
        <v>16.992558820122873</v>
      </c>
      <c r="CW21" s="20">
        <f t="shared" si="13"/>
        <v>132.88578577838067</v>
      </c>
      <c r="CX21" s="59">
        <f t="shared" si="14"/>
        <v>426.21911911171401</v>
      </c>
      <c r="CY21" s="59">
        <f ca="1">AVERAGE(OFFSET($CX$3,0,0,'Données projet'!$E$13+1,1))-AVERAGE(OFFSET($H$3,0,0,'Données projet'!$E$13+1,1))</f>
        <v>182.34243693018033</v>
      </c>
      <c r="CZ21" s="59">
        <f t="shared" si="42"/>
        <v>182.65916563909786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8.1507746432168968</v>
      </c>
      <c r="DH21" s="21">
        <f>EXP(-LN(2)/2)*DH20+(1-EXP(-LN(2)/2))/(LN(2)/2)*DB21*DE21*VLOOKUP('Données projet'!$B$13,Paramètres!$A$1:$I$89,3,0)*0.475*44/12</f>
        <v>8.8653883421189921</v>
      </c>
      <c r="DI21" s="22">
        <f t="shared" si="15"/>
        <v>17.016162985335889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2.5115384615384619</v>
      </c>
      <c r="DO21" s="12">
        <f>IF('Données projet'!$A$166&gt;35,DO20+DN21-DW20,IF(A21&lt;'Données projet'!$A$166,$DL$205^A21,IF(A21='Données projet'!$A$166,'Données projet'!$B$166,DO20+DN21-DW20)))</f>
        <v>13.373240436173255</v>
      </c>
      <c r="DP21" s="17">
        <f>DO21*VLOOKUP('Données projet'!$B$14,Paramètres!$A$1:$I$89,3,0)*VLOOKUP('Données projet'!$B$14,Paramètres!$A$1:$I$89,5,0)</f>
        <v>12.725975599062469</v>
      </c>
      <c r="DQ21" s="13">
        <f t="shared" si="43"/>
        <v>4.3617132303983954</v>
      </c>
      <c r="DR21" s="20">
        <f t="shared" si="16"/>
        <v>29.76105804464434</v>
      </c>
      <c r="DS21" s="59">
        <f t="shared" si="17"/>
        <v>323.09439137797767</v>
      </c>
      <c r="DT21" s="59">
        <f ca="1">AVERAGE(OFFSET($DS$3,0,0,'Données projet'!$E$14+1,1))-AVERAGE(OFFSET($H$3,0,0,'Données projet'!$E$14+1,1))</f>
        <v>286.10360882057586</v>
      </c>
      <c r="DU21" s="59">
        <f t="shared" si="44"/>
        <v>109.24531387923128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325.82490244727825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463.70761417047311</v>
      </c>
      <c r="S22" s="59">
        <f ca="1">AVERAGE(OFFSET($R$3,0,0,'Données projet'!$E$9+1,1))-AVERAGE(OFFSET($H$3,0,0,'Données projet'!$E$9+1,1))</f>
        <v>262.42149466677068</v>
      </c>
      <c r="T22" s="59">
        <f t="shared" si="34"/>
        <v>232.7693253699756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18.463076923076926</v>
      </c>
      <c r="AI22" s="13">
        <f>IF('Données projet'!$A$62&gt;35,AI21+AH22-AQ21,IF(A22&lt;'Données projet'!$A$62,$AF$205^A22,IF(A22='Données projet'!$A$62,'Données projet'!$B$62,AI21+AH22-AQ21)))</f>
        <v>165.24461538461537</v>
      </c>
      <c r="AJ22" s="13">
        <f>AI22*VLOOKUP('Données projet'!$B$10,Paramètres!$A$1:$I$89,3,0)*VLOOKUP('Données projet'!$B$10,Paramètres!$A$1:$I$89,5,0)</f>
        <v>98.816280000000006</v>
      </c>
      <c r="AK22" s="13">
        <f t="shared" si="35"/>
        <v>26.679797439959771</v>
      </c>
      <c r="AL22" s="20">
        <f t="shared" si="4"/>
        <v>218.57233487459663</v>
      </c>
      <c r="AM22" s="59">
        <f t="shared" si="5"/>
        <v>511.90566820792992</v>
      </c>
      <c r="AN22" s="59">
        <f ca="1">AVERAGE(OFFSET($AM$3,0,0,'Données projet'!$E$10+1,1))-AVERAGE(OFFSET($H$3,0,0,'Données projet'!$E$10+1,1))</f>
        <v>249.37919739649828</v>
      </c>
      <c r="AO22" s="59">
        <f t="shared" si="36"/>
        <v>315.05045383693073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8.8725219013695202</v>
      </c>
      <c r="AW22" s="21">
        <f>EXP(-LN(2)/2)*AW21+(1-EXP(-LN(2)/2))/(LN(2)/2)*AQ22*AT22*VLOOKUP('Données projet'!$B$10,Paramètres!$A$1:$I$89,3,0)*0.475*44/12</f>
        <v>3.707870559373192</v>
      </c>
      <c r="AX22" s="21">
        <f t="shared" si="6"/>
        <v>12.580392460742711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</v>
      </c>
      <c r="BD22" s="12">
        <f>IF('Données projet'!$A$88&gt;35,BD21+BC22-BL21,IF(A22&lt;'Données projet'!$A$88,$BA$205^A22,IF(A22='Données projet'!$A$88,'Données projet'!$B$88,BD21+BC22-BL21)))</f>
        <v>79</v>
      </c>
      <c r="BE22" s="13">
        <f>BD22*VLOOKUP('Données projet'!$B$11,Paramètres!$A$1:$I$89,3,0)*VLOOKUP('Données projet'!$B$11,Paramètres!$A$1:$I$89,5,0)</f>
        <v>69.014400000000009</v>
      </c>
      <c r="BF22" s="13">
        <f t="shared" si="37"/>
        <v>19.428496726251055</v>
      </c>
      <c r="BG22" s="20">
        <f t="shared" si="7"/>
        <v>154.03804513155393</v>
      </c>
      <c r="BH22" s="59">
        <f t="shared" si="8"/>
        <v>447.37137846488724</v>
      </c>
      <c r="BI22" s="59">
        <f ca="1">AVERAGE(OFFSET($BH$3,0,0,'Données projet'!$E$11+1,1))-AVERAGE(OFFSET($H$3,0,0,'Données projet'!$E$11+1,1))</f>
        <v>186.80594222554424</v>
      </c>
      <c r="BJ22" s="59">
        <f t="shared" si="38"/>
        <v>179.02867751001872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2.5115384615384619</v>
      </c>
      <c r="BY22" s="12">
        <f>IF('Données projet'!$A$114&gt;35,BY21+BX22-CG21,IF(A22&lt;'Données projet'!$A$114,$BV$205^A22,IF(A22='Données projet'!$A$114,'Données projet'!$B$114,BY21+BX22-CG21)))</f>
        <v>15.445620349258824</v>
      </c>
      <c r="BZ22" s="13">
        <f>BY22*VLOOKUP('Données projet'!$B$12,Paramètres!$A$1:$I$89,3,0)*VLOOKUP('Données projet'!$B$12,Paramètres!$A$1:$I$89,5,0)</f>
        <v>13.975197292009385</v>
      </c>
      <c r="CA22" s="13">
        <f t="shared" si="39"/>
        <v>4.7379486271857729</v>
      </c>
      <c r="CB22" s="20">
        <f t="shared" si="10"/>
        <v>32.592062475931563</v>
      </c>
      <c r="CC22" s="59">
        <f t="shared" si="11"/>
        <v>325.9253958092649</v>
      </c>
      <c r="CD22" s="59">
        <f ca="1">AVERAGE(OFFSET($CC$3,0,0,'Données projet'!$E$12+1,1))-AVERAGE(OFFSET($H$3,0,0,'Données projet'!$E$12+1,1))</f>
        <v>265.17389489035344</v>
      </c>
      <c r="CE22" s="59">
        <f t="shared" si="40"/>
        <v>101.57852403610769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14.926923076923075</v>
      </c>
      <c r="CT22" s="12">
        <f>IF('Données projet'!$A$140&gt;35,CT21+CS22-DB21,IF(A22&lt;'Données projet'!$A$140,$CQ$205^A22,IF(A22='Données projet'!$A$140,'Données projet'!$B$140,CT21+CS22-DB21)))</f>
        <v>114.10000000000001</v>
      </c>
      <c r="CU22" s="17">
        <f>CT22*VLOOKUP('Données projet'!$B$13,Paramètres!$A$1:$I$89,3,0)*VLOOKUP('Données projet'!$B$13,Paramètres!$A$1:$I$89,5,0)</f>
        <v>68.231800000000007</v>
      </c>
      <c r="CV22" s="13">
        <f t="shared" si="41"/>
        <v>19.233699497264624</v>
      </c>
      <c r="CW22" s="20">
        <f t="shared" si="13"/>
        <v>152.3357449577359</v>
      </c>
      <c r="CX22" s="59">
        <f t="shared" si="14"/>
        <v>445.66907829106924</v>
      </c>
      <c r="CY22" s="59">
        <f ca="1">AVERAGE(OFFSET($CX$3,0,0,'Données projet'!$E$13+1,1))-AVERAGE(OFFSET($H$3,0,0,'Données projet'!$E$13+1,1))</f>
        <v>182.34243693018033</v>
      </c>
      <c r="CZ22" s="59">
        <f t="shared" si="42"/>
        <v>182.65916563909786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7.9278912819675211</v>
      </c>
      <c r="DH22" s="21">
        <f>EXP(-LN(2)/2)*DH21+(1-EXP(-LN(2)/2))/(LN(2)/2)*DB22*DE22*VLOOKUP('Données projet'!$B$13,Paramètres!$A$1:$I$89,3,0)*0.475*44/12</f>
        <v>6.2687762145645038</v>
      </c>
      <c r="DI22" s="22">
        <f t="shared" si="15"/>
        <v>14.196667496532026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2.5115384615384619</v>
      </c>
      <c r="DO22" s="12">
        <f>IF('Données projet'!$A$166&gt;35,DO21+DN22-DW21,IF(A22&lt;'Données projet'!$A$166,$DL$205^A22,IF(A22='Données projet'!$A$166,'Données projet'!$B$166,DO21+DN22-DW21)))</f>
        <v>15.445620349258824</v>
      </c>
      <c r="DP22" s="17">
        <f>DO22*VLOOKUP('Données projet'!$B$14,Paramètres!$A$1:$I$89,3,0)*VLOOKUP('Données projet'!$B$14,Paramètres!$A$1:$I$89,5,0)</f>
        <v>14.698052324354698</v>
      </c>
      <c r="DQ22" s="13">
        <f t="shared" si="43"/>
        <v>4.9538495698824798</v>
      </c>
      <c r="DR22" s="20">
        <f t="shared" si="16"/>
        <v>34.227062465796415</v>
      </c>
      <c r="DS22" s="59">
        <f t="shared" si="17"/>
        <v>327.56039579912971</v>
      </c>
      <c r="DT22" s="59">
        <f ca="1">AVERAGE(OFFSET($DS$3,0,0,'Données projet'!$E$14+1,1))-AVERAGE(OFFSET($H$3,0,0,'Données projet'!$E$14+1,1))</f>
        <v>286.10360882057586</v>
      </c>
      <c r="DU22" s="59">
        <f t="shared" si="44"/>
        <v>109.24531387923128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327.48342318399477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423.57293470145942</v>
      </c>
      <c r="S23" s="59">
        <f ca="1">AVERAGE(OFFSET($R$3,0,0,'Données projet'!$E$9+1,1))-AVERAGE(OFFSET($H$3,0,0,'Données projet'!$E$9+1,1))</f>
        <v>262.42149466677068</v>
      </c>
      <c r="T23" s="59">
        <f t="shared" si="34"/>
        <v>232.7693253699756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183.7076923076923</v>
      </c>
      <c r="AG23" s="12">
        <f>VLOOKUP(A23,'Données projet'!$A$61:$I$81,9,0)</f>
        <v>18.463076923076926</v>
      </c>
      <c r="AH23" s="12">
        <f t="array" ref="AH23">INDEX(AG:AG,MIN(IF(ISNUMBER(AG23:AG219),ROW(AG23:AG219),"")))</f>
        <v>18.463076923076926</v>
      </c>
      <c r="AI23" s="13">
        <f>IF('Données projet'!$A$62&gt;35,AI22+AH23-AQ22,IF(A23&lt;'Données projet'!$A$62,$AF$205^A23,IF(A23='Données projet'!$A$62,'Données projet'!$B$62,AI22+AH23-AQ22)))</f>
        <v>183.7076923076923</v>
      </c>
      <c r="AJ23" s="13">
        <f>AI23*VLOOKUP('Données projet'!$B$10,Paramètres!$A$1:$I$89,3,0)*VLOOKUP('Données projet'!$B$10,Paramètres!$A$1:$I$89,5,0)</f>
        <v>109.85720000000001</v>
      </c>
      <c r="AK23" s="13">
        <f t="shared" si="35"/>
        <v>29.297337235526424</v>
      </c>
      <c r="AL23" s="20">
        <f t="shared" si="4"/>
        <v>242.36081901854183</v>
      </c>
      <c r="AM23" s="59">
        <f t="shared" si="5"/>
        <v>535.69415235187512</v>
      </c>
      <c r="AN23" s="59">
        <f ca="1">AVERAGE(OFFSET($AM$3,0,0,'Données projet'!$E$10+1,1))-AVERAGE(OFFSET($H$3,0,0,'Données projet'!$E$10+1,1))</f>
        <v>249.37919739649828</v>
      </c>
      <c r="AO23" s="59">
        <f t="shared" si="36"/>
        <v>315.05045383693073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48.723076923076924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0.25200000000000006</v>
      </c>
      <c r="AT23" s="16">
        <f>IF(ISNA(VLOOKUP(A23,'Données projet'!$A$61:$I$81,7,0)),0%,VLOOKUP(A23,'Données projet'!$A$61:$I$81,7,0))</f>
        <v>0.44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18.331682492314798</v>
      </c>
      <c r="AW23" s="21">
        <f>EXP(-LN(2)/2)*AW22+(1-EXP(-LN(2)/2))/(LN(2)/2)*AQ23*AT23*VLOOKUP('Données projet'!$B$10,Paramètres!$A$1:$I$89,3,0)*0.475*44/12</f>
        <v>17.137096586300796</v>
      </c>
      <c r="AX23" s="21">
        <f t="shared" si="6"/>
        <v>35.468779078615597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87</v>
      </c>
      <c r="BB23" s="12">
        <f>VLOOKUP(A23,'Données projet'!$A$87:$I$107,9,0)</f>
        <v>8</v>
      </c>
      <c r="BC23" s="12">
        <f t="array" ref="BC23">INDEX(BB:BB,MIN(IF(ISNUMBER(BB23:BB219),ROW(BB23:BB219),"")))</f>
        <v>8</v>
      </c>
      <c r="BD23" s="12">
        <f>IF('Données projet'!$A$88&gt;35,BD22+BC23-BL22,IF(A23&lt;'Données projet'!$A$88,$BA$205^A23,IF(A23='Données projet'!$A$88,'Données projet'!$B$88,BD22+BC23-BL22)))</f>
        <v>87</v>
      </c>
      <c r="BE23" s="13">
        <f>BD23*VLOOKUP('Données projet'!$B$11,Paramètres!$A$1:$I$89,3,0)*VLOOKUP('Données projet'!$B$11,Paramètres!$A$1:$I$89,5,0)</f>
        <v>76.003200000000007</v>
      </c>
      <c r="BF23" s="13">
        <f t="shared" si="37"/>
        <v>21.157049992000456</v>
      </c>
      <c r="BG23" s="20">
        <f t="shared" si="7"/>
        <v>169.22076873606747</v>
      </c>
      <c r="BH23" s="59">
        <f t="shared" si="8"/>
        <v>462.55410206940076</v>
      </c>
      <c r="BI23" s="59">
        <f ca="1">AVERAGE(OFFSET($BH$3,0,0,'Données projet'!$E$11+1,1))-AVERAGE(OFFSET($H$3,0,0,'Données projet'!$E$11+1,1))</f>
        <v>186.80594222554424</v>
      </c>
      <c r="BJ23" s="59">
        <f t="shared" si="38"/>
        <v>179.02867751001872</v>
      </c>
      <c r="BK23" s="15">
        <f>IF(ISNA(VLOOKUP(A23,'Données projet'!$A$87:$I$107,3,0)),0,VLOOKUP(A23,'Données projet'!$A$87:$I$107,3,0))</f>
        <v>1</v>
      </c>
      <c r="BL23" s="15" t="str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2.5115384615384619</v>
      </c>
      <c r="BY23" s="12">
        <f>IF('Données projet'!$A$114&gt;35,BY22+BX23-CG22,IF(A23&lt;'Données projet'!$A$114,$BV$205^A23,IF(A23='Données projet'!$A$114,'Données projet'!$B$114,BY22+BX23-CG22)))</f>
        <v>17.839145950605833</v>
      </c>
      <c r="BZ23" s="13">
        <f>BY23*VLOOKUP('Données projet'!$B$12,Paramètres!$A$1:$I$89,3,0)*VLOOKUP('Données projet'!$B$12,Paramètres!$A$1:$I$89,5,0)</f>
        <v>16.140859256108158</v>
      </c>
      <c r="CA23" s="13">
        <f t="shared" si="39"/>
        <v>5.3811618346045424</v>
      </c>
      <c r="CB23" s="20">
        <f t="shared" si="10"/>
        <v>37.484186732991283</v>
      </c>
      <c r="CC23" s="59">
        <f t="shared" si="11"/>
        <v>330.81752006632462</v>
      </c>
      <c r="CD23" s="59">
        <f ca="1">AVERAGE(OFFSET($CC$3,0,0,'Données projet'!$E$12+1,1))-AVERAGE(OFFSET($H$3,0,0,'Données projet'!$E$12+1,1))</f>
        <v>265.17389489035344</v>
      </c>
      <c r="CE23" s="59">
        <f t="shared" si="40"/>
        <v>101.57852403610769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14.926923076923075</v>
      </c>
      <c r="CT23" s="12">
        <f>IF('Données projet'!$A$140&gt;35,CT22+CS23-DB22,IF(A23&lt;'Données projet'!$A$140,$CQ$205^A23,IF(A23='Données projet'!$A$140,'Données projet'!$B$140,CT22+CS23-DB22)))</f>
        <v>129.02692307692308</v>
      </c>
      <c r="CU23" s="17">
        <f>CT23*VLOOKUP('Données projet'!$B$13,Paramètres!$A$1:$I$89,3,0)*VLOOKUP('Données projet'!$B$13,Paramètres!$A$1:$I$89,5,0)</f>
        <v>77.158100000000005</v>
      </c>
      <c r="CV23" s="13">
        <f t="shared" si="41"/>
        <v>21.440868838738705</v>
      </c>
      <c r="CW23" s="20">
        <f t="shared" si="13"/>
        <v>171.72653739413659</v>
      </c>
      <c r="CX23" s="59">
        <f t="shared" si="14"/>
        <v>465.0598707274699</v>
      </c>
      <c r="CY23" s="59">
        <f ca="1">AVERAGE(OFFSET($CX$3,0,0,'Données projet'!$E$13+1,1))-AVERAGE(OFFSET($H$3,0,0,'Données projet'!$E$13+1,1))</f>
        <v>182.34243693018033</v>
      </c>
      <c r="CZ23" s="59">
        <f t="shared" si="42"/>
        <v>182.65916563909786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7.7111026779524359</v>
      </c>
      <c r="DH23" s="21">
        <f>EXP(-LN(2)/2)*DH22+(1-EXP(-LN(2)/2))/(LN(2)/2)*DB23*DE23*VLOOKUP('Données projet'!$B$13,Paramètres!$A$1:$I$89,3,0)*0.475*44/12</f>
        <v>4.4326941710594969</v>
      </c>
      <c r="DI23" s="22">
        <f t="shared" si="15"/>
        <v>12.143796849011933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2.5115384615384619</v>
      </c>
      <c r="DO23" s="12">
        <f>IF('Données projet'!$A$166&gt;35,DO22+DN23-DW22,IF(A23&lt;'Données projet'!$A$166,$DL$205^A23,IF(A23='Données projet'!$A$166,'Données projet'!$B$166,DO22+DN23-DW22)))</f>
        <v>17.839145950605833</v>
      </c>
      <c r="DP23" s="17">
        <f>DO23*VLOOKUP('Données projet'!$B$14,Paramètres!$A$1:$I$89,3,0)*VLOOKUP('Données projet'!$B$14,Paramètres!$A$1:$I$89,5,0)</f>
        <v>16.97573128659651</v>
      </c>
      <c r="DQ23" s="13">
        <f t="shared" si="43"/>
        <v>5.6263730017810705</v>
      </c>
      <c r="DR23" s="20">
        <f t="shared" si="16"/>
        <v>39.365331635590955</v>
      </c>
      <c r="DS23" s="59">
        <f t="shared" si="17"/>
        <v>332.69866496892428</v>
      </c>
      <c r="DT23" s="59">
        <f ca="1">AVERAGE(OFFSET($DS$3,0,0,'Données projet'!$E$14+1,1))-AVERAGE(OFFSET($H$3,0,0,'Données projet'!$E$14+1,1))</f>
        <v>286.10360882057586</v>
      </c>
      <c r="DU23" s="59">
        <f t="shared" si="44"/>
        <v>109.24531387923128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329.13972888659004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444.03769910908363</v>
      </c>
      <c r="S24" s="59">
        <f ca="1">AVERAGE(OFFSET($R$3,0,0,'Données projet'!$E$9+1,1))-AVERAGE(OFFSET($H$3,0,0,'Données projet'!$E$9+1,1))</f>
        <v>262.42149466677068</v>
      </c>
      <c r="T24" s="59">
        <f t="shared" si="34"/>
        <v>232.7693253699756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19.071794871794875</v>
      </c>
      <c r="AI24" s="13">
        <f>IF('Données projet'!$A$62&gt;35,AI23+AH24-AQ23,IF(A24&lt;'Données projet'!$A$62,$AF$205^A24,IF(A24='Données projet'!$A$62,'Données projet'!$B$62,AI23+AH24-AQ23)))</f>
        <v>154.05641025641026</v>
      </c>
      <c r="AJ24" s="13">
        <f>AI24*VLOOKUP('Données projet'!$B$10,Paramètres!$A$1:$I$89,3,0)*VLOOKUP('Données projet'!$B$10,Paramètres!$A$1:$I$89,5,0)</f>
        <v>92.125733333333343</v>
      </c>
      <c r="AK24" s="13">
        <f t="shared" si="35"/>
        <v>25.077202059466597</v>
      </c>
      <c r="AL24" s="20">
        <f t="shared" si="4"/>
        <v>204.12844580912656</v>
      </c>
      <c r="AM24" s="59">
        <f t="shared" si="5"/>
        <v>497.46177914245987</v>
      </c>
      <c r="AN24" s="59">
        <f ca="1">AVERAGE(OFFSET($AM$3,0,0,'Données projet'!$E$10+1,1))-AVERAGE(OFFSET($H$3,0,0,'Données projet'!$E$10+1,1))</f>
        <v>249.37919739649828</v>
      </c>
      <c r="AO24" s="59">
        <f t="shared" si="36"/>
        <v>315.05045383693073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17.830401670541164</v>
      </c>
      <c r="AW24" s="21">
        <f>EXP(-LN(2)/2)*AW23+(1-EXP(-LN(2)/2))/(LN(2)/2)*AQ24*AT24*VLOOKUP('Données projet'!$B$10,Paramètres!$A$1:$I$89,3,0)*0.475*44/12</f>
        <v>12.117757206022128</v>
      </c>
      <c r="AX24" s="21">
        <f t="shared" si="6"/>
        <v>29.948158876563291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</v>
      </c>
      <c r="BD24" s="12">
        <f>IF('Données projet'!$A$88&gt;35,BD23+BC24-BL23,IF(A24&lt;'Données projet'!$A$88,$BA$205^A24,IF(A24='Données projet'!$A$88,'Données projet'!$B$88,BD23+BC24-BL23)))</f>
        <v>66</v>
      </c>
      <c r="BE24" s="13">
        <f>BD24*VLOOKUP('Données projet'!$B$11,Paramètres!$A$1:$I$89,3,0)*VLOOKUP('Données projet'!$B$11,Paramètres!$A$1:$I$89,5,0)</f>
        <v>57.657600000000002</v>
      </c>
      <c r="BF24" s="13">
        <f t="shared" si="37"/>
        <v>16.574671209026025</v>
      </c>
      <c r="BG24" s="20">
        <f t="shared" si="7"/>
        <v>129.28787235572034</v>
      </c>
      <c r="BH24" s="59">
        <f t="shared" si="8"/>
        <v>422.62120568905368</v>
      </c>
      <c r="BI24" s="59">
        <f ca="1">AVERAGE(OFFSET($BH$3,0,0,'Données projet'!$E$11+1,1))-AVERAGE(OFFSET($H$3,0,0,'Données projet'!$E$11+1,1))</f>
        <v>186.80594222554424</v>
      </c>
      <c r="BJ24" s="59">
        <f t="shared" si="38"/>
        <v>179.02867751001872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2.5115384615384619</v>
      </c>
      <c r="BY24" s="12">
        <f>IF('Données projet'!$A$114&gt;35,BY23+BX24-CG23,IF(A24&lt;'Données projet'!$A$114,$BV$205^A24,IF(A24='Données projet'!$A$114,'Données projet'!$B$114,BY23+BX24-CG23)))</f>
        <v>20.603583478748867</v>
      </c>
      <c r="BZ24" s="13">
        <f>BY24*VLOOKUP('Données projet'!$B$12,Paramètres!$A$1:$I$89,3,0)*VLOOKUP('Données projet'!$B$12,Paramètres!$A$1:$I$89,5,0)</f>
        <v>18.642122331571976</v>
      </c>
      <c r="CA24" s="13">
        <f t="shared" si="39"/>
        <v>6.1116962146979272</v>
      </c>
      <c r="CB24" s="20">
        <f t="shared" si="10"/>
        <v>43.112900634753409</v>
      </c>
      <c r="CC24" s="59">
        <f t="shared" si="11"/>
        <v>336.44623396808674</v>
      </c>
      <c r="CD24" s="59">
        <f ca="1">AVERAGE(OFFSET($CC$3,0,0,'Données projet'!$E$12+1,1))-AVERAGE(OFFSET($H$3,0,0,'Données projet'!$E$12+1,1))</f>
        <v>265.17389489035344</v>
      </c>
      <c r="CE24" s="59">
        <f t="shared" si="40"/>
        <v>101.57852403610769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14.926923076923075</v>
      </c>
      <c r="CT24" s="12">
        <f>IF('Données projet'!$A$140&gt;35,CT23+CS24-DB23,IF(A24&lt;'Données projet'!$A$140,$CQ$205^A24,IF(A24='Données projet'!$A$140,'Données projet'!$B$140,CT23+CS24-DB23)))</f>
        <v>143.95384615384614</v>
      </c>
      <c r="CU24" s="17">
        <f>CT24*VLOOKUP('Données projet'!$B$13,Paramètres!$A$1:$I$89,3,0)*VLOOKUP('Données projet'!$B$13,Paramètres!$A$1:$I$89,5,0)</f>
        <v>86.084400000000002</v>
      </c>
      <c r="CV24" s="13">
        <f t="shared" si="41"/>
        <v>23.618445758177199</v>
      </c>
      <c r="CW24" s="20">
        <f t="shared" si="13"/>
        <v>191.06578969549196</v>
      </c>
      <c r="CX24" s="59">
        <f t="shared" si="14"/>
        <v>484.39912302882527</v>
      </c>
      <c r="CY24" s="59">
        <f ca="1">AVERAGE(OFFSET($CX$3,0,0,'Données projet'!$E$13+1,1))-AVERAGE(OFFSET($H$3,0,0,'Données projet'!$E$13+1,1))</f>
        <v>182.34243693018033</v>
      </c>
      <c r="CZ24" s="59">
        <f t="shared" si="42"/>
        <v>182.65916563909786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7.5002421697145607</v>
      </c>
      <c r="DH24" s="21">
        <f>EXP(-LN(2)/2)*DH23+(1-EXP(-LN(2)/2))/(LN(2)/2)*DB24*DE24*VLOOKUP('Données projet'!$B$13,Paramètres!$A$1:$I$89,3,0)*0.475*44/12</f>
        <v>3.1343881072822524</v>
      </c>
      <c r="DI24" s="22">
        <f t="shared" si="15"/>
        <v>10.634630276996813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2.5115384615384619</v>
      </c>
      <c r="DO24" s="12">
        <f>IF('Données projet'!$A$166&gt;35,DO23+DN24-DW23,IF(A24&lt;'Données projet'!$A$166,$DL$205^A24,IF(A24='Données projet'!$A$166,'Données projet'!$B$166,DO23+DN24-DW23)))</f>
        <v>20.603583478748867</v>
      </c>
      <c r="DP24" s="17">
        <f>DO24*VLOOKUP('Données projet'!$B$14,Paramètres!$A$1:$I$89,3,0)*VLOOKUP('Données projet'!$B$14,Paramètres!$A$1:$I$89,5,0)</f>
        <v>19.606370038377424</v>
      </c>
      <c r="DQ24" s="13">
        <f t="shared" si="43"/>
        <v>6.3901966962476644</v>
      </c>
      <c r="DR24" s="20">
        <f t="shared" si="16"/>
        <v>45.277353729472026</v>
      </c>
      <c r="DS24" s="59">
        <f t="shared" si="17"/>
        <v>338.61068706280537</v>
      </c>
      <c r="DT24" s="59">
        <f ca="1">AVERAGE(OFFSET($DS$3,0,0,'Données projet'!$E$14+1,1))-AVERAGE(OFFSET($H$3,0,0,'Données projet'!$E$14+1,1))</f>
        <v>286.10360882057586</v>
      </c>
      <c r="DU24" s="59">
        <f t="shared" si="44"/>
        <v>109.24531387923128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330.79393707560678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464.43616743233019</v>
      </c>
      <c r="S25" s="59">
        <f ca="1">AVERAGE(OFFSET($R$3,0,0,'Données projet'!$E$9+1,1))-AVERAGE(OFFSET($H$3,0,0,'Données projet'!$E$9+1,1))</f>
        <v>262.42149466677068</v>
      </c>
      <c r="T25" s="59">
        <f t="shared" si="34"/>
        <v>232.7693253699756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19.071794871794875</v>
      </c>
      <c r="AI25" s="13">
        <f>IF('Données projet'!$A$62&gt;35,AI24+AH25-AQ24,IF(A25&lt;'Données projet'!$A$62,$AF$205^A25,IF(A25='Données projet'!$A$62,'Données projet'!$B$62,AI24+AH25-AQ24)))</f>
        <v>173.12820512820514</v>
      </c>
      <c r="AJ25" s="13">
        <f>AI25*VLOOKUP('Données projet'!$B$10,Paramètres!$A$1:$I$89,3,0)*VLOOKUP('Données projet'!$B$10,Paramètres!$A$1:$I$89,5,0)</f>
        <v>103.53066666666668</v>
      </c>
      <c r="AK25" s="13">
        <f t="shared" si="35"/>
        <v>27.80142408921413</v>
      </c>
      <c r="AL25" s="20">
        <f t="shared" si="4"/>
        <v>228.73672473315909</v>
      </c>
      <c r="AM25" s="59">
        <f t="shared" si="5"/>
        <v>522.07005806649238</v>
      </c>
      <c r="AN25" s="59">
        <f ca="1">AVERAGE(OFFSET($AM$3,0,0,'Données projet'!$E$10+1,1))-AVERAGE(OFFSET($H$3,0,0,'Données projet'!$E$10+1,1))</f>
        <v>249.37919739649828</v>
      </c>
      <c r="AO25" s="59">
        <f t="shared" si="36"/>
        <v>315.05045383693073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17.342828399200144</v>
      </c>
      <c r="AW25" s="21">
        <f>EXP(-LN(2)/2)*AW24+(1-EXP(-LN(2)/2))/(LN(2)/2)*AQ25*AT25*VLOOKUP('Données projet'!$B$10,Paramètres!$A$1:$I$89,3,0)*0.475*44/12</f>
        <v>8.5685482931503998</v>
      </c>
      <c r="AX25" s="21">
        <f t="shared" si="6"/>
        <v>25.911376692350544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</v>
      </c>
      <c r="BD25" s="12">
        <f>IF('Données projet'!$A$88&gt;35,BD24+BC25-BL24,IF(A25&lt;'Données projet'!$A$88,$BA$205^A25,IF(A25='Données projet'!$A$88,'Données projet'!$B$88,BD24+BC25-BL24)))</f>
        <v>74</v>
      </c>
      <c r="BE25" s="13">
        <f>BD25*VLOOKUP('Données projet'!$B$11,Paramètres!$A$1:$I$89,3,0)*VLOOKUP('Données projet'!$B$11,Paramètres!$A$1:$I$89,5,0)</f>
        <v>64.646400000000014</v>
      </c>
      <c r="BF25" s="13">
        <f t="shared" si="37"/>
        <v>18.337876695493666</v>
      </c>
      <c r="BG25" s="20">
        <f t="shared" si="7"/>
        <v>144.53094857798482</v>
      </c>
      <c r="BH25" s="59">
        <f t="shared" si="8"/>
        <v>437.86428191131813</v>
      </c>
      <c r="BI25" s="59">
        <f ca="1">AVERAGE(OFFSET($BH$3,0,0,'Données projet'!$E$11+1,1))-AVERAGE(OFFSET($H$3,0,0,'Données projet'!$E$11+1,1))</f>
        <v>186.80594222554424</v>
      </c>
      <c r="BJ25" s="59">
        <f t="shared" si="38"/>
        <v>179.02867751001872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2.5115384615384619</v>
      </c>
      <c r="BY25" s="12">
        <f>IF('Données projet'!$A$114&gt;35,BY24+BX25-CG24,IF(A25&lt;'Données projet'!$A$114,$BV$205^A25,IF(A25='Données projet'!$A$114,'Données projet'!$B$114,BY24+BX25-CG24)))</f>
        <v>23.796411181408413</v>
      </c>
      <c r="BZ25" s="13">
        <f>BY25*VLOOKUP('Données projet'!$B$12,Paramètres!$A$1:$I$89,3,0)*VLOOKUP('Données projet'!$B$12,Paramètres!$A$1:$I$89,5,0)</f>
        <v>21.530992836938331</v>
      </c>
      <c r="CA25" s="13">
        <f t="shared" si="39"/>
        <v>6.9414062926984936</v>
      </c>
      <c r="CB25" s="20">
        <f t="shared" si="10"/>
        <v>49.58942848411747</v>
      </c>
      <c r="CC25" s="59">
        <f t="shared" si="11"/>
        <v>342.92276181745081</v>
      </c>
      <c r="CD25" s="59">
        <f ca="1">AVERAGE(OFFSET($CC$3,0,0,'Données projet'!$E$12+1,1))-AVERAGE(OFFSET($H$3,0,0,'Données projet'!$E$12+1,1))</f>
        <v>265.17389489035344</v>
      </c>
      <c r="CE25" s="59">
        <f t="shared" si="40"/>
        <v>101.57852403610769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14.926923076923075</v>
      </c>
      <c r="CT25" s="12">
        <f>IF('Données projet'!$A$140&gt;35,CT24+CS25-DB24,IF(A25&lt;'Données projet'!$A$140,$CQ$205^A25,IF(A25='Données projet'!$A$140,'Données projet'!$B$140,CT24+CS25-DB24)))</f>
        <v>158.8807692307692</v>
      </c>
      <c r="CU25" s="17">
        <f>CT25*VLOOKUP('Données projet'!$B$13,Paramètres!$A$1:$I$89,3,0)*VLOOKUP('Données projet'!$B$13,Paramètres!$A$1:$I$89,5,0)</f>
        <v>95.0107</v>
      </c>
      <c r="CV25" s="13">
        <f t="shared" si="41"/>
        <v>25.769848277327686</v>
      </c>
      <c r="CW25" s="20">
        <f t="shared" si="13"/>
        <v>210.3594549163457</v>
      </c>
      <c r="CX25" s="59">
        <f t="shared" si="14"/>
        <v>503.69278824967898</v>
      </c>
      <c r="CY25" s="59">
        <f ca="1">AVERAGE(OFFSET($CX$3,0,0,'Données projet'!$E$13+1,1))-AVERAGE(OFFSET($H$3,0,0,'Données projet'!$E$13+1,1))</f>
        <v>182.34243693018033</v>
      </c>
      <c r="CZ25" s="59">
        <f t="shared" si="42"/>
        <v>182.65916563909786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7.2951476531631227</v>
      </c>
      <c r="DH25" s="21">
        <f>EXP(-LN(2)/2)*DH24+(1-EXP(-LN(2)/2))/(LN(2)/2)*DB25*DE25*VLOOKUP('Données projet'!$B$13,Paramètres!$A$1:$I$89,3,0)*0.475*44/12</f>
        <v>2.2163470855297485</v>
      </c>
      <c r="DI25" s="22">
        <f t="shared" si="15"/>
        <v>9.5114947386928712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2.5115384615384619</v>
      </c>
      <c r="DO25" s="12">
        <f>IF('Données projet'!$A$166&gt;35,DO24+DN25-DW24,IF(A25&lt;'Données projet'!$A$166,$DL$205^A25,IF(A25='Données projet'!$A$166,'Données projet'!$B$166,DO24+DN25-DW24)))</f>
        <v>23.796411181408413</v>
      </c>
      <c r="DP25" s="17">
        <f>DO25*VLOOKUP('Données projet'!$B$14,Paramètres!$A$1:$I$89,3,0)*VLOOKUP('Données projet'!$B$14,Paramètres!$A$1:$I$89,5,0)</f>
        <v>22.644664880228248</v>
      </c>
      <c r="DQ25" s="13">
        <f t="shared" si="43"/>
        <v>7.2577153707740454</v>
      </c>
      <c r="DR25" s="20">
        <f t="shared" si="16"/>
        <v>52.079978937162316</v>
      </c>
      <c r="DS25" s="59">
        <f t="shared" si="17"/>
        <v>345.41331227049562</v>
      </c>
      <c r="DT25" s="59">
        <f ca="1">AVERAGE(OFFSET($DS$3,0,0,'Données projet'!$E$14+1,1))-AVERAGE(OFFSET($H$3,0,0,'Données projet'!$E$14+1,1))</f>
        <v>286.10360882057586</v>
      </c>
      <c r="DU25" s="59">
        <f t="shared" si="44"/>
        <v>109.24531387923128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332.44615398399299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484.77736319864221</v>
      </c>
      <c r="S26" s="59">
        <f ca="1">AVERAGE(OFFSET($R$3,0,0,'Données projet'!$E$9+1,1))-AVERAGE(OFFSET($H$3,0,0,'Données projet'!$E$9+1,1))</f>
        <v>262.42149466677068</v>
      </c>
      <c r="T26" s="59">
        <f t="shared" si="34"/>
        <v>232.7693253699756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19.071794871794875</v>
      </c>
      <c r="AI26" s="13">
        <f>IF('Données projet'!$A$62&gt;35,AI25+AH26-AQ25,IF(A26&lt;'Données projet'!$A$62,$AF$205^A26,IF(A26='Données projet'!$A$62,'Données projet'!$B$62,AI25+AH26-AQ25)))</f>
        <v>192.20000000000002</v>
      </c>
      <c r="AJ26" s="13">
        <f>AI26*VLOOKUP('Données projet'!$B$10,Paramètres!$A$1:$I$89,3,0)*VLOOKUP('Données projet'!$B$10,Paramètres!$A$1:$I$89,5,0)</f>
        <v>114.93560000000001</v>
      </c>
      <c r="AK26" s="13">
        <f t="shared" si="35"/>
        <v>30.49086327624272</v>
      </c>
      <c r="AL26" s="20">
        <f t="shared" si="4"/>
        <v>253.28442353945601</v>
      </c>
      <c r="AM26" s="59">
        <f t="shared" si="5"/>
        <v>546.6177568727893</v>
      </c>
      <c r="AN26" s="59">
        <f ca="1">AVERAGE(OFFSET($AM$3,0,0,'Données projet'!$E$10+1,1))-AVERAGE(OFFSET($H$3,0,0,'Données projet'!$E$10+1,1))</f>
        <v>249.37919739649828</v>
      </c>
      <c r="AO26" s="59">
        <f t="shared" si="36"/>
        <v>315.05045383693073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16.86858784460431</v>
      </c>
      <c r="AW26" s="21">
        <f>EXP(-LN(2)/2)*AW25+(1-EXP(-LN(2)/2))/(LN(2)/2)*AQ26*AT26*VLOOKUP('Données projet'!$B$10,Paramètres!$A$1:$I$89,3,0)*0.475*44/12</f>
        <v>6.0588786030110651</v>
      </c>
      <c r="AX26" s="21">
        <f t="shared" si="6"/>
        <v>22.927466447615373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</v>
      </c>
      <c r="BD26" s="12">
        <f>IF('Données projet'!$A$88&gt;35,BD25+BC26-BL25,IF(A26&lt;'Données projet'!$A$88,$BA$205^A26,IF(A26='Données projet'!$A$88,'Données projet'!$B$88,BD25+BC26-BL25)))</f>
        <v>82</v>
      </c>
      <c r="BE26" s="13">
        <f>BD26*VLOOKUP('Données projet'!$B$11,Paramètres!$A$1:$I$89,3,0)*VLOOKUP('Données projet'!$B$11,Paramètres!$A$1:$I$89,5,0)</f>
        <v>71.635200000000012</v>
      </c>
      <c r="BF26" s="13">
        <f t="shared" si="37"/>
        <v>20.078988020012648</v>
      </c>
      <c r="BG26" s="20">
        <f t="shared" si="7"/>
        <v>159.73554413485536</v>
      </c>
      <c r="BH26" s="59">
        <f t="shared" si="8"/>
        <v>453.0688774681887</v>
      </c>
      <c r="BI26" s="59">
        <f ca="1">AVERAGE(OFFSET($BH$3,0,0,'Données projet'!$E$11+1,1))-AVERAGE(OFFSET($H$3,0,0,'Données projet'!$E$11+1,1))</f>
        <v>186.80594222554424</v>
      </c>
      <c r="BJ26" s="59">
        <f t="shared" si="38"/>
        <v>179.02867751001872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2.5115384615384619</v>
      </c>
      <c r="BY26" s="12">
        <f>IF('Données projet'!$A$114&gt;35,BY25+BX26-CG25,IF(A26&lt;'Données projet'!$A$114,$BV$205^A26,IF(A26='Données projet'!$A$114,'Données projet'!$B$114,BY25+BX26-CG25)))</f>
        <v>27.484014404519773</v>
      </c>
      <c r="BZ26" s="13">
        <f>BY26*VLOOKUP('Données projet'!$B$12,Paramètres!$A$1:$I$89,3,0)*VLOOKUP('Données projet'!$B$12,Paramètres!$A$1:$I$89,5,0)</f>
        <v>24.867536233209488</v>
      </c>
      <c r="CA26" s="13">
        <f t="shared" si="39"/>
        <v>7.8837559374170789</v>
      </c>
      <c r="CB26" s="20">
        <f t="shared" si="10"/>
        <v>57.041833863841269</v>
      </c>
      <c r="CC26" s="59">
        <f t="shared" si="11"/>
        <v>350.37516719717456</v>
      </c>
      <c r="CD26" s="59">
        <f ca="1">AVERAGE(OFFSET($CC$3,0,0,'Données projet'!$E$12+1,1))-AVERAGE(OFFSET($H$3,0,0,'Données projet'!$E$12+1,1))</f>
        <v>265.17389489035344</v>
      </c>
      <c r="CE26" s="59">
        <f t="shared" si="40"/>
        <v>101.57852403610769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>
        <f>VLOOKUP(A26,'Données projet'!$A$139:$I$159,2,0)</f>
        <v>173.80769230769229</v>
      </c>
      <c r="CR26" s="12">
        <f>VLOOKUP(A26,'Données projet'!$A$139:$I$159,9,0)</f>
        <v>14.926923076923075</v>
      </c>
      <c r="CS26" s="12">
        <f t="array" ref="CS26">INDEX(CR:CR,MIN(IF(ISNUMBER(CR26:CR222),ROW(CR26:CR222),"")))</f>
        <v>14.926923076923075</v>
      </c>
      <c r="CT26" s="12">
        <f>IF('Données projet'!$A$140&gt;35,CT25+CS26-DB25,IF(A26&lt;'Données projet'!$A$140,$CQ$205^A26,IF(A26='Données projet'!$A$140,'Données projet'!$B$140,CT25+CS26-DB25)))</f>
        <v>173.80769230769226</v>
      </c>
      <c r="CU26" s="17">
        <f>CT26*VLOOKUP('Données projet'!$B$13,Paramètres!$A$1:$I$89,3,0)*VLOOKUP('Données projet'!$B$13,Paramètres!$A$1:$I$89,5,0)</f>
        <v>103.93699999999998</v>
      </c>
      <c r="CV26" s="13">
        <f t="shared" si="41"/>
        <v>27.897815230264825</v>
      </c>
      <c r="CW26" s="20">
        <f t="shared" si="13"/>
        <v>229.61230319271121</v>
      </c>
      <c r="CX26" s="59">
        <f t="shared" si="14"/>
        <v>522.9456365260445</v>
      </c>
      <c r="CY26" s="59">
        <f ca="1">AVERAGE(OFFSET($CX$3,0,0,'Données projet'!$E$13+1,1))-AVERAGE(OFFSET($H$3,0,0,'Données projet'!$E$13+1,1))</f>
        <v>182.34243693018033</v>
      </c>
      <c r="CZ26" s="59">
        <f t="shared" si="42"/>
        <v>182.65916563909786</v>
      </c>
      <c r="DA26" s="15">
        <f>IF(ISNA(VLOOKUP(A26,'Données projet'!$A$139:$I$159,3,0)),0,VLOOKUP(A26,'Données projet'!$A$139:$I$159,3,0))</f>
        <v>2</v>
      </c>
      <c r="DB26" s="15">
        <f>IF(ISNA(VLOOKUP(A26,'Données projet'!$A$139:$I$159,4,0)),0,VLOOKUP(A26,'Données projet'!$A$139:$I$159,4,0))</f>
        <v>54.099999999999994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0.25200000000000006</v>
      </c>
      <c r="DE26" s="16">
        <f>IF(ISNA(VLOOKUP(A26,'Données projet'!$A$139:$I$159,7,0)),0%,VLOOKUP(A26,'Données projet'!$A$139:$I$159,7,0))</f>
        <v>0.44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17.868099083734933</v>
      </c>
      <c r="DH26" s="21">
        <f>EXP(-LN(2)/2)*DH25+(1-EXP(-LN(2)/2))/(LN(2)/2)*DB26*DE26*VLOOKUP('Données projet'!$B$13,Paramètres!$A$1:$I$89,3,0)*0.475*44/12</f>
        <v>17.684285304612487</v>
      </c>
      <c r="DI26" s="22">
        <f t="shared" si="15"/>
        <v>35.55238438834742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2.5115384615384619</v>
      </c>
      <c r="DO26" s="12">
        <f>IF('Données projet'!$A$166&gt;35,DO25+DN26-DW25,IF(A26&lt;'Données projet'!$A$166,$DL$205^A26,IF(A26='Données projet'!$A$166,'Données projet'!$B$166,DO25+DN26-DW25)))</f>
        <v>27.484014404519773</v>
      </c>
      <c r="DP26" s="17">
        <f>DO26*VLOOKUP('Données projet'!$B$14,Paramètres!$A$1:$I$89,3,0)*VLOOKUP('Données projet'!$B$14,Paramètres!$A$1:$I$89,5,0)</f>
        <v>26.153788107341015</v>
      </c>
      <c r="DQ26" s="13">
        <f t="shared" si="43"/>
        <v>8.243006421711609</v>
      </c>
      <c r="DR26" s="20">
        <f t="shared" si="16"/>
        <v>59.907750471433324</v>
      </c>
      <c r="DS26" s="59">
        <f t="shared" si="17"/>
        <v>353.24108380476662</v>
      </c>
      <c r="DT26" s="59">
        <f ca="1">AVERAGE(OFFSET($DS$3,0,0,'Données projet'!$E$14+1,1))-AVERAGE(OFFSET($H$3,0,0,'Données projet'!$E$14+1,1))</f>
        <v>286.10360882057586</v>
      </c>
      <c r="DU26" s="59">
        <f t="shared" si="44"/>
        <v>109.24531387923128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334.0964760846598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505.06823078019431</v>
      </c>
      <c r="S27" s="59">
        <f ca="1">AVERAGE(OFFSET($R$3,0,0,'Données projet'!$E$9+1,1))-AVERAGE(OFFSET($H$3,0,0,'Données projet'!$E$9+1,1))</f>
        <v>262.42149466677068</v>
      </c>
      <c r="T27" s="59">
        <f t="shared" si="34"/>
        <v>232.7693253699756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19.071794871794875</v>
      </c>
      <c r="AI27" s="13">
        <f>IF('Données projet'!$A$62&gt;35,AI26+AH27-AQ26,IF(A27&lt;'Données projet'!$A$62,$AF$205^A27,IF(A27='Données projet'!$A$62,'Données projet'!$B$62,AI26+AH27-AQ26)))</f>
        <v>211.2717948717949</v>
      </c>
      <c r="AJ27" s="13">
        <f>AI27*VLOOKUP('Données projet'!$B$10,Paramètres!$A$1:$I$89,3,0)*VLOOKUP('Données projet'!$B$10,Paramètres!$A$1:$I$89,5,0)</f>
        <v>126.34053333333337</v>
      </c>
      <c r="AK27" s="13">
        <f t="shared" si="35"/>
        <v>33.149363946532553</v>
      </c>
      <c r="AL27" s="20">
        <f t="shared" si="4"/>
        <v>277.77823776243309</v>
      </c>
      <c r="AM27" s="59">
        <f t="shared" si="5"/>
        <v>571.11157109576641</v>
      </c>
      <c r="AN27" s="59">
        <f ca="1">AVERAGE(OFFSET($AM$3,0,0,'Données projet'!$E$10+1,1))-AVERAGE(OFFSET($H$3,0,0,'Données projet'!$E$10+1,1))</f>
        <v>249.37919739649828</v>
      </c>
      <c r="AO27" s="59">
        <f t="shared" si="36"/>
        <v>315.05045383693073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16.407315422913126</v>
      </c>
      <c r="AW27" s="21">
        <f>EXP(-LN(2)/2)*AW26+(1-EXP(-LN(2)/2))/(LN(2)/2)*AQ27*AT27*VLOOKUP('Données projet'!$B$10,Paramètres!$A$1:$I$89,3,0)*0.475*44/12</f>
        <v>4.2842741465751999</v>
      </c>
      <c r="AX27" s="21">
        <f t="shared" si="6"/>
        <v>20.691589569488325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</v>
      </c>
      <c r="BD27" s="12">
        <f>IF('Données projet'!$A$88&gt;35,BD26+BC27-BL26,IF(A27&lt;'Données projet'!$A$88,$BA$205^A27,IF(A27='Données projet'!$A$88,'Données projet'!$B$88,BD26+BC27-BL26)))</f>
        <v>90</v>
      </c>
      <c r="BE27" s="13">
        <f>BD27*VLOOKUP('Données projet'!$B$11,Paramètres!$A$1:$I$89,3,0)*VLOOKUP('Données projet'!$B$11,Paramètres!$A$1:$I$89,5,0)</f>
        <v>78.624000000000009</v>
      </c>
      <c r="BF27" s="13">
        <f t="shared" si="37"/>
        <v>21.800406010684462</v>
      </c>
      <c r="BG27" s="20">
        <f t="shared" si="7"/>
        <v>174.90584046860877</v>
      </c>
      <c r="BH27" s="59">
        <f t="shared" si="8"/>
        <v>468.23917380194212</v>
      </c>
      <c r="BI27" s="59">
        <f ca="1">AVERAGE(OFFSET($BH$3,0,0,'Données projet'!$E$11+1,1))-AVERAGE(OFFSET($H$3,0,0,'Données projet'!$E$11+1,1))</f>
        <v>186.80594222554424</v>
      </c>
      <c r="BJ27" s="59">
        <f t="shared" si="38"/>
        <v>179.02867751001872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2.5115384615384619</v>
      </c>
      <c r="BY27" s="12">
        <f>IF('Données projet'!$A$114&gt;35,BY26+BX27-CG26,IF(A27&lt;'Données projet'!$A$114,$BV$205^A27,IF(A27='Données projet'!$A$114,'Données projet'!$B$114,BY26+BX27-CG26)))</f>
        <v>31.743065877849862</v>
      </c>
      <c r="BZ27" s="13">
        <f>BY27*VLOOKUP('Données projet'!$B$12,Paramètres!$A$1:$I$89,3,0)*VLOOKUP('Données projet'!$B$12,Paramètres!$A$1:$I$89,5,0)</f>
        <v>28.721126006278556</v>
      </c>
      <c r="CA27" s="13">
        <f t="shared" si="39"/>
        <v>8.9540368420930783</v>
      </c>
      <c r="CB27" s="20">
        <f t="shared" si="10"/>
        <v>65.61757529424726</v>
      </c>
      <c r="CC27" s="59">
        <f t="shared" si="11"/>
        <v>358.95090862758059</v>
      </c>
      <c r="CD27" s="59">
        <f ca="1">AVERAGE(OFFSET($CC$3,0,0,'Données projet'!$E$12+1,1))-AVERAGE(OFFSET($H$3,0,0,'Données projet'!$E$12+1,1))</f>
        <v>265.17389489035344</v>
      </c>
      <c r="CE27" s="59">
        <f t="shared" si="40"/>
        <v>101.57852403610769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15.073076923076925</v>
      </c>
      <c r="CT27" s="12">
        <f>IF('Données projet'!$A$140&gt;35,CT26+CS27-DB26,IF(A27&lt;'Données projet'!$A$140,$CQ$205^A27,IF(A27='Données projet'!$A$140,'Données projet'!$B$140,CT26+CS27-DB26)))</f>
        <v>134.78076923076921</v>
      </c>
      <c r="CU27" s="17">
        <f>CT27*VLOOKUP('Données projet'!$B$13,Paramètres!$A$1:$I$89,3,0)*VLOOKUP('Données projet'!$B$13,Paramètres!$A$1:$I$89,5,0)</f>
        <v>80.598899999999986</v>
      </c>
      <c r="CV27" s="13">
        <f t="shared" si="41"/>
        <v>22.283554667877272</v>
      </c>
      <c r="CW27" s="20">
        <f t="shared" si="13"/>
        <v>179.18694187988618</v>
      </c>
      <c r="CX27" s="59">
        <f t="shared" si="14"/>
        <v>472.52027521321952</v>
      </c>
      <c r="CY27" s="59">
        <f ca="1">AVERAGE(OFFSET($CX$3,0,0,'Données projet'!$E$13+1,1))-AVERAGE(OFFSET($H$3,0,0,'Données projet'!$E$13+1,1))</f>
        <v>182.34243693018033</v>
      </c>
      <c r="CZ27" s="59">
        <f t="shared" si="42"/>
        <v>182.65916563909786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17.379494974647709</v>
      </c>
      <c r="DH27" s="21">
        <f>EXP(-LN(2)/2)*DH26+(1-EXP(-LN(2)/2))/(LN(2)/2)*DB27*DE27*VLOOKUP('Données projet'!$B$13,Paramètres!$A$1:$I$89,3,0)*0.475*44/12</f>
        <v>12.5046780593291</v>
      </c>
      <c r="DI27" s="22">
        <f t="shared" si="15"/>
        <v>29.884173033976808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2.5115384615384619</v>
      </c>
      <c r="DO27" s="12">
        <f>IF('Données projet'!$A$166&gt;35,DO26+DN27-DW26,IF(A27&lt;'Données projet'!$A$166,$DL$205^A27,IF(A27='Données projet'!$A$166,'Données projet'!$B$166,DO26+DN27-DW26)))</f>
        <v>31.743065877849862</v>
      </c>
      <c r="DP27" s="17">
        <f>DO27*VLOOKUP('Données projet'!$B$14,Paramètres!$A$1:$I$89,3,0)*VLOOKUP('Données projet'!$B$14,Paramètres!$A$1:$I$89,5,0)</f>
        <v>30.206701489361926</v>
      </c>
      <c r="DQ27" s="13">
        <f t="shared" si="43"/>
        <v>9.3620583609539079</v>
      </c>
      <c r="DR27" s="20">
        <f t="shared" si="16"/>
        <v>68.915590072633407</v>
      </c>
      <c r="DS27" s="59">
        <f t="shared" si="17"/>
        <v>362.24892340596671</v>
      </c>
      <c r="DT27" s="59">
        <f ca="1">AVERAGE(OFFSET($DS$3,0,0,'Données projet'!$E$14+1,1))-AVERAGE(OFFSET($H$3,0,0,'Données projet'!$E$14+1,1))</f>
        <v>286.10360882057586</v>
      </c>
      <c r="DU27" s="59">
        <f t="shared" si="44"/>
        <v>109.24531387923128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335.74499135627178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473.51875769401289</v>
      </c>
      <c r="S28" s="59">
        <f ca="1">AVERAGE(OFFSET($R$3,0,0,'Données projet'!$E$9+1,1))-AVERAGE(OFFSET($H$3,0,0,'Données projet'!$E$9+1,1))</f>
        <v>262.42149466677068</v>
      </c>
      <c r="T28" s="59">
        <f t="shared" si="34"/>
        <v>232.7693253699756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19.071794871794875</v>
      </c>
      <c r="AI28" s="13">
        <f>IF('Données projet'!$A$62&gt;35,AI27+AH28-AQ27,IF(A28&lt;'Données projet'!$A$62,$AF$205^A28,IF(A28='Données projet'!$A$62,'Données projet'!$B$62,AI27+AH28-AQ27)))</f>
        <v>230.34358974358977</v>
      </c>
      <c r="AJ28" s="13">
        <f>AI28*VLOOKUP('Données projet'!$B$10,Paramètres!$A$1:$I$89,3,0)*VLOOKUP('Données projet'!$B$10,Paramètres!$A$1:$I$89,5,0)</f>
        <v>137.74546666666669</v>
      </c>
      <c r="AK28" s="13">
        <f t="shared" si="35"/>
        <v>35.780036573255778</v>
      </c>
      <c r="AL28" s="20">
        <f t="shared" si="4"/>
        <v>302.22358480953159</v>
      </c>
      <c r="AM28" s="59">
        <f t="shared" si="5"/>
        <v>595.5569181428649</v>
      </c>
      <c r="AN28" s="59">
        <f ca="1">AVERAGE(OFFSET($AM$3,0,0,'Données projet'!$E$10+1,1))-AVERAGE(OFFSET($H$3,0,0,'Données projet'!$E$10+1,1))</f>
        <v>249.37919739649828</v>
      </c>
      <c r="AO28" s="59">
        <f t="shared" si="36"/>
        <v>315.05045383693073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15.958656519850347</v>
      </c>
      <c r="AW28" s="21">
        <f>EXP(-LN(2)/2)*AW27+(1-EXP(-LN(2)/2))/(LN(2)/2)*AQ28*AT28*VLOOKUP('Données projet'!$B$10,Paramètres!$A$1:$I$89,3,0)*0.475*44/12</f>
        <v>3.0294393015055325</v>
      </c>
      <c r="AX28" s="21">
        <f t="shared" si="6"/>
        <v>18.988095821355881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98</v>
      </c>
      <c r="BB28" s="12">
        <f>VLOOKUP(A28,'Données projet'!$A$87:$I$107,9,0)</f>
        <v>8</v>
      </c>
      <c r="BC28" s="12">
        <f t="array" ref="BC28">INDEX(BB:BB,MIN(IF(ISNUMBER(BB28:BB224),ROW(BB28:BB224),"")))</f>
        <v>8</v>
      </c>
      <c r="BD28" s="12">
        <f>IF('Données projet'!$A$88&gt;35,BD27+BC28-BL27,IF(A28&lt;'Données projet'!$A$88,$BA$205^A28,IF(A28='Données projet'!$A$88,'Données projet'!$B$88,BD27+BC28-BL27)))</f>
        <v>98</v>
      </c>
      <c r="BE28" s="13">
        <f>BD28*VLOOKUP('Données projet'!$B$11,Paramètres!$A$1:$I$89,3,0)*VLOOKUP('Données projet'!$B$11,Paramètres!$A$1:$I$89,5,0)</f>
        <v>85.612800000000007</v>
      </c>
      <c r="BF28" s="13">
        <f t="shared" si="37"/>
        <v>23.504080242391282</v>
      </c>
      <c r="BG28" s="20">
        <f t="shared" si="7"/>
        <v>190.04523308883151</v>
      </c>
      <c r="BH28" s="59">
        <f t="shared" si="8"/>
        <v>483.37856642216479</v>
      </c>
      <c r="BI28" s="59">
        <f ca="1">AVERAGE(OFFSET($BH$3,0,0,'Données projet'!$E$11+1,1))-AVERAGE(OFFSET($H$3,0,0,'Données projet'!$E$11+1,1))</f>
        <v>186.80594222554424</v>
      </c>
      <c r="BJ28" s="59">
        <f t="shared" si="38"/>
        <v>179.02867751001872</v>
      </c>
      <c r="BK28" s="15">
        <f>IF(ISNA(VLOOKUP(A28,'Données projet'!$A$87:$I$107,3,0)),0,VLOOKUP(A28,'Données projet'!$A$87:$I$107,3,0))</f>
        <v>2</v>
      </c>
      <c r="BL28" s="15" t="str">
        <f>IF(ISNA(VLOOKUP(A28,'Données projet'!$A$87:$I$107,4,0)),0,VLOOKUP(A28,'Données projet'!$A$87:$I$107,4,0))</f>
        <v>19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2.5115384615384619</v>
      </c>
      <c r="BY28" s="12">
        <f>IF('Données projet'!$A$114&gt;35,BY27+BX28-CG27,IF(A28&lt;'Données projet'!$A$114,$BV$205^A28,IF(A28='Données projet'!$A$114,'Données projet'!$B$114,BY27+BX28-CG27)))</f>
        <v>36.662119896131756</v>
      </c>
      <c r="BZ28" s="13">
        <f>BY28*VLOOKUP('Données projet'!$B$12,Paramètres!$A$1:$I$89,3,0)*VLOOKUP('Données projet'!$B$12,Paramètres!$A$1:$I$89,5,0)</f>
        <v>33.171886082020016</v>
      </c>
      <c r="CA28" s="13">
        <f t="shared" si="39"/>
        <v>10.16961666571169</v>
      </c>
      <c r="CB28" s="20">
        <f t="shared" si="10"/>
        <v>75.48645061896606</v>
      </c>
      <c r="CC28" s="59">
        <f t="shared" si="11"/>
        <v>368.81978395229936</v>
      </c>
      <c r="CD28" s="59">
        <f ca="1">AVERAGE(OFFSET($CC$3,0,0,'Données projet'!$E$12+1,1))-AVERAGE(OFFSET($H$3,0,0,'Données projet'!$E$12+1,1))</f>
        <v>265.17389489035344</v>
      </c>
      <c r="CE28" s="59">
        <f t="shared" si="40"/>
        <v>101.57852403610769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15.073076923076925</v>
      </c>
      <c r="CT28" s="12">
        <f>IF('Données projet'!$A$140&gt;35,CT27+CS28-DB27,IF(A28&lt;'Données projet'!$A$140,$CQ$205^A28,IF(A28='Données projet'!$A$140,'Données projet'!$B$140,CT27+CS28-DB27)))</f>
        <v>149.85384615384612</v>
      </c>
      <c r="CU28" s="17">
        <f>CT28*VLOOKUP('Données projet'!$B$13,Paramètres!$A$1:$I$89,3,0)*VLOOKUP('Données projet'!$B$13,Paramètres!$A$1:$I$89,5,0)</f>
        <v>89.6126</v>
      </c>
      <c r="CV28" s="13">
        <f t="shared" si="41"/>
        <v>24.471769998555317</v>
      </c>
      <c r="CW28" s="20">
        <f t="shared" si="13"/>
        <v>198.69694441415049</v>
      </c>
      <c r="CX28" s="59">
        <f t="shared" si="14"/>
        <v>492.03027774748381</v>
      </c>
      <c r="CY28" s="59">
        <f ca="1">AVERAGE(OFFSET($CX$3,0,0,'Données projet'!$E$13+1,1))-AVERAGE(OFFSET($H$3,0,0,'Données projet'!$E$13+1,1))</f>
        <v>182.34243693018033</v>
      </c>
      <c r="CZ28" s="59">
        <f t="shared" si="42"/>
        <v>182.65916563909786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16.90425177061805</v>
      </c>
      <c r="DH28" s="21">
        <f>EXP(-LN(2)/2)*DH27+(1-EXP(-LN(2)/2))/(LN(2)/2)*DB28*DE28*VLOOKUP('Données projet'!$B$13,Paramètres!$A$1:$I$89,3,0)*0.475*44/12</f>
        <v>8.8421426523062436</v>
      </c>
      <c r="DI28" s="22">
        <f t="shared" si="15"/>
        <v>25.746394422924293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2.5115384615384619</v>
      </c>
      <c r="DO28" s="12">
        <f>IF('Données projet'!$A$166&gt;35,DO27+DN28-DW27,IF(A28&lt;'Données projet'!$A$166,$DL$205^A28,IF(A28='Données projet'!$A$166,'Données projet'!$B$166,DO27+DN28-DW27)))</f>
        <v>36.662119896131756</v>
      </c>
      <c r="DP28" s="17">
        <f>DO28*VLOOKUP('Données projet'!$B$14,Paramètres!$A$1:$I$89,3,0)*VLOOKUP('Données projet'!$B$14,Paramètres!$A$1:$I$89,5,0)</f>
        <v>34.887673293158983</v>
      </c>
      <c r="DQ28" s="13">
        <f t="shared" si="43"/>
        <v>10.633030264667367</v>
      </c>
      <c r="DR28" s="20">
        <f t="shared" si="16"/>
        <v>79.281892029880893</v>
      </c>
      <c r="DS28" s="59">
        <f t="shared" si="17"/>
        <v>372.61522536321422</v>
      </c>
      <c r="DT28" s="59">
        <f ca="1">AVERAGE(OFFSET($DS$3,0,0,'Données projet'!$E$14+1,1))-AVERAGE(OFFSET($H$3,0,0,'Données projet'!$E$14+1,1))</f>
        <v>286.10360882057586</v>
      </c>
      <c r="DU28" s="59">
        <f t="shared" si="44"/>
        <v>109.24531387923128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337.39178034081073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494.25100923194668</v>
      </c>
      <c r="S29" s="59">
        <f ca="1">AVERAGE(OFFSET($R$3,0,0,'Données projet'!$E$9+1,1))-AVERAGE(OFFSET($H$3,0,0,'Données projet'!$E$9+1,1))</f>
        <v>262.42149466677068</v>
      </c>
      <c r="T29" s="59">
        <f t="shared" si="34"/>
        <v>232.7693253699756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>
        <f>VLOOKUP(A29,'Données projet'!$A$61:$I$81,2,0)</f>
        <v>249.41538461538462</v>
      </c>
      <c r="AG29" s="12">
        <f>VLOOKUP(A29,'Données projet'!$A$61:$I$81,9,0)</f>
        <v>19.071794871794875</v>
      </c>
      <c r="AH29" s="12">
        <f t="array" ref="AH29">INDEX(AG:AG,MIN(IF(ISNUMBER(AG29:AG225),ROW(AG29:AG225),"")))</f>
        <v>19.071794871794875</v>
      </c>
      <c r="AI29" s="13">
        <f>IF('Données projet'!$A$62&gt;35,AI28+AH29-AQ28,IF(A29&lt;'Données projet'!$A$62,$AF$205^A29,IF(A29='Données projet'!$A$62,'Données projet'!$B$62,AI28+AH29-AQ28)))</f>
        <v>249.41538461538465</v>
      </c>
      <c r="AJ29" s="13">
        <f>AI29*VLOOKUP('Données projet'!$B$10,Paramètres!$A$1:$I$89,3,0)*VLOOKUP('Données projet'!$B$10,Paramètres!$A$1:$I$89,5,0)</f>
        <v>149.15040000000002</v>
      </c>
      <c r="AK29" s="13">
        <f t="shared" si="35"/>
        <v>38.385447191571515</v>
      </c>
      <c r="AL29" s="20">
        <f t="shared" si="4"/>
        <v>326.62493385865372</v>
      </c>
      <c r="AM29" s="59">
        <f t="shared" si="5"/>
        <v>619.95826719198703</v>
      </c>
      <c r="AN29" s="59">
        <f ca="1">AVERAGE(OFFSET($AM$3,0,0,'Données projet'!$E$10+1,1))-AVERAGE(OFFSET($H$3,0,0,'Données projet'!$E$10+1,1))</f>
        <v>249.37919739649828</v>
      </c>
      <c r="AO29" s="59">
        <f t="shared" si="36"/>
        <v>315.05045383693073</v>
      </c>
      <c r="AP29" s="15">
        <f>IF(ISNA(VLOOKUP(A29,'Données projet'!$A$61:$I$81,3,0)),0,VLOOKUP(A29,'Données projet'!$A$61:$I$81,3,0))</f>
        <v>3</v>
      </c>
      <c r="AQ29" s="15">
        <f>IF(ISNA(VLOOKUP(A29,'Données projet'!$A$61:$I$81,4,0)),0,VLOOKUP(A29,'Données projet'!$A$61:$I$81,4,0))</f>
        <v>46.984615384615381</v>
      </c>
      <c r="AR29" s="16">
        <f>IF(ISNA(VLOOKUP(A29,'Données projet'!$A$61:$I$81,5,0)),0%,VLOOKUP(A29,'Données projet'!$A$61:$I$81,5,0)*VLOOKUP('Données projet'!$B$10,Paramètres!$A$1:$I$89,7,0))</f>
        <v>0.315</v>
      </c>
      <c r="AS29" s="16">
        <f>IF(ISNA(VLOOKUP(A29,'Données projet'!$A$61:$I$81,6,0)),0%,VLOOKUP(A29,'Données projet'!$A$61:$I$81,6,0)*VLOOKUP('Données projet'!$B$10,Paramètres!$A$1:$I$89,7,0))</f>
        <v>7.5600000000000001E-2</v>
      </c>
      <c r="AT29" s="16">
        <f>IF(ISNA(VLOOKUP(A29,'Données projet'!$A$61:$I$81,7,0)),0%,VLOOKUP(A29,'Données projet'!$A$61:$I$81,7,0))</f>
        <v>0.13200000000000001</v>
      </c>
      <c r="AU29" s="21">
        <f>EXP(-LN(2)/35)*AU28+(1-EXP(-LN(2)/35))/(LN(2)/35)*AQ29*AR29*VLOOKUP('Données projet'!$B$10,Paramètres!$A$1:$I$89,3,0)*0.475*44/12</f>
        <v>11.740748100352008</v>
      </c>
      <c r="AV29" s="21">
        <f>EXP(-LN(2)/25)*AV28+(1-EXP(-LN(2)/25))/(LN(2)/25)*Calculateur!AQ29*Calculateur!AS29*VLOOKUP('Données projet'!$B$10,Paramètres!$A$1:$I$89,3,0)*0.475*44/12</f>
        <v>18.328951090447006</v>
      </c>
      <c r="AW29" s="21">
        <f>EXP(-LN(2)/2)*AW28+(1-EXP(-LN(2)/2))/(LN(2)/2)*AQ29*AT29*VLOOKUP('Données projet'!$B$10,Paramètres!$A$1:$I$89,3,0)*0.475*44/12</f>
        <v>6.3413348563502918</v>
      </c>
      <c r="AX29" s="21">
        <f t="shared" si="6"/>
        <v>36.411034047149307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</v>
      </c>
      <c r="BD29" s="12">
        <f>IF('Données projet'!$A$88&gt;35,BD28+BC29-BL28,IF(A29&lt;'Données projet'!$A$88,$BA$205^A29,IF(A29='Données projet'!$A$88,'Données projet'!$B$88,BD28+BC29-BL28)))</f>
        <v>87</v>
      </c>
      <c r="BE29" s="13">
        <f>BD29*VLOOKUP('Données projet'!$B$11,Paramètres!$A$1:$I$89,3,0)*VLOOKUP('Données projet'!$B$11,Paramètres!$A$1:$I$89,5,0)</f>
        <v>76.003200000000007</v>
      </c>
      <c r="BF29" s="13">
        <f t="shared" si="37"/>
        <v>21.157049992000456</v>
      </c>
      <c r="BG29" s="20">
        <f t="shared" si="7"/>
        <v>169.22076873606747</v>
      </c>
      <c r="BH29" s="59">
        <f t="shared" si="8"/>
        <v>462.55410206940076</v>
      </c>
      <c r="BI29" s="59">
        <f ca="1">AVERAGE(OFFSET($BH$3,0,0,'Données projet'!$E$11+1,1))-AVERAGE(OFFSET($H$3,0,0,'Données projet'!$E$11+1,1))</f>
        <v>186.80594222554424</v>
      </c>
      <c r="BJ29" s="59">
        <f t="shared" si="38"/>
        <v>179.02867751001872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2.5115384615384619</v>
      </c>
      <c r="BY29" s="12">
        <f>IF('Données projet'!$A$114&gt;35,BY28+BX29-CG28,IF(A29&lt;'Données projet'!$A$114,$BV$205^A29,IF(A29='Données projet'!$A$114,'Données projet'!$B$114,BY28+BX29-CG28)))</f>
        <v>42.3434535419672</v>
      </c>
      <c r="BZ29" s="13">
        <f>BY29*VLOOKUP('Données projet'!$B$12,Paramètres!$A$1:$I$89,3,0)*VLOOKUP('Données projet'!$B$12,Paramètres!$A$1:$I$89,5,0)</f>
        <v>38.31235676477192</v>
      </c>
      <c r="CA29" s="13">
        <f t="shared" si="39"/>
        <v>11.55022086142605</v>
      </c>
      <c r="CB29" s="20">
        <f t="shared" si="10"/>
        <v>86.843989365628133</v>
      </c>
      <c r="CC29" s="59">
        <f t="shared" si="11"/>
        <v>380.17732269896146</v>
      </c>
      <c r="CD29" s="59">
        <f ca="1">AVERAGE(OFFSET($CC$3,0,0,'Données projet'!$E$12+1,1))-AVERAGE(OFFSET($H$3,0,0,'Données projet'!$E$12+1,1))</f>
        <v>265.17389489035344</v>
      </c>
      <c r="CE29" s="59">
        <f t="shared" si="40"/>
        <v>101.57852403610769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15.073076923076925</v>
      </c>
      <c r="CT29" s="12">
        <f>IF('Données projet'!$A$140&gt;35,CT28+CS29-DB28,IF(A29&lt;'Données projet'!$A$140,$CQ$205^A29,IF(A29='Données projet'!$A$140,'Données projet'!$B$140,CT28+CS29-DB28)))</f>
        <v>164.92692307692306</v>
      </c>
      <c r="CU29" s="17">
        <f>CT29*VLOOKUP('Données projet'!$B$13,Paramètres!$A$1:$I$89,3,0)*VLOOKUP('Données projet'!$B$13,Paramètres!$A$1:$I$89,5,0)</f>
        <v>98.626300000000001</v>
      </c>
      <c r="CV29" s="13">
        <f t="shared" si="41"/>
        <v>26.634469472597342</v>
      </c>
      <c r="CW29" s="20">
        <f t="shared" si="13"/>
        <v>218.16250683144037</v>
      </c>
      <c r="CX29" s="59">
        <f t="shared" si="14"/>
        <v>511.49584016477365</v>
      </c>
      <c r="CY29" s="59">
        <f ca="1">AVERAGE(OFFSET($CX$3,0,0,'Données projet'!$E$13+1,1))-AVERAGE(OFFSET($H$3,0,0,'Données projet'!$E$13+1,1))</f>
        <v>182.34243693018033</v>
      </c>
      <c r="CZ29" s="59">
        <f t="shared" si="42"/>
        <v>182.65916563909786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16.442004116994532</v>
      </c>
      <c r="DH29" s="21">
        <f>EXP(-LN(2)/2)*DH28+(1-EXP(-LN(2)/2))/(LN(2)/2)*DB29*DE29*VLOOKUP('Données projet'!$B$13,Paramètres!$A$1:$I$89,3,0)*0.475*44/12</f>
        <v>6.25233902966455</v>
      </c>
      <c r="DI29" s="22">
        <f t="shared" si="15"/>
        <v>22.694343146659083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2.5115384615384619</v>
      </c>
      <c r="DO29" s="12">
        <f>IF('Données projet'!$A$166&gt;35,DO28+DN29-DW28,IF(A29&lt;'Données projet'!$A$166,$DL$205^A29,IF(A29='Données projet'!$A$166,'Données projet'!$B$166,DO28+DN29-DW28)))</f>
        <v>42.3434535419672</v>
      </c>
      <c r="DP29" s="17">
        <f>DO29*VLOOKUP('Données projet'!$B$14,Paramètres!$A$1:$I$89,3,0)*VLOOKUP('Données projet'!$B$14,Paramètres!$A$1:$I$89,5,0)</f>
        <v>40.294030390535987</v>
      </c>
      <c r="DQ29" s="13">
        <f t="shared" si="43"/>
        <v>12.076546444195872</v>
      </c>
      <c r="DR29" s="20">
        <f t="shared" si="16"/>
        <v>91.212087987157972</v>
      </c>
      <c r="DS29" s="59">
        <f t="shared" si="17"/>
        <v>384.5454213204913</v>
      </c>
      <c r="DT29" s="59">
        <f ca="1">AVERAGE(OFFSET($DS$3,0,0,'Données projet'!$E$14+1,1))-AVERAGE(OFFSET($H$3,0,0,'Données projet'!$E$14+1,1))</f>
        <v>286.10360882057586</v>
      </c>
      <c r="DU29" s="59">
        <f t="shared" si="44"/>
        <v>109.24531387923128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339.03691703386005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514.93368285721635</v>
      </c>
      <c r="S30" s="59">
        <f ca="1">AVERAGE(OFFSET($R$3,0,0,'Données projet'!$E$9+1,1))-AVERAGE(OFFSET($H$3,0,0,'Données projet'!$E$9+1,1))</f>
        <v>262.42149466677068</v>
      </c>
      <c r="T30" s="59">
        <f t="shared" si="34"/>
        <v>232.7693253699756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19.393589743589743</v>
      </c>
      <c r="AI30" s="13">
        <f>IF('Données projet'!$A$62&gt;35,AI29+AH30-AQ29,IF(A30&lt;'Données projet'!$A$62,$AF$205^A30,IF(A30='Données projet'!$A$62,'Données projet'!$B$62,AI29+AH30-AQ29)))</f>
        <v>221.82435897435903</v>
      </c>
      <c r="AJ30" s="13">
        <f>AI30*VLOOKUP('Données projet'!$B$10,Paramètres!$A$1:$I$89,3,0)*VLOOKUP('Données projet'!$B$10,Paramètres!$A$1:$I$89,5,0)</f>
        <v>132.6509666666667</v>
      </c>
      <c r="AK30" s="13">
        <f t="shared" si="35"/>
        <v>34.608198355283058</v>
      </c>
      <c r="AL30" s="20">
        <f t="shared" si="4"/>
        <v>291.30971241322919</v>
      </c>
      <c r="AM30" s="59">
        <f t="shared" si="5"/>
        <v>584.64304574656251</v>
      </c>
      <c r="AN30" s="59">
        <f ca="1">AVERAGE(OFFSET($AM$3,0,0,'Données projet'!$E$10+1,1))-AVERAGE(OFFSET($H$3,0,0,'Données projet'!$E$10+1,1))</f>
        <v>249.37919739649828</v>
      </c>
      <c r="AO30" s="59">
        <f t="shared" si="36"/>
        <v>315.05045383693073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11.510519191253341</v>
      </c>
      <c r="AV30" s="21">
        <f>EXP(-LN(2)/25)*AV29+(1-EXP(-LN(2)/25))/(LN(2)/25)*Calculateur!AQ30*Calculateur!AS30*VLOOKUP('Données projet'!$B$10,Paramètres!$A$1:$I$89,3,0)*0.475*44/12</f>
        <v>17.827744959001087</v>
      </c>
      <c r="AW30" s="21">
        <f>EXP(-LN(2)/2)*AW29+(1-EXP(-LN(2)/2))/(LN(2)/2)*AQ30*AT30*VLOOKUP('Données projet'!$B$10,Paramètres!$A$1:$I$89,3,0)*0.475*44/12</f>
        <v>4.4840008786999128</v>
      </c>
      <c r="AX30" s="21">
        <f t="shared" si="6"/>
        <v>33.822265028954341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</v>
      </c>
      <c r="BD30" s="12">
        <f>IF('Données projet'!$A$88&gt;35,BD29+BC30-BL29,IF(A30&lt;'Données projet'!$A$88,$BA$205^A30,IF(A30='Données projet'!$A$88,'Données projet'!$B$88,BD29+BC30-BL29)))</f>
        <v>95</v>
      </c>
      <c r="BE30" s="13">
        <f>BD30*VLOOKUP('Données projet'!$B$11,Paramètres!$A$1:$I$89,3,0)*VLOOKUP('Données projet'!$B$11,Paramètres!$A$1:$I$89,5,0)</f>
        <v>82.992000000000004</v>
      </c>
      <c r="BF30" s="13">
        <f t="shared" si="37"/>
        <v>22.867173045817324</v>
      </c>
      <c r="BG30" s="20">
        <f t="shared" si="7"/>
        <v>184.37139305479852</v>
      </c>
      <c r="BH30" s="59">
        <f t="shared" si="8"/>
        <v>477.7047263881318</v>
      </c>
      <c r="BI30" s="59">
        <f ca="1">AVERAGE(OFFSET($BH$3,0,0,'Données projet'!$E$11+1,1))-AVERAGE(OFFSET($H$3,0,0,'Données projet'!$E$11+1,1))</f>
        <v>186.80594222554424</v>
      </c>
      <c r="BJ30" s="59">
        <f t="shared" si="38"/>
        <v>179.02867751001872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2.5115384615384619</v>
      </c>
      <c r="BY30" s="12">
        <f>IF('Données projet'!$A$114&gt;35,BY29+BX30-CG29,IF(A30&lt;'Données projet'!$A$114,$BV$205^A30,IF(A30='Données projet'!$A$114,'Données projet'!$B$114,BY29+BX30-CG29)))</f>
        <v>48.90519323324542</v>
      </c>
      <c r="BZ30" s="13">
        <f>BY30*VLOOKUP('Données projet'!$B$12,Paramètres!$A$1:$I$89,3,0)*VLOOKUP('Données projet'!$B$12,Paramètres!$A$1:$I$89,5,0)</f>
        <v>44.249418837440452</v>
      </c>
      <c r="CA30" s="13">
        <f t="shared" si="39"/>
        <v>13.118252765369638</v>
      </c>
      <c r="CB30" s="20">
        <f t="shared" si="10"/>
        <v>99.915361374894232</v>
      </c>
      <c r="CC30" s="59">
        <f t="shared" si="11"/>
        <v>393.24869470822756</v>
      </c>
      <c r="CD30" s="59">
        <f ca="1">AVERAGE(OFFSET($CC$3,0,0,'Données projet'!$E$12+1,1))-AVERAGE(OFFSET($H$3,0,0,'Données projet'!$E$12+1,1))</f>
        <v>265.17389489035344</v>
      </c>
      <c r="CE30" s="59">
        <f t="shared" si="40"/>
        <v>101.57852403610769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15.073076923076925</v>
      </c>
      <c r="CT30" s="12">
        <f>IF('Données projet'!$A$140&gt;35,CT29+CS30-DB29,IF(A30&lt;'Données projet'!$A$140,$CQ$205^A30,IF(A30='Données projet'!$A$140,'Données projet'!$B$140,CT29+CS30-DB29)))</f>
        <v>180</v>
      </c>
      <c r="CU30" s="17">
        <f>CT30*VLOOKUP('Données projet'!$B$13,Paramètres!$A$1:$I$89,3,0)*VLOOKUP('Données projet'!$B$13,Paramètres!$A$1:$I$89,5,0)</f>
        <v>107.64</v>
      </c>
      <c r="CV30" s="13">
        <f t="shared" si="41"/>
        <v>28.774250263353583</v>
      </c>
      <c r="CW30" s="20">
        <f t="shared" si="13"/>
        <v>237.58815254200749</v>
      </c>
      <c r="CX30" s="59">
        <f t="shared" si="14"/>
        <v>530.92148587534075</v>
      </c>
      <c r="CY30" s="59">
        <f ca="1">AVERAGE(OFFSET($CX$3,0,0,'Données projet'!$E$13+1,1))-AVERAGE(OFFSET($H$3,0,0,'Données projet'!$E$13+1,1))</f>
        <v>182.34243693018033</v>
      </c>
      <c r="CZ30" s="59">
        <f t="shared" si="42"/>
        <v>182.65916563909786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15.992396649767899</v>
      </c>
      <c r="DH30" s="21">
        <f>EXP(-LN(2)/2)*DH29+(1-EXP(-LN(2)/2))/(LN(2)/2)*DB30*DE30*VLOOKUP('Données projet'!$B$13,Paramètres!$A$1:$I$89,3,0)*0.475*44/12</f>
        <v>4.4210713261531218</v>
      </c>
      <c r="DI30" s="22">
        <f t="shared" si="15"/>
        <v>20.413467975921023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2.5115384615384619</v>
      </c>
      <c r="DO30" s="12">
        <f>IF('Données projet'!$A$166&gt;35,DO29+DN30-DW29,IF(A30&lt;'Données projet'!$A$166,$DL$205^A30,IF(A30='Données projet'!$A$166,'Données projet'!$B$166,DO29+DN30-DW29)))</f>
        <v>48.90519323324542</v>
      </c>
      <c r="DP30" s="17">
        <f>DO30*VLOOKUP('Données projet'!$B$14,Paramètres!$A$1:$I$89,3,0)*VLOOKUP('Données projet'!$B$14,Paramètres!$A$1:$I$89,5,0)</f>
        <v>46.538181880756341</v>
      </c>
      <c r="DQ30" s="13">
        <f t="shared" si="43"/>
        <v>13.716031120822015</v>
      </c>
      <c r="DR30" s="20">
        <f t="shared" si="16"/>
        <v>104.9427543110823</v>
      </c>
      <c r="DS30" s="59">
        <f t="shared" si="17"/>
        <v>398.27608764441561</v>
      </c>
      <c r="DT30" s="59">
        <f ca="1">AVERAGE(OFFSET($DS$3,0,0,'Données projet'!$E$14+1,1))-AVERAGE(OFFSET($H$3,0,0,'Données projet'!$E$14+1,1))</f>
        <v>286.10360882057586</v>
      </c>
      <c r="DU30" s="59">
        <f t="shared" si="44"/>
        <v>109.24531387923128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340.68046963928816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535.5720570383387</v>
      </c>
      <c r="S31" s="59">
        <f ca="1">AVERAGE(OFFSET($R$3,0,0,'Données projet'!$E$9+1,1))-AVERAGE(OFFSET($H$3,0,0,'Données projet'!$E$9+1,1))</f>
        <v>262.42149466677068</v>
      </c>
      <c r="T31" s="59">
        <f t="shared" si="34"/>
        <v>232.7693253699756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19.393589743589743</v>
      </c>
      <c r="AI31" s="13">
        <f>IF('Données projet'!$A$62&gt;35,AI30+AH31-AQ30,IF(A31&lt;'Données projet'!$A$62,$AF$205^A31,IF(A31='Données projet'!$A$62,'Données projet'!$B$62,AI30+AH31-AQ30)))</f>
        <v>241.21794871794879</v>
      </c>
      <c r="AJ31" s="13">
        <f>AI31*VLOOKUP('Données projet'!$B$10,Paramètres!$A$1:$I$89,3,0)*VLOOKUP('Données projet'!$B$10,Paramètres!$A$1:$I$89,5,0)</f>
        <v>144.24833333333339</v>
      </c>
      <c r="AK31" s="13">
        <f t="shared" si="35"/>
        <v>37.268539287745227</v>
      </c>
      <c r="AL31" s="20">
        <f t="shared" si="4"/>
        <v>316.14188648171188</v>
      </c>
      <c r="AM31" s="59">
        <f t="shared" si="5"/>
        <v>609.47521981504519</v>
      </c>
      <c r="AN31" s="59">
        <f ca="1">AVERAGE(OFFSET($AM$3,0,0,'Données projet'!$E$10+1,1))-AVERAGE(OFFSET($H$3,0,0,'Données projet'!$E$10+1,1))</f>
        <v>249.37919739649828</v>
      </c>
      <c r="AO31" s="59">
        <f t="shared" si="36"/>
        <v>315.05045383693073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11.28480493063633</v>
      </c>
      <c r="AV31" s="21">
        <f>EXP(-LN(2)/25)*AV30+(1-EXP(-LN(2)/25))/(LN(2)/25)*Calculateur!AQ31*Calculateur!AS31*VLOOKUP('Données projet'!$B$10,Paramètres!$A$1:$I$89,3,0)*0.475*44/12</f>
        <v>17.340244335576841</v>
      </c>
      <c r="AW31" s="21">
        <f>EXP(-LN(2)/2)*AW30+(1-EXP(-LN(2)/2))/(LN(2)/2)*AQ31*AT31*VLOOKUP('Données projet'!$B$10,Paramètres!$A$1:$I$89,3,0)*0.475*44/12</f>
        <v>3.1706674281751464</v>
      </c>
      <c r="AX31" s="21">
        <f t="shared" si="6"/>
        <v>31.795716694388318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</v>
      </c>
      <c r="BD31" s="12">
        <f>IF('Données projet'!$A$88&gt;35,BD30+BC31-BL30,IF(A31&lt;'Données projet'!$A$88,$BA$205^A31,IF(A31='Données projet'!$A$88,'Données projet'!$B$88,BD30+BC31-BL30)))</f>
        <v>103</v>
      </c>
      <c r="BE31" s="13">
        <f>BD31*VLOOKUP('Données projet'!$B$11,Paramètres!$A$1:$I$89,3,0)*VLOOKUP('Données projet'!$B$11,Paramètres!$A$1:$I$89,5,0)</f>
        <v>89.980800000000016</v>
      </c>
      <c r="BF31" s="13">
        <f t="shared" si="37"/>
        <v>24.560594358746648</v>
      </c>
      <c r="BG31" s="20">
        <f t="shared" si="7"/>
        <v>199.49292850815041</v>
      </c>
      <c r="BH31" s="59">
        <f t="shared" si="8"/>
        <v>492.82626184148376</v>
      </c>
      <c r="BI31" s="59">
        <f ca="1">AVERAGE(OFFSET($BH$3,0,0,'Données projet'!$E$11+1,1))-AVERAGE(OFFSET($H$3,0,0,'Données projet'!$E$11+1,1))</f>
        <v>186.80594222554424</v>
      </c>
      <c r="BJ31" s="59">
        <f t="shared" si="38"/>
        <v>179.02867751001872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2.5115384615384619</v>
      </c>
      <c r="BY31" s="12">
        <f>IF('Données projet'!$A$114&gt;35,BY30+BX31-CG30,IF(A31&lt;'Données projet'!$A$114,$BV$205^A31,IF(A31='Données projet'!$A$114,'Données projet'!$B$114,BY30+BX31-CG30)))</f>
        <v>56.483770810300285</v>
      </c>
      <c r="BZ31" s="13">
        <f>BY31*VLOOKUP('Données projet'!$B$12,Paramètres!$A$1:$I$89,3,0)*VLOOKUP('Données projet'!$B$12,Paramètres!$A$1:$I$89,5,0)</f>
        <v>51.106515829159697</v>
      </c>
      <c r="CA31" s="13">
        <f t="shared" si="39"/>
        <v>14.899157140003059</v>
      </c>
      <c r="CB31" s="20">
        <f t="shared" si="10"/>
        <v>114.9598804212918</v>
      </c>
      <c r="CC31" s="59">
        <f t="shared" si="11"/>
        <v>408.29321375462513</v>
      </c>
      <c r="CD31" s="59">
        <f ca="1">AVERAGE(OFFSET($CC$3,0,0,'Données projet'!$E$12+1,1))-AVERAGE(OFFSET($H$3,0,0,'Données projet'!$E$12+1,1))</f>
        <v>265.17389489035344</v>
      </c>
      <c r="CE31" s="59">
        <f t="shared" si="40"/>
        <v>101.57852403610769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15.073076923076925</v>
      </c>
      <c r="CT31" s="12">
        <f>IF('Données projet'!$A$140&gt;35,CT30+CS31-DB30,IF(A31&lt;'Données projet'!$A$140,$CQ$205^A31,IF(A31='Données projet'!$A$140,'Données projet'!$B$140,CT30+CS31-DB30)))</f>
        <v>195.07307692307694</v>
      </c>
      <c r="CU31" s="17">
        <f>CT31*VLOOKUP('Données projet'!$B$13,Paramètres!$A$1:$I$89,3,0)*VLOOKUP('Données projet'!$B$13,Paramètres!$A$1:$I$89,5,0)</f>
        <v>116.65370000000001</v>
      </c>
      <c r="CV31" s="13">
        <f t="shared" si="41"/>
        <v>30.893249762406356</v>
      </c>
      <c r="CW31" s="20">
        <f t="shared" si="13"/>
        <v>256.9776041695244</v>
      </c>
      <c r="CX31" s="59">
        <f t="shared" si="14"/>
        <v>550.31093750285777</v>
      </c>
      <c r="CY31" s="59">
        <f ca="1">AVERAGE(OFFSET($CX$3,0,0,'Données projet'!$E$13+1,1))-AVERAGE(OFFSET($H$3,0,0,'Données projet'!$E$13+1,1))</f>
        <v>182.34243693018033</v>
      </c>
      <c r="CZ31" s="59">
        <f t="shared" si="42"/>
        <v>182.65916563909786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15.555083722376407</v>
      </c>
      <c r="DH31" s="21">
        <f>EXP(-LN(2)/2)*DH30+(1-EXP(-LN(2)/2))/(LN(2)/2)*DB31*DE31*VLOOKUP('Données projet'!$B$13,Paramètres!$A$1:$I$89,3,0)*0.475*44/12</f>
        <v>3.126169514832275</v>
      </c>
      <c r="DI31" s="22">
        <f t="shared" si="15"/>
        <v>18.681253237208683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2.5115384615384619</v>
      </c>
      <c r="DO31" s="12">
        <f>IF('Données projet'!$A$166&gt;35,DO30+DN31-DW30,IF(A31&lt;'Données projet'!$A$166,$DL$205^A31,IF(A31='Données projet'!$A$166,'Données projet'!$B$166,DO30+DN31-DW30)))</f>
        <v>56.483770810300285</v>
      </c>
      <c r="DP31" s="17">
        <f>DO31*VLOOKUP('Données projet'!$B$14,Paramètres!$A$1:$I$89,3,0)*VLOOKUP('Données projet'!$B$14,Paramètres!$A$1:$I$89,5,0)</f>
        <v>53.74995630308176</v>
      </c>
      <c r="DQ31" s="13">
        <f t="shared" si="43"/>
        <v>15.578088535218221</v>
      </c>
      <c r="DR31" s="20">
        <f t="shared" si="16"/>
        <v>120.74634476003911</v>
      </c>
      <c r="DS31" s="59">
        <f t="shared" si="17"/>
        <v>414.07967809337242</v>
      </c>
      <c r="DT31" s="59">
        <f ca="1">AVERAGE(OFFSET($DS$3,0,0,'Données projet'!$E$14+1,1))-AVERAGE(OFFSET($H$3,0,0,'Données projet'!$E$14+1,1))</f>
        <v>286.10360882057586</v>
      </c>
      <c r="DU31" s="59">
        <f t="shared" si="44"/>
        <v>109.24531387923128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342.32250121309005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556.17043645971171</v>
      </c>
      <c r="S32" s="59">
        <f ca="1">AVERAGE(OFFSET($R$3,0,0,'Données projet'!$E$9+1,1))-AVERAGE(OFFSET($H$3,0,0,'Données projet'!$E$9+1,1))</f>
        <v>262.42149466677068</v>
      </c>
      <c r="T32" s="59">
        <f t="shared" si="34"/>
        <v>232.7693253699756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19.393589743589743</v>
      </c>
      <c r="AI32" s="13">
        <f>IF('Données projet'!$A$62&gt;35,AI31+AH32-AQ31,IF(A32&lt;'Données projet'!$A$62,$AF$205^A32,IF(A32='Données projet'!$A$62,'Données projet'!$B$62,AI31+AH32-AQ31)))</f>
        <v>260.61153846153854</v>
      </c>
      <c r="AJ32" s="13">
        <f>AI32*VLOOKUP('Données projet'!$B$10,Paramètres!$A$1:$I$89,3,0)*VLOOKUP('Données projet'!$B$10,Paramètres!$A$1:$I$89,5,0)</f>
        <v>155.84570000000005</v>
      </c>
      <c r="AK32" s="13">
        <f t="shared" si="35"/>
        <v>39.904071626695313</v>
      </c>
      <c r="AL32" s="20">
        <f t="shared" si="4"/>
        <v>340.93085224982775</v>
      </c>
      <c r="AM32" s="59">
        <f t="shared" si="5"/>
        <v>634.26418558316107</v>
      </c>
      <c r="AN32" s="59">
        <f ca="1">AVERAGE(OFFSET($AM$3,0,0,'Données projet'!$E$10+1,1))-AVERAGE(OFFSET($H$3,0,0,'Données projet'!$E$10+1,1))</f>
        <v>249.37919739649828</v>
      </c>
      <c r="AO32" s="59">
        <f t="shared" si="36"/>
        <v>315.05045383693073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11.063516788997914</v>
      </c>
      <c r="AV32" s="21">
        <f>EXP(-LN(2)/25)*AV31+(1-EXP(-LN(2)/25))/(LN(2)/25)*Calculateur!AQ32*Calculateur!AS32*VLOOKUP('Données projet'!$B$10,Paramètres!$A$1:$I$89,3,0)*0.475*44/12</f>
        <v>16.866074442336675</v>
      </c>
      <c r="AW32" s="21">
        <f>EXP(-LN(2)/2)*AW31+(1-EXP(-LN(2)/2))/(LN(2)/2)*AQ32*AT32*VLOOKUP('Données projet'!$B$10,Paramètres!$A$1:$I$89,3,0)*0.475*44/12</f>
        <v>2.2420004393499569</v>
      </c>
      <c r="AX32" s="21">
        <f t="shared" si="6"/>
        <v>30.171591670684549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</v>
      </c>
      <c r="BD32" s="12">
        <f>IF('Données projet'!$A$88&gt;35,BD31+BC32-BL31,IF(A32&lt;'Données projet'!$A$88,$BA$205^A32,IF(A32='Données projet'!$A$88,'Données projet'!$B$88,BD31+BC32-BL31)))</f>
        <v>111</v>
      </c>
      <c r="BE32" s="13">
        <f>BD32*VLOOKUP('Données projet'!$B$11,Paramètres!$A$1:$I$89,3,0)*VLOOKUP('Données projet'!$B$11,Paramètres!$A$1:$I$89,5,0)</f>
        <v>96.969600000000014</v>
      </c>
      <c r="BF32" s="13">
        <f t="shared" si="37"/>
        <v>26.238758642904337</v>
      </c>
      <c r="BG32" s="20">
        <f t="shared" si="7"/>
        <v>214.58789130305843</v>
      </c>
      <c r="BH32" s="59">
        <f t="shared" si="8"/>
        <v>507.92122463639174</v>
      </c>
      <c r="BI32" s="59">
        <f ca="1">AVERAGE(OFFSET($BH$3,0,0,'Données projet'!$E$11+1,1))-AVERAGE(OFFSET($H$3,0,0,'Données projet'!$E$11+1,1))</f>
        <v>186.80594222554424</v>
      </c>
      <c r="BJ32" s="59">
        <f t="shared" si="38"/>
        <v>179.02867751001872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2.5115384615384619</v>
      </c>
      <c r="BY32" s="12">
        <f>IF('Données projet'!$A$114&gt;35,BY31+BX32-CG31,IF(A32&lt;'Données projet'!$A$114,$BV$205^A32,IF(A32='Données projet'!$A$114,'Données projet'!$B$114,BY31+BX32-CG31)))</f>
        <v>65.236760229825805</v>
      </c>
      <c r="BZ32" s="13">
        <f>BY32*VLOOKUP('Données projet'!$B$12,Paramètres!$A$1:$I$89,3,0)*VLOOKUP('Données projet'!$B$12,Paramètres!$A$1:$I$89,5,0)</f>
        <v>59.026220655946382</v>
      </c>
      <c r="CA32" s="13">
        <f t="shared" si="39"/>
        <v>16.921833071284709</v>
      </c>
      <c r="CB32" s="20">
        <f t="shared" si="10"/>
        <v>132.27619357492748</v>
      </c>
      <c r="CC32" s="59">
        <f t="shared" si="11"/>
        <v>425.60952690826082</v>
      </c>
      <c r="CD32" s="59">
        <f ca="1">AVERAGE(OFFSET($CC$3,0,0,'Données projet'!$E$12+1,1))-AVERAGE(OFFSET($H$3,0,0,'Données projet'!$E$12+1,1))</f>
        <v>265.17389489035344</v>
      </c>
      <c r="CE32" s="59">
        <f t="shared" si="40"/>
        <v>101.57852403610769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>
        <f>VLOOKUP(A32,'Données projet'!$A$139:$I$159,2,0)</f>
        <v>210.14615384615385</v>
      </c>
      <c r="CR32" s="12">
        <f>VLOOKUP(A32,'Données projet'!$A$139:$I$159,9,0)</f>
        <v>15.073076923076925</v>
      </c>
      <c r="CS32" s="12">
        <f t="array" ref="CS32">INDEX(CR:CR,MIN(IF(ISNUMBER(CR32:CR228),ROW(CR32:CR228),"")))</f>
        <v>15.073076923076925</v>
      </c>
      <c r="CT32" s="12">
        <f>IF('Données projet'!$A$140&gt;35,CT31+CS32-DB31,IF(A32&lt;'Données projet'!$A$140,$CQ$205^A32,IF(A32='Données projet'!$A$140,'Données projet'!$B$140,CT31+CS32-DB31)))</f>
        <v>210.14615384615388</v>
      </c>
      <c r="CU32" s="17">
        <f>CT32*VLOOKUP('Données projet'!$B$13,Paramètres!$A$1:$I$89,3,0)*VLOOKUP('Données projet'!$B$13,Paramètres!$A$1:$I$89,5,0)</f>
        <v>125.66740000000003</v>
      </c>
      <c r="CV32" s="13">
        <f t="shared" si="41"/>
        <v>32.993256286656127</v>
      </c>
      <c r="CW32" s="20">
        <f t="shared" si="13"/>
        <v>276.33397636592611</v>
      </c>
      <c r="CX32" s="59">
        <f t="shared" si="14"/>
        <v>569.66730969925948</v>
      </c>
      <c r="CY32" s="59">
        <f ca="1">AVERAGE(OFFSET($CX$3,0,0,'Données projet'!$E$13+1,1))-AVERAGE(OFFSET($H$3,0,0,'Données projet'!$E$13+1,1))</f>
        <v>182.34243693018033</v>
      </c>
      <c r="CZ32" s="59">
        <f t="shared" si="42"/>
        <v>182.65916563909786</v>
      </c>
      <c r="DA32" s="15">
        <f>IF(ISNA(VLOOKUP(A32,'Données projet'!$A$139:$I$159,3,0)),0,VLOOKUP(A32,'Données projet'!$A$139:$I$159,3,0))</f>
        <v>3</v>
      </c>
      <c r="DB32" s="15">
        <f>IF(ISNA(VLOOKUP(A32,'Données projet'!$A$139:$I$159,4,0)),0,VLOOKUP(A32,'Données projet'!$A$139:$I$159,4,0))</f>
        <v>47.661538461538463</v>
      </c>
      <c r="DC32" s="16">
        <f>IF(ISNA(VLOOKUP(A32,'Données projet'!$A$139:$I$159,5,0)),0%,VLOOKUP(A32,'Données projet'!$A$139:$I$159,5,0)*VLOOKUP('Données projet'!$B$13,Paramètres!$A$1:$I$89,7,0))</f>
        <v>0.315</v>
      </c>
      <c r="DD32" s="16">
        <f>IF(ISNA(VLOOKUP(A32,'Données projet'!$A$139:$I$159,6,0)),0%,VLOOKUP(A32,'Données projet'!$A$139:$I$159,6,0)*VLOOKUP('Données projet'!$B$13,Paramètres!$A$1:$I$89,7,0))</f>
        <v>7.5600000000000001E-2</v>
      </c>
      <c r="DE32" s="16">
        <f>IF(ISNA(VLOOKUP(A32,'Données projet'!$A$139:$I$159,7,0)),0%,VLOOKUP(A32,'Données projet'!$A$139:$I$159,7,0))</f>
        <v>0.13200000000000001</v>
      </c>
      <c r="DF32" s="21">
        <f>EXP(-LN(2)/35)*DF31+(1-EXP(-LN(2)/35))/(LN(2)/35)*DB32*DC32*VLOOKUP('Données projet'!$B$13,Paramètres!$A$1:$I$89,3,0)*0.475*44/12</f>
        <v>11.909900987194014</v>
      </c>
      <c r="DG32" s="21">
        <f>EXP(-LN(2)/25)*DG31+(1-EXP(-LN(2)/25))/(LN(2)/25)*Calculateur!DB32*Calculateur!DD32*VLOOKUP('Données projet'!$B$13,Paramètres!$A$1:$I$89,3,0)*0.475*44/12</f>
        <v>17.976850860536775</v>
      </c>
      <c r="DH32" s="21">
        <f>EXP(-LN(2)/2)*DH31+(1-EXP(-LN(2)/2))/(LN(2)/2)*DB32*DE32*VLOOKUP('Données projet'!$B$13,Paramètres!$A$1:$I$89,3,0)*0.475*44/12</f>
        <v>6.4702326938323633</v>
      </c>
      <c r="DI32" s="22">
        <f t="shared" si="15"/>
        <v>36.356984541563151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2.5115384615384619</v>
      </c>
      <c r="DO32" s="12">
        <f>IF('Données projet'!$A$166&gt;35,DO31+DN32-DW31,IF(A32&lt;'Données projet'!$A$166,$DL$205^A32,IF(A32='Données projet'!$A$166,'Données projet'!$B$166,DO31+DN32-DW31)))</f>
        <v>65.236760229825805</v>
      </c>
      <c r="DP32" s="17">
        <f>DO32*VLOOKUP('Données projet'!$B$14,Paramètres!$A$1:$I$89,3,0)*VLOOKUP('Données projet'!$B$14,Paramètres!$A$1:$I$89,5,0)</f>
        <v>62.07930103470224</v>
      </c>
      <c r="DQ32" s="13">
        <f t="shared" si="43"/>
        <v>17.692934659698651</v>
      </c>
      <c r="DR32" s="20">
        <f t="shared" si="16"/>
        <v>138.93664383441487</v>
      </c>
      <c r="DS32" s="59">
        <f t="shared" si="17"/>
        <v>432.26997716774815</v>
      </c>
      <c r="DT32" s="59">
        <f ca="1">AVERAGE(OFFSET($DS$3,0,0,'Données projet'!$E$14+1,1))-AVERAGE(OFFSET($H$3,0,0,'Données projet'!$E$14+1,1))</f>
        <v>286.10360882057586</v>
      </c>
      <c r="DU32" s="59">
        <f t="shared" si="44"/>
        <v>109.24531387923128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343.96307021592793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262.42149466677068</v>
      </c>
      <c r="T33" s="59">
        <f t="shared" si="34"/>
        <v>232.7693253699756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19.393589743589743</v>
      </c>
      <c r="AI33" s="13">
        <f>IF('Données projet'!$A$62&gt;35,AI32+AH33-AQ32,IF(A33&lt;'Données projet'!$A$62,$AF$205^A33,IF(A33='Données projet'!$A$62,'Données projet'!$B$62,AI32+AH33-AQ32)))</f>
        <v>280.0051282051283</v>
      </c>
      <c r="AJ33" s="13">
        <f>AI33*VLOOKUP('Données projet'!$B$10,Paramètres!$A$1:$I$89,3,0)*VLOOKUP('Données projet'!$B$10,Paramètres!$A$1:$I$89,5,0)</f>
        <v>167.44306666666677</v>
      </c>
      <c r="AK33" s="13">
        <f t="shared" si="35"/>
        <v>42.516851449807113</v>
      </c>
      <c r="AL33" s="20">
        <f t="shared" si="4"/>
        <v>365.68019071952534</v>
      </c>
      <c r="AM33" s="59">
        <f t="shared" si="5"/>
        <v>659.01352405285866</v>
      </c>
      <c r="AN33" s="59">
        <f ca="1">AVERAGE(OFFSET($AM$3,0,0,'Données projet'!$E$10+1,1))-AVERAGE(OFFSET($H$3,0,0,'Données projet'!$E$10+1,1))</f>
        <v>249.37919739649828</v>
      </c>
      <c r="AO33" s="59">
        <f t="shared" si="36"/>
        <v>315.05045383693073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10.846567972844589</v>
      </c>
      <c r="AV33" s="21">
        <f>EXP(-LN(2)/25)*AV32+(1-EXP(-LN(2)/25))/(LN(2)/25)*Calculateur!AQ33*Calculateur!AS33*VLOOKUP('Données projet'!$B$10,Paramètres!$A$1:$I$89,3,0)*0.475*44/12</f>
        <v>16.404870749762672</v>
      </c>
      <c r="AW33" s="21">
        <f>EXP(-LN(2)/2)*AW32+(1-EXP(-LN(2)/2))/(LN(2)/2)*AQ33*AT33*VLOOKUP('Données projet'!$B$10,Paramètres!$A$1:$I$89,3,0)*0.475*44/12</f>
        <v>1.5853337140875734</v>
      </c>
      <c r="AX33" s="21">
        <f t="shared" si="6"/>
        <v>28.836772436694837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119</v>
      </c>
      <c r="BB33" s="12">
        <f>VLOOKUP(A33,'Données projet'!$A$87:$I$107,9,0)</f>
        <v>8</v>
      </c>
      <c r="BC33" s="12">
        <f t="array" ref="BC33">INDEX(BB:BB,MIN(IF(ISNUMBER(BB33:BB229),ROW(BB33:BB229),"")))</f>
        <v>8</v>
      </c>
      <c r="BD33" s="12">
        <f>IF('Données projet'!$A$88&gt;35,BD32+BC33-BL32,IF(A33&lt;'Données projet'!$A$88,$BA$205^A33,IF(A33='Données projet'!$A$88,'Données projet'!$B$88,BD32+BC33-BL32)))</f>
        <v>119</v>
      </c>
      <c r="BE33" s="13">
        <f>BD33*VLOOKUP('Données projet'!$B$11,Paramètres!$A$1:$I$89,3,0)*VLOOKUP('Données projet'!$B$11,Paramètres!$A$1:$I$89,5,0)</f>
        <v>103.9584</v>
      </c>
      <c r="BF33" s="13">
        <f t="shared" si="37"/>
        <v>27.902890560352166</v>
      </c>
      <c r="BG33" s="20">
        <f t="shared" si="7"/>
        <v>229.65841439261331</v>
      </c>
      <c r="BH33" s="59">
        <f t="shared" si="8"/>
        <v>522.99174772594665</v>
      </c>
      <c r="BI33" s="59">
        <f ca="1">AVERAGE(OFFSET($BH$3,0,0,'Données projet'!$E$11+1,1))-AVERAGE(OFFSET($H$3,0,0,'Données projet'!$E$11+1,1))</f>
        <v>186.80594222554424</v>
      </c>
      <c r="BJ33" s="59">
        <f t="shared" si="38"/>
        <v>179.02867751001872</v>
      </c>
      <c r="BK33" s="15">
        <f>IF(ISNA(VLOOKUP(A33,'Données projet'!$A$87:$I$107,3,0)),0,VLOOKUP(A33,'Données projet'!$A$87:$I$107,3,0))</f>
        <v>3</v>
      </c>
      <c r="BL33" s="15" t="str">
        <f>IF(ISNA(VLOOKUP(A33,'Données projet'!$A$87:$I$107,4,0)),0,VLOOKUP(A33,'Données projet'!$A$87:$I$107,4,0))</f>
        <v>20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75.346153846153854</v>
      </c>
      <c r="BW33" s="12">
        <f>VLOOKUP(A33,'Données projet'!$A$113:$I$133,9,0)</f>
        <v>2.5115384615384619</v>
      </c>
      <c r="BX33" s="12">
        <f t="array" ref="BX33">INDEX(BW:BW,MIN(IF(ISNUMBER(BW33:BW229),ROW(BW33:BW229),"")))</f>
        <v>2.5115384615384619</v>
      </c>
      <c r="BY33" s="12">
        <f>IF('Données projet'!$A$114&gt;35,BY32+BX33-CG32,IF(A33&lt;'Données projet'!$A$114,$BV$205^A33,IF(A33='Données projet'!$A$114,'Données projet'!$B$114,BY32+BX33-CG32)))</f>
        <v>75.346153846153854</v>
      </c>
      <c r="BZ33" s="13">
        <f>BY33*VLOOKUP('Données projet'!$B$12,Paramètres!$A$1:$I$89,3,0)*VLOOKUP('Données projet'!$B$12,Paramètres!$A$1:$I$89,5,0)</f>
        <v>68.173200000000008</v>
      </c>
      <c r="CA33" s="13">
        <f t="shared" si="39"/>
        <v>19.219102919829069</v>
      </c>
      <c r="CB33" s="20">
        <f t="shared" si="10"/>
        <v>152.20826091870231</v>
      </c>
      <c r="CC33" s="59">
        <f t="shared" si="11"/>
        <v>445.54159425203562</v>
      </c>
      <c r="CD33" s="59">
        <f ca="1">AVERAGE(OFFSET($CC$3,0,0,'Données projet'!$E$12+1,1))-AVERAGE(OFFSET($H$3,0,0,'Données projet'!$E$12+1,1))</f>
        <v>265.17389489035344</v>
      </c>
      <c r="CE33" s="59">
        <f t="shared" si="40"/>
        <v>101.57852403610769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176.66153846153844</v>
      </c>
      <c r="CR33" s="12">
        <f>VLOOKUP(A33,'Données projet'!$A$139:$I$159,9,0)</f>
        <v>14.17692307692306</v>
      </c>
      <c r="CS33" s="12">
        <f t="array" ref="CS33">INDEX(CR:CR,MIN(IF(ISNUMBER(CR33:CR229),ROW(CR33:CR229),"")))</f>
        <v>14.17692307692306</v>
      </c>
      <c r="CT33" s="12">
        <f>IF('Données projet'!$A$140&gt;35,CT32+CS33-DB32,IF(A33&lt;'Données projet'!$A$140,$CQ$205^A33,IF(A33='Données projet'!$A$140,'Données projet'!$B$140,CT32+CS33-DB32)))</f>
        <v>176.66153846153847</v>
      </c>
      <c r="CU33" s="17">
        <f>CT33*VLOOKUP('Données projet'!$B$13,Paramètres!$A$1:$I$89,3,0)*VLOOKUP('Données projet'!$B$13,Paramètres!$A$1:$I$89,5,0)</f>
        <v>105.64360000000001</v>
      </c>
      <c r="CV33" s="13">
        <f t="shared" si="41"/>
        <v>28.302181352167882</v>
      </c>
      <c r="CW33" s="20">
        <f t="shared" si="13"/>
        <v>233.28890252169242</v>
      </c>
      <c r="CX33" s="59">
        <f t="shared" si="14"/>
        <v>526.62223585502579</v>
      </c>
      <c r="CY33" s="59">
        <f ca="1">AVERAGE(OFFSET($CX$3,0,0,'Données projet'!$E$13+1,1))-AVERAGE(OFFSET($H$3,0,0,'Données projet'!$E$13+1,1))</f>
        <v>182.34243693018033</v>
      </c>
      <c r="CZ33" s="59">
        <f t="shared" si="42"/>
        <v>182.65916563909786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11.676355093157449</v>
      </c>
      <c r="DG33" s="21">
        <f>EXP(-LN(2)/25)*DG32+(1-EXP(-LN(2)/25))/(LN(2)/25)*Calculateur!DB33*Calculateur!DD33*VLOOKUP('Données projet'!$B$13,Paramètres!$A$1:$I$89,3,0)*0.475*44/12</f>
        <v>17.485272928393897</v>
      </c>
      <c r="DH33" s="21">
        <f>EXP(-LN(2)/2)*DH32+(1-EXP(-LN(2)/2))/(LN(2)/2)*DB33*DE33*VLOOKUP('Données projet'!$B$13,Paramètres!$A$1:$I$89,3,0)*0.475*44/12</f>
        <v>4.5751454136637673</v>
      </c>
      <c r="DI33" s="22">
        <f t="shared" si="15"/>
        <v>33.736773435215113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75.346153846153854</v>
      </c>
      <c r="DM33" s="12">
        <f>VLOOKUP(A33,'Données projet'!$A$165:$I$185,9,0)</f>
        <v>2.5115384615384619</v>
      </c>
      <c r="DN33" s="12">
        <f t="array" ref="DN33">INDEX(DM:DM,MIN(IF(ISNUMBER(DM33:DM229),ROW(DM33:DM229),"")))</f>
        <v>2.5115384615384619</v>
      </c>
      <c r="DO33" s="12">
        <f>IF('Données projet'!$A$166&gt;35,DO32+DN33-DW32,IF(A33&lt;'Données projet'!$A$166,$DL$205^A33,IF(A33='Données projet'!$A$166,'Données projet'!$B$166,DO32+DN33-DW32)))</f>
        <v>75.346153846153854</v>
      </c>
      <c r="DP33" s="17">
        <f>DO33*VLOOKUP('Données projet'!$B$14,Paramètres!$A$1:$I$89,3,0)*VLOOKUP('Données projet'!$B$14,Paramètres!$A$1:$I$89,5,0)</f>
        <v>71.699400000000011</v>
      </c>
      <c r="DQ33" s="13">
        <f t="shared" si="43"/>
        <v>20.094887518751726</v>
      </c>
      <c r="DR33" s="20">
        <f t="shared" si="16"/>
        <v>159.87505076182592</v>
      </c>
      <c r="DS33" s="59">
        <f t="shared" si="17"/>
        <v>453.2083840951592</v>
      </c>
      <c r="DT33" s="59">
        <f ca="1">AVERAGE(OFFSET($DS$3,0,0,'Données projet'!$E$14+1,1))-AVERAGE(OFFSET($H$3,0,0,'Données projet'!$E$14+1,1))</f>
        <v>286.10360882057586</v>
      </c>
      <c r="DU33" s="59">
        <f t="shared" si="44"/>
        <v>109.24531387923128</v>
      </c>
      <c r="DV33" s="15" t="str">
        <f>IF(ISNA(VLOOKUP(A33,'Données projet'!$A$165:$I$185,3,0)),0,VLOOKUP(A33,'Données projet'!$A$165:$I$185,3,0))</f>
        <v>na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345.60223098993072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262.42149466677068</v>
      </c>
      <c r="T34" s="59">
        <f t="shared" si="34"/>
        <v>232.7693253699756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19.393589743589743</v>
      </c>
      <c r="AI34" s="13">
        <f>IF('Données projet'!$A$62&gt;35,AI33+AH34-AQ33,IF(A34&lt;'Données projet'!$A$62,$AF$205^A34,IF(A34='Données projet'!$A$62,'Données projet'!$B$62,AI33+AH34-AQ33)))</f>
        <v>299.39871794871806</v>
      </c>
      <c r="AJ34" s="13">
        <f>AI34*VLOOKUP('Données projet'!$B$10,Paramètres!$A$1:$I$89,3,0)*VLOOKUP('Données projet'!$B$10,Paramètres!$A$1:$I$89,5,0)</f>
        <v>179.04043333333343</v>
      </c>
      <c r="AK34" s="13">
        <f t="shared" si="35"/>
        <v>45.108633894312518</v>
      </c>
      <c r="AL34" s="20">
        <f t="shared" si="4"/>
        <v>390.39295875481668</v>
      </c>
      <c r="AM34" s="59">
        <f t="shared" si="5"/>
        <v>683.72629208814999</v>
      </c>
      <c r="AN34" s="59">
        <f ca="1">AVERAGE(OFFSET($AM$3,0,0,'Données projet'!$E$10+1,1))-AVERAGE(OFFSET($H$3,0,0,'Données projet'!$E$10+1,1))</f>
        <v>249.37919739649828</v>
      </c>
      <c r="AO34" s="59">
        <f t="shared" si="36"/>
        <v>315.05045383693073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10.633873390650319</v>
      </c>
      <c r="AV34" s="21">
        <f>EXP(-LN(2)/25)*AV33+(1-EXP(-LN(2)/25))/(LN(2)/25)*Calculateur!AQ34*Calculateur!AS34*VLOOKUP('Données projet'!$B$10,Paramètres!$A$1:$I$89,3,0)*0.475*44/12</f>
        <v>15.956278696415753</v>
      </c>
      <c r="AW34" s="21">
        <f>EXP(-LN(2)/2)*AW33+(1-EXP(-LN(2)/2))/(LN(2)/2)*AQ34*AT34*VLOOKUP('Données projet'!$B$10,Paramètres!$A$1:$I$89,3,0)*0.475*44/12</f>
        <v>1.1210002196749784</v>
      </c>
      <c r="AX34" s="21">
        <f t="shared" si="6"/>
        <v>27.711152306741052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7.2</v>
      </c>
      <c r="BD34" s="12">
        <f>IF('Données projet'!$A$88&gt;35,BD33+BC34-BL33,IF(A34&lt;'Données projet'!$A$88,$BA$205^A34,IF(A34='Données projet'!$A$88,'Données projet'!$B$88,BD33+BC34-BL33)))</f>
        <v>106.2</v>
      </c>
      <c r="BE34" s="13">
        <f>BD34*VLOOKUP('Données projet'!$B$11,Paramètres!$A$1:$I$89,3,0)*VLOOKUP('Données projet'!$B$11,Paramètres!$A$1:$I$89,5,0)</f>
        <v>92.776320000000013</v>
      </c>
      <c r="BF34" s="13">
        <f t="shared" si="37"/>
        <v>25.233617967655977</v>
      </c>
      <c r="BG34" s="20">
        <f t="shared" si="7"/>
        <v>205.53397529366751</v>
      </c>
      <c r="BH34" s="59">
        <f t="shared" si="8"/>
        <v>498.86730862700085</v>
      </c>
      <c r="BI34" s="59">
        <f ca="1">AVERAGE(OFFSET($BH$3,0,0,'Données projet'!$E$11+1,1))-AVERAGE(OFFSET($H$3,0,0,'Données projet'!$E$11+1,1))</f>
        <v>186.80594222554424</v>
      </c>
      <c r="BJ34" s="59">
        <f t="shared" si="38"/>
        <v>179.02867751001872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5.4791666666666652</v>
      </c>
      <c r="BY34" s="12">
        <f>IF('Données projet'!$A$114&gt;35,BY33+BX34-CG33,IF(A34&lt;'Données projet'!$A$114,$BV$205^A34,IF(A34='Données projet'!$A$114,'Données projet'!$B$114,BY33+BX34-CG33)))</f>
        <v>80.825320512820525</v>
      </c>
      <c r="BZ34" s="13">
        <f>BY34*VLOOKUP('Données projet'!$B$12,Paramètres!$A$1:$I$89,3,0)*VLOOKUP('Données projet'!$B$12,Paramètres!$A$1:$I$89,5,0)</f>
        <v>73.130750000000006</v>
      </c>
      <c r="CA34" s="13">
        <f t="shared" si="39"/>
        <v>20.448942280216116</v>
      </c>
      <c r="CB34" s="20">
        <f t="shared" si="10"/>
        <v>162.98463072137639</v>
      </c>
      <c r="CC34" s="59">
        <f t="shared" si="11"/>
        <v>456.31796405470971</v>
      </c>
      <c r="CD34" s="59">
        <f ca="1">AVERAGE(OFFSET($CC$3,0,0,'Données projet'!$E$12+1,1))-AVERAGE(OFFSET($H$3,0,0,'Données projet'!$E$12+1,1))</f>
        <v>265.17389489035344</v>
      </c>
      <c r="CE34" s="59">
        <f t="shared" si="40"/>
        <v>101.57852403610769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14.319230769230776</v>
      </c>
      <c r="CT34" s="12">
        <f>IF('Données projet'!$A$140&gt;35,CT33+CS34-DB33,IF(A34&lt;'Données projet'!$A$140,$CQ$205^A34,IF(A34='Données projet'!$A$140,'Données projet'!$B$140,CT33+CS34-DB33)))</f>
        <v>190.98076923076925</v>
      </c>
      <c r="CU34" s="17">
        <f>CT34*VLOOKUP('Données projet'!$B$13,Paramètres!$A$1:$I$89,3,0)*VLOOKUP('Données projet'!$B$13,Paramètres!$A$1:$I$89,5,0)</f>
        <v>114.20650000000002</v>
      </c>
      <c r="CV34" s="13">
        <f t="shared" si="41"/>
        <v>30.319893773740137</v>
      </c>
      <c r="CW34" s="20">
        <f t="shared" si="13"/>
        <v>251.71680248926407</v>
      </c>
      <c r="CX34" s="59">
        <f t="shared" si="14"/>
        <v>545.05013582259744</v>
      </c>
      <c r="CY34" s="59">
        <f ca="1">AVERAGE(OFFSET($CX$3,0,0,'Données projet'!$E$13+1,1))-AVERAGE(OFFSET($H$3,0,0,'Données projet'!$E$13+1,1))</f>
        <v>182.34243693018033</v>
      </c>
      <c r="CZ34" s="59">
        <f t="shared" si="42"/>
        <v>182.65916563909786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11.447388891654011</v>
      </c>
      <c r="DG34" s="21">
        <f>EXP(-LN(2)/25)*DG33+(1-EXP(-LN(2)/25))/(LN(2)/25)*Calculateur!DB34*Calculateur!DD34*VLOOKUP('Données projet'!$B$13,Paramètres!$A$1:$I$89,3,0)*0.475*44/12</f>
        <v>17.007137220656425</v>
      </c>
      <c r="DH34" s="21">
        <f>EXP(-LN(2)/2)*DH33+(1-EXP(-LN(2)/2))/(LN(2)/2)*DB34*DE34*VLOOKUP('Données projet'!$B$13,Paramètres!$A$1:$I$89,3,0)*0.475*44/12</f>
        <v>3.2351163469161821</v>
      </c>
      <c r="DI34" s="22">
        <f t="shared" si="15"/>
        <v>31.689642459226619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5.4791666666666652</v>
      </c>
      <c r="DO34" s="12">
        <f>IF('Données projet'!$A$166&gt;35,DO33+DN34-DW33,IF(A34&lt;'Données projet'!$A$166,$DL$205^A34,IF(A34='Données projet'!$A$166,'Données projet'!$B$166,DO33+DN34-DW33)))</f>
        <v>80.825320512820525</v>
      </c>
      <c r="DP34" s="17">
        <f>DO34*VLOOKUP('Données projet'!$B$14,Paramètres!$A$1:$I$89,3,0)*VLOOKUP('Données projet'!$B$14,Paramètres!$A$1:$I$89,5,0)</f>
        <v>76.913375000000002</v>
      </c>
      <c r="DQ34" s="13">
        <f t="shared" si="43"/>
        <v>21.380768744124314</v>
      </c>
      <c r="DR34" s="20">
        <f t="shared" si="16"/>
        <v>171.19563368768317</v>
      </c>
      <c r="DS34" s="59">
        <f t="shared" si="17"/>
        <v>464.52896702101646</v>
      </c>
      <c r="DT34" s="59">
        <f ca="1">AVERAGE(OFFSET($DS$3,0,0,'Données projet'!$E$14+1,1))-AVERAGE(OFFSET($H$3,0,0,'Données projet'!$E$14+1,1))</f>
        <v>286.10360882057586</v>
      </c>
      <c r="DU34" s="59">
        <f t="shared" si="44"/>
        <v>109.24531387923128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347.24003417224236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262.42149466677068</v>
      </c>
      <c r="T35" s="59">
        <f t="shared" si="34"/>
        <v>232.7693253699756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318.7923076923077</v>
      </c>
      <c r="AG35" s="12">
        <f>VLOOKUP(A35,'Données projet'!$A$61:$I$81,9,0)</f>
        <v>19.393589743589743</v>
      </c>
      <c r="AH35" s="12">
        <f t="array" ref="AH35">INDEX(AG:AG,MIN(IF(ISNUMBER(AG35:AG231),ROW(AG35:AG231),"")))</f>
        <v>19.393589743589743</v>
      </c>
      <c r="AI35" s="13">
        <f>IF('Données projet'!$A$62&gt;35,AI34+AH35-AQ34,IF(A35&lt;'Données projet'!$A$62,$AF$205^A35,IF(A35='Données projet'!$A$62,'Données projet'!$B$62,AI34+AH35-AQ34)))</f>
        <v>318.79230769230782</v>
      </c>
      <c r="AJ35" s="13">
        <f>AI35*VLOOKUP('Données projet'!$B$10,Paramètres!$A$1:$I$89,3,0)*VLOOKUP('Données projet'!$B$10,Paramètres!$A$1:$I$89,5,0)</f>
        <v>190.63780000000008</v>
      </c>
      <c r="AK35" s="13">
        <f t="shared" si="35"/>
        <v>47.680933861376609</v>
      </c>
      <c r="AL35" s="20">
        <f t="shared" si="4"/>
        <v>415.07179480856439</v>
      </c>
      <c r="AM35" s="59">
        <f t="shared" si="5"/>
        <v>708.40512814189765</v>
      </c>
      <c r="AN35" s="59">
        <f ca="1">AVERAGE(OFFSET($AM$3,0,0,'Données projet'!$E$10+1,1))-AVERAGE(OFFSET($H$3,0,0,'Données projet'!$E$10+1,1))</f>
        <v>249.37919739649828</v>
      </c>
      <c r="AO35" s="59">
        <f t="shared" si="36"/>
        <v>315.05045383693073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64.523076923076914</v>
      </c>
      <c r="AR35" s="16">
        <f>IF(ISNA(VLOOKUP(A35,'Données projet'!$A$61:$I$81,5,0)),0%,VLOOKUP(A35,'Données projet'!$A$61:$I$81,5,0)*VLOOKUP('Données projet'!$B$10,Paramètres!$A$1:$I$89,7,0))</f>
        <v>0.315</v>
      </c>
      <c r="AS35" s="16">
        <f>IF(ISNA(VLOOKUP(A35,'Données projet'!$A$61:$I$81,6,0)),0%,VLOOKUP(A35,'Données projet'!$A$61:$I$81,6,0)*VLOOKUP('Données projet'!$B$10,Paramètres!$A$1:$I$89,7,0))</f>
        <v>7.5600000000000001E-2</v>
      </c>
      <c r="AT35" s="16">
        <f>IF(ISNA(VLOOKUP(A35,'Données projet'!$A$61:$I$81,7,0)),0%,VLOOKUP(A35,'Données projet'!$A$61:$I$81,7,0))</f>
        <v>0.13200000000000001</v>
      </c>
      <c r="AU35" s="21">
        <f>EXP(-LN(2)/35)*AU34+(1-EXP(-LN(2)/35))/(LN(2)/35)*AQ35*AR35*VLOOKUP('Données projet'!$B$10,Paramètres!$A$1:$I$89,3,0)*0.475*44/12</f>
        <v>26.548695242558715</v>
      </c>
      <c r="AV35" s="21">
        <f>EXP(-LN(2)/25)*AV34+(1-EXP(-LN(2)/25))/(LN(2)/25)*Calculateur!AQ35*Calculateur!AS35*VLOOKUP('Données projet'!$B$10,Paramètres!$A$1:$I$89,3,0)*0.475*44/12</f>
        <v>19.374320264649796</v>
      </c>
      <c r="AW35" s="21">
        <f>EXP(-LN(2)/2)*AW34+(1-EXP(-LN(2)/2))/(LN(2)/2)*AQ35*AT35*VLOOKUP('Données projet'!$B$10,Paramètres!$A$1:$I$89,3,0)*0.475*44/12</f>
        <v>6.5593451485188776</v>
      </c>
      <c r="AX35" s="21">
        <f t="shared" si="6"/>
        <v>52.482360655727391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7.2</v>
      </c>
      <c r="BD35" s="12">
        <f>IF('Données projet'!$A$88&gt;35,BD34+BC35-BL34,IF(A35&lt;'Données projet'!$A$88,$BA$205^A35,IF(A35='Données projet'!$A$88,'Données projet'!$B$88,BD34+BC35-BL34)))</f>
        <v>113.4</v>
      </c>
      <c r="BE35" s="13">
        <f>BD35*VLOOKUP('Données projet'!$B$11,Paramètres!$A$1:$I$89,3,0)*VLOOKUP('Données projet'!$B$11,Paramètres!$A$1:$I$89,5,0)</f>
        <v>99.066240000000022</v>
      </c>
      <c r="BF35" s="13">
        <f t="shared" si="37"/>
        <v>26.739420789378705</v>
      </c>
      <c r="BG35" s="20">
        <f t="shared" si="7"/>
        <v>219.11152587483457</v>
      </c>
      <c r="BH35" s="59">
        <f t="shared" si="8"/>
        <v>512.44485920816783</v>
      </c>
      <c r="BI35" s="59">
        <f ca="1">AVERAGE(OFFSET($BH$3,0,0,'Données projet'!$E$11+1,1))-AVERAGE(OFFSET($H$3,0,0,'Données projet'!$E$11+1,1))</f>
        <v>186.80594222554424</v>
      </c>
      <c r="BJ35" s="59">
        <f t="shared" si="38"/>
        <v>179.02867751001872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5.4791666666666652</v>
      </c>
      <c r="BY35" s="12">
        <f>IF('Données projet'!$A$114&gt;35,BY34+BX35-CG34,IF(A35&lt;'Données projet'!$A$114,$BV$205^A35,IF(A35='Données projet'!$A$114,'Données projet'!$B$114,BY34+BX35-CG34)))</f>
        <v>86.304487179487197</v>
      </c>
      <c r="BZ35" s="13">
        <f>BY35*VLOOKUP('Données projet'!$B$12,Paramètres!$A$1:$I$89,3,0)*VLOOKUP('Données projet'!$B$12,Paramètres!$A$1:$I$89,5,0)</f>
        <v>78.088300000000004</v>
      </c>
      <c r="CA35" s="13">
        <f t="shared" si="39"/>
        <v>21.669107614619822</v>
      </c>
      <c r="CB35" s="20">
        <f t="shared" si="10"/>
        <v>173.74415159546285</v>
      </c>
      <c r="CC35" s="59">
        <f t="shared" si="11"/>
        <v>467.07748492879614</v>
      </c>
      <c r="CD35" s="59">
        <f ca="1">AVERAGE(OFFSET($CC$3,0,0,'Données projet'!$E$12+1,1))-AVERAGE(OFFSET($H$3,0,0,'Données projet'!$E$12+1,1))</f>
        <v>265.17389489035344</v>
      </c>
      <c r="CE35" s="59">
        <f t="shared" si="40"/>
        <v>101.57852403610769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14.319230769230776</v>
      </c>
      <c r="CT35" s="12">
        <f>IF('Données projet'!$A$140&gt;35,CT34+CS35-DB34,IF(A35&lt;'Données projet'!$A$140,$CQ$205^A35,IF(A35='Données projet'!$A$140,'Données projet'!$B$140,CT34+CS35-DB34)))</f>
        <v>205.30000000000004</v>
      </c>
      <c r="CU35" s="17">
        <f>CT35*VLOOKUP('Données projet'!$B$13,Paramètres!$A$1:$I$89,3,0)*VLOOKUP('Données projet'!$B$13,Paramètres!$A$1:$I$89,5,0)</f>
        <v>122.76940000000002</v>
      </c>
      <c r="CV35" s="13">
        <f t="shared" si="41"/>
        <v>32.320056157265896</v>
      </c>
      <c r="CW35" s="20">
        <f t="shared" si="13"/>
        <v>270.11413614057147</v>
      </c>
      <c r="CX35" s="59">
        <f t="shared" si="14"/>
        <v>563.44746947390479</v>
      </c>
      <c r="CY35" s="59">
        <f ca="1">AVERAGE(OFFSET($CX$3,0,0,'Données projet'!$E$13+1,1))-AVERAGE(OFFSET($H$3,0,0,'Données projet'!$E$13+1,1))</f>
        <v>182.34243693018033</v>
      </c>
      <c r="CZ35" s="59">
        <f t="shared" si="42"/>
        <v>182.65916563909786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11.222912577706463</v>
      </c>
      <c r="DG35" s="21">
        <f>EXP(-LN(2)/25)*DG34+(1-EXP(-LN(2)/25))/(LN(2)/25)*Calculateur!DB35*Calculateur!DD35*VLOOKUP('Données projet'!$B$13,Paramètres!$A$1:$I$89,3,0)*0.475*44/12</f>
        <v>16.542076158991097</v>
      </c>
      <c r="DH35" s="21">
        <f>EXP(-LN(2)/2)*DH34+(1-EXP(-LN(2)/2))/(LN(2)/2)*DB35*DE35*VLOOKUP('Données projet'!$B$13,Paramètres!$A$1:$I$89,3,0)*0.475*44/12</f>
        <v>2.2875727068318841</v>
      </c>
      <c r="DI35" s="22">
        <f t="shared" si="15"/>
        <v>30.052561443529445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5.4791666666666652</v>
      </c>
      <c r="DO35" s="12">
        <f>IF('Données projet'!$A$166&gt;35,DO34+DN35-DW34,IF(A35&lt;'Données projet'!$A$166,$DL$205^A35,IF(A35='Données projet'!$A$166,'Données projet'!$B$166,DO34+DN35-DW34)))</f>
        <v>86.304487179487197</v>
      </c>
      <c r="DP35" s="17">
        <f>DO35*VLOOKUP('Données projet'!$B$14,Paramètres!$A$1:$I$89,3,0)*VLOOKUP('Données projet'!$B$14,Paramètres!$A$1:$I$89,5,0)</f>
        <v>82.127350000000021</v>
      </c>
      <c r="DQ35" s="13">
        <f t="shared" si="43"/>
        <v>22.656535113210413</v>
      </c>
      <c r="DR35" s="20">
        <f t="shared" si="16"/>
        <v>182.49859990550817</v>
      </c>
      <c r="DS35" s="59">
        <f t="shared" si="17"/>
        <v>475.83193323884149</v>
      </c>
      <c r="DT35" s="59">
        <f ca="1">AVERAGE(OFFSET($DS$3,0,0,'Données projet'!$E$14+1,1))-AVERAGE(OFFSET($H$3,0,0,'Données projet'!$E$14+1,1))</f>
        <v>286.10360882057586</v>
      </c>
      <c r="DU35" s="59">
        <f t="shared" si="44"/>
        <v>109.24531387923128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348.87652705542462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262.42149466677068</v>
      </c>
      <c r="T36" s="59">
        <f t="shared" si="34"/>
        <v>232.7693253699756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18.055769230769229</v>
      </c>
      <c r="AI36" s="13">
        <f>IF('Données projet'!$A$62&gt;35,AI35+AH36-AQ35,IF(A36&lt;'Données projet'!$A$62,$AF$205^A36,IF(A36='Données projet'!$A$62,'Données projet'!$B$62,AI35+AH36-AQ35)))</f>
        <v>272.3250000000001</v>
      </c>
      <c r="AJ36" s="13">
        <f>AI36*VLOOKUP('Données projet'!$B$10,Paramètres!$A$1:$I$89,3,0)*VLOOKUP('Données projet'!$B$10,Paramètres!$A$1:$I$89,5,0)</f>
        <v>162.85035000000008</v>
      </c>
      <c r="AK36" s="13">
        <f t="shared" si="35"/>
        <v>41.484757610477807</v>
      </c>
      <c r="AL36" s="20">
        <f t="shared" si="4"/>
        <v>355.88364575491568</v>
      </c>
      <c r="AM36" s="59">
        <f t="shared" si="5"/>
        <v>649.21697908824899</v>
      </c>
      <c r="AN36" s="59">
        <f ca="1">AVERAGE(OFFSET($AM$3,0,0,'Données projet'!$E$10+1,1))-AVERAGE(OFFSET($H$3,0,0,'Données projet'!$E$10+1,1))</f>
        <v>249.37919739649828</v>
      </c>
      <c r="AO36" s="59">
        <f t="shared" si="36"/>
        <v>315.05045383693073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26.0280915219573</v>
      </c>
      <c r="AV36" s="21">
        <f>EXP(-LN(2)/25)*AV35+(1-EXP(-LN(2)/25))/(LN(2)/25)*Calculateur!AQ36*Calculateur!AS36*VLOOKUP('Données projet'!$B$10,Paramètres!$A$1:$I$89,3,0)*0.475*44/12</f>
        <v>18.844528458161726</v>
      </c>
      <c r="AW36" s="21">
        <f>EXP(-LN(2)/2)*AW35+(1-EXP(-LN(2)/2))/(LN(2)/2)*AQ36*AT36*VLOOKUP('Données projet'!$B$10,Paramètres!$A$1:$I$89,3,0)*0.475*44/12</f>
        <v>4.6381574346607808</v>
      </c>
      <c r="AX36" s="21">
        <f t="shared" si="6"/>
        <v>49.51077741477981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7.2</v>
      </c>
      <c r="BD36" s="12">
        <f>IF('Données projet'!$A$88&gt;35,BD35+BC36-BL35,IF(A36&lt;'Données projet'!$A$88,$BA$205^A36,IF(A36='Données projet'!$A$88,'Données projet'!$B$88,BD35+BC36-BL35)))</f>
        <v>120.60000000000001</v>
      </c>
      <c r="BE36" s="13">
        <f>BD36*VLOOKUP('Données projet'!$B$11,Paramètres!$A$1:$I$89,3,0)*VLOOKUP('Données projet'!$B$11,Paramètres!$A$1:$I$89,5,0)</f>
        <v>105.35616000000003</v>
      </c>
      <c r="BF36" s="13">
        <f t="shared" si="37"/>
        <v>28.234128165723941</v>
      </c>
      <c r="BG36" s="20">
        <f t="shared" si="7"/>
        <v>232.66975188863589</v>
      </c>
      <c r="BH36" s="59">
        <f t="shared" si="8"/>
        <v>526.00308522196917</v>
      </c>
      <c r="BI36" s="59">
        <f ca="1">AVERAGE(OFFSET($BH$3,0,0,'Données projet'!$E$11+1,1))-AVERAGE(OFFSET($H$3,0,0,'Données projet'!$E$11+1,1))</f>
        <v>186.80594222554424</v>
      </c>
      <c r="BJ36" s="59">
        <f t="shared" si="38"/>
        <v>179.02867751001872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5.4791666666666652</v>
      </c>
      <c r="BY36" s="12">
        <f>IF('Données projet'!$A$114&gt;35,BY35+BX36-CG35,IF(A36&lt;'Données projet'!$A$114,$BV$205^A36,IF(A36='Données projet'!$A$114,'Données projet'!$B$114,BY35+BX36-CG35)))</f>
        <v>91.783653846153868</v>
      </c>
      <c r="BZ36" s="13">
        <f>BY36*VLOOKUP('Données projet'!$B$12,Paramètres!$A$1:$I$89,3,0)*VLOOKUP('Données projet'!$B$12,Paramètres!$A$1:$I$89,5,0)</f>
        <v>83.045850000000016</v>
      </c>
      <c r="CA36" s="13">
        <f t="shared" si="39"/>
        <v>22.880283002768671</v>
      </c>
      <c r="CB36" s="20">
        <f t="shared" si="10"/>
        <v>184.48801497982217</v>
      </c>
      <c r="CC36" s="59">
        <f t="shared" si="11"/>
        <v>477.82134831315545</v>
      </c>
      <c r="CD36" s="59">
        <f ca="1">AVERAGE(OFFSET($CC$3,0,0,'Données projet'!$E$12+1,1))-AVERAGE(OFFSET($H$3,0,0,'Données projet'!$E$12+1,1))</f>
        <v>265.17389489035344</v>
      </c>
      <c r="CE36" s="59">
        <f t="shared" si="40"/>
        <v>101.57852403610769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14.319230769230776</v>
      </c>
      <c r="CT36" s="12">
        <f>IF('Données projet'!$A$140&gt;35,CT35+CS36-DB35,IF(A36&lt;'Données projet'!$A$140,$CQ$205^A36,IF(A36='Données projet'!$A$140,'Données projet'!$B$140,CT35+CS36-DB35)))</f>
        <v>219.61923076923082</v>
      </c>
      <c r="CU36" s="17">
        <f>CT36*VLOOKUP('Données projet'!$B$13,Paramètres!$A$1:$I$89,3,0)*VLOOKUP('Données projet'!$B$13,Paramètres!$A$1:$I$89,5,0)</f>
        <v>131.33230000000003</v>
      </c>
      <c r="CV36" s="13">
        <f t="shared" si="41"/>
        <v>34.304031818006806</v>
      </c>
      <c r="CW36" s="20">
        <f t="shared" si="13"/>
        <v>288.48327791636194</v>
      </c>
      <c r="CX36" s="59">
        <f t="shared" si="14"/>
        <v>581.81661124969526</v>
      </c>
      <c r="CY36" s="59">
        <f ca="1">AVERAGE(OFFSET($CX$3,0,0,'Données projet'!$E$13+1,1))-AVERAGE(OFFSET($H$3,0,0,'Données projet'!$E$13+1,1))</f>
        <v>182.34243693018033</v>
      </c>
      <c r="CZ36" s="59">
        <f t="shared" si="42"/>
        <v>182.65916563909786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11.002838107358395</v>
      </c>
      <c r="DG36" s="21">
        <f>EXP(-LN(2)/25)*DG35+(1-EXP(-LN(2)/25))/(LN(2)/25)*Calculateur!DB36*Calculateur!DD36*VLOOKUP('Données projet'!$B$13,Paramètres!$A$1:$I$89,3,0)*0.475*44/12</f>
        <v>16.089732216513507</v>
      </c>
      <c r="DH36" s="21">
        <f>EXP(-LN(2)/2)*DH35+(1-EXP(-LN(2)/2))/(LN(2)/2)*DB36*DE36*VLOOKUP('Données projet'!$B$13,Paramètres!$A$1:$I$89,3,0)*0.475*44/12</f>
        <v>1.6175581734580915</v>
      </c>
      <c r="DI36" s="22">
        <f t="shared" si="15"/>
        <v>28.710128497329997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5.4791666666666652</v>
      </c>
      <c r="DO36" s="12">
        <f>IF('Données projet'!$A$166&gt;35,DO35+DN36-DW35,IF(A36&lt;'Données projet'!$A$166,$DL$205^A36,IF(A36='Données projet'!$A$166,'Données projet'!$B$166,DO35+DN36-DW35)))</f>
        <v>91.783653846153868</v>
      </c>
      <c r="DP36" s="17">
        <f>DO36*VLOOKUP('Données projet'!$B$14,Paramètres!$A$1:$I$89,3,0)*VLOOKUP('Données projet'!$B$14,Paramètres!$A$1:$I$89,5,0)</f>
        <v>87.341325000000026</v>
      </c>
      <c r="DQ36" s="13">
        <f t="shared" si="43"/>
        <v>23.922901878186757</v>
      </c>
      <c r="DR36" s="20">
        <f t="shared" si="16"/>
        <v>193.78519514617528</v>
      </c>
      <c r="DS36" s="59">
        <f t="shared" si="17"/>
        <v>487.1185284795086</v>
      </c>
      <c r="DT36" s="59">
        <f ca="1">AVERAGE(OFFSET($DS$3,0,0,'Données projet'!$E$14+1,1))-AVERAGE(OFFSET($H$3,0,0,'Données projet'!$E$14+1,1))</f>
        <v>286.10360882057586</v>
      </c>
      <c r="DU36" s="59">
        <f t="shared" si="44"/>
        <v>109.24531387923128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350.51175390294725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262.42149466677068</v>
      </c>
      <c r="T37" s="59">
        <f t="shared" si="34"/>
        <v>232.7693253699756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18.055769230769229</v>
      </c>
      <c r="AI37" s="13">
        <f>IF('Données projet'!$A$62&gt;35,AI36+AH37-AQ36,IF(A37&lt;'Données projet'!$A$62,$AF$205^A37,IF(A37='Données projet'!$A$62,'Données projet'!$B$62,AI36+AH37-AQ36)))</f>
        <v>290.38076923076932</v>
      </c>
      <c r="AJ37" s="13">
        <f>AI37*VLOOKUP('Données projet'!$B$10,Paramètres!$A$1:$I$89,3,0)*VLOOKUP('Données projet'!$B$10,Paramètres!$A$1:$I$89,5,0)</f>
        <v>173.64770000000004</v>
      </c>
      <c r="AK37" s="13">
        <f t="shared" si="35"/>
        <v>43.905974872685142</v>
      </c>
      <c r="AL37" s="20">
        <f t="shared" si="4"/>
        <v>378.90598373659333</v>
      </c>
      <c r="AM37" s="59">
        <f t="shared" si="5"/>
        <v>672.23931706992664</v>
      </c>
      <c r="AN37" s="59">
        <f ca="1">AVERAGE(OFFSET($AM$3,0,0,'Données projet'!$E$10+1,1))-AVERAGE(OFFSET($H$3,0,0,'Données projet'!$E$10+1,1))</f>
        <v>249.37919739649828</v>
      </c>
      <c r="AO37" s="59">
        <f t="shared" si="36"/>
        <v>315.05045383693073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25.517696522779964</v>
      </c>
      <c r="AV37" s="21">
        <f>EXP(-LN(2)/25)*AV36+(1-EXP(-LN(2)/25))/(LN(2)/25)*Calculateur!AQ37*Calculateur!AS37*VLOOKUP('Données projet'!$B$10,Paramètres!$A$1:$I$89,3,0)*0.475*44/12</f>
        <v>18.329223836482612</v>
      </c>
      <c r="AW37" s="21">
        <f>EXP(-LN(2)/2)*AW36+(1-EXP(-LN(2)/2))/(LN(2)/2)*AQ37*AT37*VLOOKUP('Données projet'!$B$10,Paramètres!$A$1:$I$89,3,0)*0.475*44/12</f>
        <v>3.2796725742594397</v>
      </c>
      <c r="AX37" s="21">
        <f t="shared" si="6"/>
        <v>47.126592933522019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7.2</v>
      </c>
      <c r="BD37" s="12">
        <f>IF('Données projet'!$A$88&gt;35,BD36+BC37-BL36,IF(A37&lt;'Données projet'!$A$88,$BA$205^A37,IF(A37='Données projet'!$A$88,'Données projet'!$B$88,BD36+BC37-BL36)))</f>
        <v>127.80000000000001</v>
      </c>
      <c r="BE37" s="13">
        <f>BD37*VLOOKUP('Données projet'!$B$11,Paramètres!$A$1:$I$89,3,0)*VLOOKUP('Données projet'!$B$11,Paramètres!$A$1:$I$89,5,0)</f>
        <v>111.64608000000003</v>
      </c>
      <c r="BF37" s="13">
        <f t="shared" si="37"/>
        <v>29.718477955114288</v>
      </c>
      <c r="BG37" s="20">
        <f t="shared" si="7"/>
        <v>246.20993843849078</v>
      </c>
      <c r="BH37" s="59">
        <f t="shared" si="8"/>
        <v>539.54327177182404</v>
      </c>
      <c r="BI37" s="59">
        <f ca="1">AVERAGE(OFFSET($BH$3,0,0,'Données projet'!$E$11+1,1))-AVERAGE(OFFSET($H$3,0,0,'Données projet'!$E$11+1,1))</f>
        <v>186.80594222554424</v>
      </c>
      <c r="BJ37" s="59">
        <f t="shared" si="38"/>
        <v>179.02867751001872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5.4791666666666652</v>
      </c>
      <c r="BY37" s="12">
        <f>IF('Données projet'!$A$114&gt;35,BY36+BX37-CG36,IF(A37&lt;'Données projet'!$A$114,$BV$205^A37,IF(A37='Données projet'!$A$114,'Données projet'!$B$114,BY36+BX37-CG36)))</f>
        <v>97.262820512820539</v>
      </c>
      <c r="BZ37" s="13">
        <f>BY37*VLOOKUP('Données projet'!$B$12,Paramètres!$A$1:$I$89,3,0)*VLOOKUP('Données projet'!$B$12,Paramètres!$A$1:$I$89,5,0)</f>
        <v>88.003400000000013</v>
      </c>
      <c r="CA37" s="13">
        <f t="shared" si="39"/>
        <v>24.083066235714515</v>
      </c>
      <c r="CB37" s="20">
        <f t="shared" si="10"/>
        <v>195.21726202720279</v>
      </c>
      <c r="CC37" s="59">
        <f t="shared" si="11"/>
        <v>488.55059536053614</v>
      </c>
      <c r="CD37" s="59">
        <f ca="1">AVERAGE(OFFSET($CC$3,0,0,'Données projet'!$E$12+1,1))-AVERAGE(OFFSET($H$3,0,0,'Données projet'!$E$12+1,1))</f>
        <v>265.17389489035344</v>
      </c>
      <c r="CE37" s="59">
        <f t="shared" si="40"/>
        <v>101.57852403610769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14.319230769230776</v>
      </c>
      <c r="CT37" s="12">
        <f>IF('Données projet'!$A$140&gt;35,CT36+CS37-DB36,IF(A37&lt;'Données projet'!$A$140,$CQ$205^A37,IF(A37='Données projet'!$A$140,'Données projet'!$B$140,CT36+CS37-DB36)))</f>
        <v>233.93846153846161</v>
      </c>
      <c r="CU37" s="17">
        <f>CT37*VLOOKUP('Données projet'!$B$13,Paramètres!$A$1:$I$89,3,0)*VLOOKUP('Données projet'!$B$13,Paramètres!$A$1:$I$89,5,0)</f>
        <v>139.89520000000007</v>
      </c>
      <c r="CV37" s="13">
        <f t="shared" si="41"/>
        <v>36.272996240404318</v>
      </c>
      <c r="CW37" s="20">
        <f t="shared" si="13"/>
        <v>306.82627511870436</v>
      </c>
      <c r="CX37" s="59">
        <f t="shared" si="14"/>
        <v>600.15960845203767</v>
      </c>
      <c r="CY37" s="59">
        <f ca="1">AVERAGE(OFFSET($CX$3,0,0,'Données projet'!$E$13+1,1))-AVERAGE(OFFSET($H$3,0,0,'Données projet'!$E$13+1,1))</f>
        <v>182.34243693018033</v>
      </c>
      <c r="CZ37" s="59">
        <f t="shared" si="42"/>
        <v>182.65916563909786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10.787079163141678</v>
      </c>
      <c r="DG37" s="21">
        <f>EXP(-LN(2)/25)*DG36+(1-EXP(-LN(2)/25))/(LN(2)/25)*Calculateur!DB37*Calculateur!DD37*VLOOKUP('Données projet'!$B$13,Paramètres!$A$1:$I$89,3,0)*0.475*44/12</f>
        <v>15.649757642930702</v>
      </c>
      <c r="DH37" s="21">
        <f>EXP(-LN(2)/2)*DH36+(1-EXP(-LN(2)/2))/(LN(2)/2)*DB37*DE37*VLOOKUP('Données projet'!$B$13,Paramètres!$A$1:$I$89,3,0)*0.475*44/12</f>
        <v>1.1437863534159423</v>
      </c>
      <c r="DI37" s="22">
        <f t="shared" si="15"/>
        <v>27.580623159488319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5.4791666666666652</v>
      </c>
      <c r="DO37" s="12">
        <f>IF('Données projet'!$A$166&gt;35,DO36+DN37-DW36,IF(A37&lt;'Données projet'!$A$166,$DL$205^A37,IF(A37='Données projet'!$A$166,'Données projet'!$B$166,DO36+DN37-DW36)))</f>
        <v>97.262820512820539</v>
      </c>
      <c r="DP37" s="17">
        <f>DO37*VLOOKUP('Données projet'!$B$14,Paramètres!$A$1:$I$89,3,0)*VLOOKUP('Données projet'!$B$14,Paramètres!$A$1:$I$89,5,0)</f>
        <v>92.555300000000031</v>
      </c>
      <c r="DQ37" s="13">
        <f t="shared" si="43"/>
        <v>25.1804940705128</v>
      </c>
      <c r="DR37" s="20">
        <f t="shared" si="16"/>
        <v>205.05650800614319</v>
      </c>
      <c r="DS37" s="59">
        <f t="shared" si="17"/>
        <v>498.3898413394765</v>
      </c>
      <c r="DT37" s="59">
        <f ca="1">AVERAGE(OFFSET($DS$3,0,0,'Données projet'!$E$14+1,1))-AVERAGE(OFFSET($H$3,0,0,'Données projet'!$E$14+1,1))</f>
        <v>286.10360882057586</v>
      </c>
      <c r="DU37" s="59">
        <f t="shared" si="44"/>
        <v>109.24531387923128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352.14575622651876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262.42149466677068</v>
      </c>
      <c r="T38" s="59">
        <f t="shared" si="34"/>
        <v>232.7693253699756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18.055769230769229</v>
      </c>
      <c r="AI38" s="13">
        <f>IF('Données projet'!$A$62&gt;35,AI37+AH38-AQ37,IF(A38&lt;'Données projet'!$A$62,$AF$205^A38,IF(A38='Données projet'!$A$62,'Données projet'!$B$62,AI37+AH38-AQ37)))</f>
        <v>308.43653846153853</v>
      </c>
      <c r="AJ38" s="13">
        <f>AI38*VLOOKUP('Données projet'!$B$10,Paramètres!$A$1:$I$89,3,0)*VLOOKUP('Données projet'!$B$10,Paramètres!$A$1:$I$89,5,0)</f>
        <v>184.44505000000007</v>
      </c>
      <c r="AK38" s="13">
        <f t="shared" si="35"/>
        <v>46.309719450497106</v>
      </c>
      <c r="AL38" s="20">
        <f t="shared" si="4"/>
        <v>401.89789012628256</v>
      </c>
      <c r="AM38" s="59">
        <f t="shared" si="5"/>
        <v>695.23122345961588</v>
      </c>
      <c r="AN38" s="59">
        <f ca="1">AVERAGE(OFFSET($AM$3,0,0,'Données projet'!$E$10+1,1))-AVERAGE(OFFSET($H$3,0,0,'Données projet'!$E$10+1,1))</f>
        <v>249.37919739649828</v>
      </c>
      <c r="AO38" s="59">
        <f t="shared" si="36"/>
        <v>315.05045383693073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25.017310058226286</v>
      </c>
      <c r="AV38" s="21">
        <f>EXP(-LN(2)/25)*AV37+(1-EXP(-LN(2)/25))/(LN(2)/25)*Calculateur!AQ38*Calculateur!AS38*VLOOKUP('Données projet'!$B$10,Paramètres!$A$1:$I$89,3,0)*0.475*44/12</f>
        <v>17.828010246782004</v>
      </c>
      <c r="AW38" s="21">
        <f>EXP(-LN(2)/2)*AW37+(1-EXP(-LN(2)/2))/(LN(2)/2)*AQ38*AT38*VLOOKUP('Données projet'!$B$10,Paramètres!$A$1:$I$89,3,0)*0.475*44/12</f>
        <v>2.3190787173303908</v>
      </c>
      <c r="AX38" s="21">
        <f t="shared" si="6"/>
        <v>45.164399022338678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135</v>
      </c>
      <c r="BB38" s="12">
        <f>VLOOKUP(A38,'Données projet'!$A$87:$I$107,9,0)</f>
        <v>7.2</v>
      </c>
      <c r="BC38" s="12">
        <f t="array" ref="BC38">INDEX(BB:BB,MIN(IF(ISNUMBER(BB38:BB234),ROW(BB38:BB234),"")))</f>
        <v>7.2</v>
      </c>
      <c r="BD38" s="12">
        <f>IF('Données projet'!$A$88&gt;35,BD37+BC38-BL37,IF(A38&lt;'Données projet'!$A$88,$BA$205^A38,IF(A38='Données projet'!$A$88,'Données projet'!$B$88,BD37+BC38-BL37)))</f>
        <v>135</v>
      </c>
      <c r="BE38" s="13">
        <f>BD38*VLOOKUP('Données projet'!$B$11,Paramètres!$A$1:$I$89,3,0)*VLOOKUP('Données projet'!$B$11,Paramètres!$A$1:$I$89,5,0)</f>
        <v>117.93600000000002</v>
      </c>
      <c r="BF38" s="13">
        <f t="shared" si="37"/>
        <v>31.1931201812605</v>
      </c>
      <c r="BG38" s="20">
        <f t="shared" si="7"/>
        <v>259.73321764902875</v>
      </c>
      <c r="BH38" s="59">
        <f t="shared" si="8"/>
        <v>553.06655098236206</v>
      </c>
      <c r="BI38" s="59">
        <f ca="1">AVERAGE(OFFSET($BH$3,0,0,'Données projet'!$E$11+1,1))-AVERAGE(OFFSET($H$3,0,0,'Données projet'!$E$11+1,1))</f>
        <v>186.80594222554424</v>
      </c>
      <c r="BJ38" s="59">
        <f t="shared" si="38"/>
        <v>179.02867751001872</v>
      </c>
      <c r="BK38" s="15">
        <f>IF(ISNA(VLOOKUP(A38,'Données projet'!$A$87:$I$107,3,0)),0,VLOOKUP(A38,'Données projet'!$A$87:$I$107,3,0))</f>
        <v>4</v>
      </c>
      <c r="BL38" s="15" t="str">
        <f>IF(ISNA(VLOOKUP(A38,'Données projet'!$A$87:$I$107,4,0)),0,VLOOKUP(A38,'Données projet'!$A$87:$I$107,4,0))</f>
        <v>20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5.4791666666666652</v>
      </c>
      <c r="BY38" s="12">
        <f>IF('Données projet'!$A$114&gt;35,BY37+BX38-CG37,IF(A38&lt;'Données projet'!$A$114,$BV$205^A38,IF(A38='Données projet'!$A$114,'Données projet'!$B$114,BY37+BX38-CG37)))</f>
        <v>102.74198717948721</v>
      </c>
      <c r="BZ38" s="13">
        <f>BY38*VLOOKUP('Données projet'!$B$12,Paramètres!$A$1:$I$89,3,0)*VLOOKUP('Données projet'!$B$12,Paramètres!$A$1:$I$89,5,0)</f>
        <v>92.960950000000025</v>
      </c>
      <c r="CA38" s="13">
        <f t="shared" si="39"/>
        <v>25.277983948995907</v>
      </c>
      <c r="CB38" s="20">
        <f t="shared" si="10"/>
        <v>205.93280996116789</v>
      </c>
      <c r="CC38" s="59">
        <f t="shared" si="11"/>
        <v>499.26614329450121</v>
      </c>
      <c r="CD38" s="59">
        <f ca="1">AVERAGE(OFFSET($CC$3,0,0,'Données projet'!$E$12+1,1))-AVERAGE(OFFSET($H$3,0,0,'Données projet'!$E$12+1,1))</f>
        <v>265.17389489035344</v>
      </c>
      <c r="CE38" s="59">
        <f t="shared" si="40"/>
        <v>101.57852403610769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14.319230769230776</v>
      </c>
      <c r="CT38" s="12">
        <f>IF('Données projet'!$A$140&gt;35,CT37+CS38-DB37,IF(A38&lt;'Données projet'!$A$140,$CQ$205^A38,IF(A38='Données projet'!$A$140,'Données projet'!$B$140,CT37+CS38-DB37)))</f>
        <v>248.25769230769239</v>
      </c>
      <c r="CU38" s="17">
        <f>CT38*VLOOKUP('Données projet'!$B$13,Paramètres!$A$1:$I$89,3,0)*VLOOKUP('Données projet'!$B$13,Paramètres!$A$1:$I$89,5,0)</f>
        <v>148.45810000000006</v>
      </c>
      <c r="CV38" s="13">
        <f t="shared" si="41"/>
        <v>38.227972875965627</v>
      </c>
      <c r="CW38" s="20">
        <f t="shared" si="13"/>
        <v>325.1449102589736</v>
      </c>
      <c r="CX38" s="59">
        <f t="shared" si="14"/>
        <v>618.47824359230685</v>
      </c>
      <c r="CY38" s="59">
        <f ca="1">AVERAGE(OFFSET($CX$3,0,0,'Données projet'!$E$13+1,1))-AVERAGE(OFFSET($H$3,0,0,'Données projet'!$E$13+1,1))</f>
        <v>182.34243693018033</v>
      </c>
      <c r="CZ38" s="59">
        <f t="shared" si="42"/>
        <v>182.65916563909786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10.575551120221091</v>
      </c>
      <c r="DG38" s="21">
        <f>EXP(-LN(2)/25)*DG37+(1-EXP(-LN(2)/25))/(LN(2)/25)*Calculateur!DB38*Calculateur!DD38*VLOOKUP('Données projet'!$B$13,Paramètres!$A$1:$I$89,3,0)*0.475*44/12</f>
        <v>15.221814197199775</v>
      </c>
      <c r="DH38" s="21">
        <f>EXP(-LN(2)/2)*DH37+(1-EXP(-LN(2)/2))/(LN(2)/2)*DB38*DE38*VLOOKUP('Données projet'!$B$13,Paramètres!$A$1:$I$89,3,0)*0.475*44/12</f>
        <v>0.80877908672904586</v>
      </c>
      <c r="DI38" s="22">
        <f t="shared" si="15"/>
        <v>26.606144404149912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5.4791666666666652</v>
      </c>
      <c r="DO38" s="12">
        <f>IF('Données projet'!$A$166&gt;35,DO37+DN38-DW37,IF(A38&lt;'Données projet'!$A$166,$DL$205^A38,IF(A38='Données projet'!$A$166,'Données projet'!$B$166,DO37+DN38-DW37)))</f>
        <v>102.74198717948721</v>
      </c>
      <c r="DP38" s="17">
        <f>DO38*VLOOKUP('Données projet'!$B$14,Paramètres!$A$1:$I$89,3,0)*VLOOKUP('Données projet'!$B$14,Paramètres!$A$1:$I$89,5,0)</f>
        <v>97.769275000000022</v>
      </c>
      <c r="DQ38" s="13">
        <f t="shared" si="43"/>
        <v>26.429862323688635</v>
      </c>
      <c r="DR38" s="20">
        <f t="shared" si="16"/>
        <v>216.31349750542441</v>
      </c>
      <c r="DS38" s="59">
        <f t="shared" si="17"/>
        <v>509.64683083875775</v>
      </c>
      <c r="DT38" s="59">
        <f ca="1">AVERAGE(OFFSET($DS$3,0,0,'Données projet'!$E$14+1,1))-AVERAGE(OFFSET($H$3,0,0,'Données projet'!$E$14+1,1))</f>
        <v>286.10360882057586</v>
      </c>
      <c r="DU38" s="59">
        <f t="shared" si="44"/>
        <v>109.24531387923128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353.77857303083135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262.42149466677068</v>
      </c>
      <c r="T39" s="59">
        <f t="shared" si="34"/>
        <v>232.7693253699756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18.055769230769229</v>
      </c>
      <c r="AI39" s="13">
        <f>IF('Données projet'!$A$62&gt;35,AI38+AH39-AQ38,IF(A39&lt;'Données projet'!$A$62,$AF$205^A39,IF(A39='Données projet'!$A$62,'Données projet'!$B$62,AI38+AH39-AQ38)))</f>
        <v>326.49230769230775</v>
      </c>
      <c r="AJ39" s="13">
        <f>AI39*VLOOKUP('Données projet'!$B$10,Paramètres!$A$1:$I$89,3,0)*VLOOKUP('Données projet'!$B$10,Paramètres!$A$1:$I$89,5,0)</f>
        <v>195.24240000000006</v>
      </c>
      <c r="AK39" s="13">
        <f t="shared" si="35"/>
        <v>48.697130705157392</v>
      </c>
      <c r="AL39" s="20">
        <f t="shared" si="4"/>
        <v>424.86134931148257</v>
      </c>
      <c r="AM39" s="59">
        <f t="shared" si="5"/>
        <v>718.19468264481588</v>
      </c>
      <c r="AN39" s="59">
        <f ca="1">AVERAGE(OFFSET($AM$3,0,0,'Données projet'!$E$10+1,1))-AVERAGE(OFFSET($H$3,0,0,'Données projet'!$E$10+1,1))</f>
        <v>249.37919739649828</v>
      </c>
      <c r="AO39" s="59">
        <f t="shared" si="36"/>
        <v>315.05045383693073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24.526735867036898</v>
      </c>
      <c r="AV39" s="21">
        <f>EXP(-LN(2)/25)*AV38+(1-EXP(-LN(2)/25))/(LN(2)/25)*Calculateur!AQ39*Calculateur!AS39*VLOOKUP('Données projet'!$B$10,Paramètres!$A$1:$I$89,3,0)*0.475*44/12</f>
        <v>17.340502369049439</v>
      </c>
      <c r="AW39" s="21">
        <f>EXP(-LN(2)/2)*AW38+(1-EXP(-LN(2)/2))/(LN(2)/2)*AQ39*AT39*VLOOKUP('Données projet'!$B$10,Paramètres!$A$1:$I$89,3,0)*0.475*44/12</f>
        <v>1.6398362871297201</v>
      </c>
      <c r="AX39" s="21">
        <f t="shared" si="6"/>
        <v>43.507074523216055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</v>
      </c>
      <c r="BD39" s="12">
        <f>IF('Données projet'!$A$88&gt;35,BD38+BC39-BL38,IF(A39&lt;'Données projet'!$A$88,$BA$205^A39,IF(A39='Données projet'!$A$88,'Données projet'!$B$88,BD38+BC39-BL38)))</f>
        <v>122</v>
      </c>
      <c r="BE39" s="13">
        <f>BD39*VLOOKUP('Données projet'!$B$11,Paramètres!$A$1:$I$89,3,0)*VLOOKUP('Données projet'!$B$11,Paramètres!$A$1:$I$89,5,0)</f>
        <v>106.57920000000001</v>
      </c>
      <c r="BF39" s="13">
        <f t="shared" si="37"/>
        <v>28.523541515222938</v>
      </c>
      <c r="BG39" s="20">
        <f t="shared" si="7"/>
        <v>235.30394147234665</v>
      </c>
      <c r="BH39" s="59">
        <f t="shared" si="8"/>
        <v>528.63727480567991</v>
      </c>
      <c r="BI39" s="59">
        <f ca="1">AVERAGE(OFFSET($BH$3,0,0,'Données projet'!$E$11+1,1))-AVERAGE(OFFSET($H$3,0,0,'Données projet'!$E$11+1,1))</f>
        <v>186.80594222554424</v>
      </c>
      <c r="BJ39" s="59">
        <f t="shared" si="38"/>
        <v>179.02867751001872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5.4791666666666652</v>
      </c>
      <c r="BY39" s="12">
        <f>IF('Données projet'!$A$114&gt;35,BY38+BX39-CG38,IF(A39&lt;'Données projet'!$A$114,$BV$205^A39,IF(A39='Données projet'!$A$114,'Données projet'!$B$114,BY38+BX39-CG38)))</f>
        <v>108.22115384615388</v>
      </c>
      <c r="BZ39" s="13">
        <f>BY39*VLOOKUP('Données projet'!$B$12,Paramètres!$A$1:$I$89,3,0)*VLOOKUP('Données projet'!$B$12,Paramètres!$A$1:$I$89,5,0)</f>
        <v>97.918500000000037</v>
      </c>
      <c r="CA39" s="13">
        <f t="shared" si="39"/>
        <v>26.465503435437213</v>
      </c>
      <c r="CB39" s="20">
        <f t="shared" si="10"/>
        <v>216.6354726500532</v>
      </c>
      <c r="CC39" s="59">
        <f t="shared" si="11"/>
        <v>509.96880598338652</v>
      </c>
      <c r="CD39" s="59">
        <f ca="1">AVERAGE(OFFSET($CC$3,0,0,'Données projet'!$E$12+1,1))-AVERAGE(OFFSET($H$3,0,0,'Données projet'!$E$12+1,1))</f>
        <v>265.17389489035344</v>
      </c>
      <c r="CE39" s="59">
        <f t="shared" si="40"/>
        <v>101.57852403610769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262.57692307692309</v>
      </c>
      <c r="CR39" s="12">
        <f>VLOOKUP(A39,'Données projet'!$A$139:$I$159,9,0)</f>
        <v>14.319230769230776</v>
      </c>
      <c r="CS39" s="12">
        <f t="array" ref="CS39">INDEX(CR:CR,MIN(IF(ISNUMBER(CR39:CR235),ROW(CR39:CR235),"")))</f>
        <v>14.319230769230776</v>
      </c>
      <c r="CT39" s="12">
        <f>IF('Données projet'!$A$140&gt;35,CT38+CS39-DB38,IF(A39&lt;'Données projet'!$A$140,$CQ$205^A39,IF(A39='Données projet'!$A$140,'Données projet'!$B$140,CT38+CS39-DB38)))</f>
        <v>262.57692307692315</v>
      </c>
      <c r="CU39" s="17">
        <f>CT39*VLOOKUP('Données projet'!$B$13,Paramètres!$A$1:$I$89,3,0)*VLOOKUP('Données projet'!$B$13,Paramètres!$A$1:$I$89,5,0)</f>
        <v>157.02100000000007</v>
      </c>
      <c r="CV39" s="13">
        <f t="shared" si="41"/>
        <v>40.169860444278903</v>
      </c>
      <c r="CW39" s="20">
        <f t="shared" si="13"/>
        <v>343.44074860711925</v>
      </c>
      <c r="CX39" s="59">
        <f t="shared" si="14"/>
        <v>636.77408194045256</v>
      </c>
      <c r="CY39" s="59">
        <f ca="1">AVERAGE(OFFSET($CX$3,0,0,'Données projet'!$E$13+1,1))-AVERAGE(OFFSET($H$3,0,0,'Données projet'!$E$13+1,1))</f>
        <v>182.34243693018033</v>
      </c>
      <c r="CZ39" s="59">
        <f t="shared" si="42"/>
        <v>182.65916563909786</v>
      </c>
      <c r="DA39" s="15">
        <f>IF(ISNA(VLOOKUP(A39,'Données projet'!$A$139:$I$159,3,0)),0,VLOOKUP(A39,'Données projet'!$A$139:$I$159,3,0))</f>
        <v>4</v>
      </c>
      <c r="DB39" s="15">
        <f>IF(ISNA(VLOOKUP(A39,'Données projet'!$A$139:$I$159,4,0)),0,VLOOKUP(A39,'Données projet'!$A$139:$I$159,4,0))</f>
        <v>64.553846153846152</v>
      </c>
      <c r="DC39" s="16">
        <f>IF(ISNA(VLOOKUP(A39,'Données projet'!$A$139:$I$159,5,0)),0%,VLOOKUP(A39,'Données projet'!$A$139:$I$159,5,0)*VLOOKUP('Données projet'!$B$13,Paramètres!$A$1:$I$89,7,0))</f>
        <v>0.315</v>
      </c>
      <c r="DD39" s="16">
        <f>IF(ISNA(VLOOKUP(A39,'Données projet'!$A$139:$I$159,6,0)),0%,VLOOKUP(A39,'Données projet'!$A$139:$I$159,6,0)*VLOOKUP('Données projet'!$B$13,Paramètres!$A$1:$I$89,7,0))</f>
        <v>7.5600000000000001E-2</v>
      </c>
      <c r="DE39" s="16">
        <f>IF(ISNA(VLOOKUP(A39,'Données projet'!$A$139:$I$159,7,0)),0%,VLOOKUP(A39,'Données projet'!$A$139:$I$159,7,0))</f>
        <v>0.13200000000000001</v>
      </c>
      <c r="DF39" s="21">
        <f>EXP(-LN(2)/35)*DF38+(1-EXP(-LN(2)/35))/(LN(2)/35)*DB39*DC39*VLOOKUP('Données projet'!$B$13,Paramètres!$A$1:$I$89,3,0)*0.475*44/12</f>
        <v>26.499205403863257</v>
      </c>
      <c r="DG39" s="21">
        <f>EXP(-LN(2)/25)*DG38+(1-EXP(-LN(2)/25))/(LN(2)/25)*Calculateur!DB39*Calculateur!DD39*VLOOKUP('Données projet'!$B$13,Paramètres!$A$1:$I$89,3,0)*0.475*44/12</f>
        <v>18.661777774342958</v>
      </c>
      <c r="DH39" s="21">
        <f>EXP(-LN(2)/2)*DH38+(1-EXP(-LN(2)/2))/(LN(2)/2)*DB39*DE39*VLOOKUP('Données projet'!$B$13,Paramètres!$A$1:$I$89,3,0)*0.475*44/12</f>
        <v>6.3413214339872948</v>
      </c>
      <c r="DI39" s="22">
        <f t="shared" si="15"/>
        <v>51.502304612193512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5.4791666666666652</v>
      </c>
      <c r="DO39" s="12">
        <f>IF('Données projet'!$A$166&gt;35,DO38+DN39-DW38,IF(A39&lt;'Données projet'!$A$166,$DL$205^A39,IF(A39='Données projet'!$A$166,'Données projet'!$B$166,DO38+DN39-DW38)))</f>
        <v>108.22115384615388</v>
      </c>
      <c r="DP39" s="17">
        <f>DO39*VLOOKUP('Données projet'!$B$14,Paramètres!$A$1:$I$89,3,0)*VLOOKUP('Données projet'!$B$14,Paramètres!$A$1:$I$89,5,0)</f>
        <v>102.98325000000004</v>
      </c>
      <c r="DQ39" s="13">
        <f t="shared" si="43"/>
        <v>27.671495224345172</v>
      </c>
      <c r="DR39" s="20">
        <f t="shared" si="16"/>
        <v>227.55701459906791</v>
      </c>
      <c r="DS39" s="59">
        <f t="shared" si="17"/>
        <v>520.89034793240126</v>
      </c>
      <c r="DT39" s="59">
        <f ca="1">AVERAGE(OFFSET($DS$3,0,0,'Données projet'!$E$14+1,1))-AVERAGE(OFFSET($H$3,0,0,'Données projet'!$E$14+1,1))</f>
        <v>286.10360882057586</v>
      </c>
      <c r="DU39" s="59">
        <f t="shared" si="44"/>
        <v>109.24531387923128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355.41024103034721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262.42149466677068</v>
      </c>
      <c r="T40" s="59">
        <f t="shared" si="34"/>
        <v>232.7693253699756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18.055769230769229</v>
      </c>
      <c r="AI40" s="13">
        <f>IF('Données projet'!$A$62&gt;35,AI39+AH40-AQ39,IF(A40&lt;'Données projet'!$A$62,$AF$205^A40,IF(A40='Données projet'!$A$62,'Données projet'!$B$62,AI39+AH40-AQ39)))</f>
        <v>344.54807692307696</v>
      </c>
      <c r="AJ40" s="13">
        <f>AI40*VLOOKUP('Données projet'!$B$10,Paramètres!$A$1:$I$89,3,0)*VLOOKUP('Données projet'!$B$10,Paramètres!$A$1:$I$89,5,0)</f>
        <v>206.03975000000003</v>
      </c>
      <c r="AK40" s="13">
        <f t="shared" si="35"/>
        <v>51.069214862008621</v>
      </c>
      <c r="AL40" s="20">
        <f t="shared" si="4"/>
        <v>447.79811380133168</v>
      </c>
      <c r="AM40" s="59">
        <f t="shared" si="5"/>
        <v>741.131447134665</v>
      </c>
      <c r="AN40" s="59">
        <f ca="1">AVERAGE(OFFSET($AM$3,0,0,'Données projet'!$E$10+1,1))-AVERAGE(OFFSET($H$3,0,0,'Données projet'!$E$10+1,1))</f>
        <v>249.37919739649828</v>
      </c>
      <c r="AO40" s="59">
        <f t="shared" si="36"/>
        <v>315.05045383693073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24.045781536516021</v>
      </c>
      <c r="AV40" s="21">
        <f>EXP(-LN(2)/25)*AV39+(1-EXP(-LN(2)/25))/(LN(2)/25)*Calculateur!AQ40*Calculateur!AS40*VLOOKUP('Données projet'!$B$10,Paramètres!$A$1:$I$89,3,0)*0.475*44/12</f>
        <v>16.866325419870396</v>
      </c>
      <c r="AW40" s="21">
        <f>EXP(-LN(2)/2)*AW39+(1-EXP(-LN(2)/2))/(LN(2)/2)*AQ40*AT40*VLOOKUP('Données projet'!$B$10,Paramètres!$A$1:$I$89,3,0)*0.475*44/12</f>
        <v>1.1595393586651956</v>
      </c>
      <c r="AX40" s="21">
        <f t="shared" si="6"/>
        <v>42.071646315051609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</v>
      </c>
      <c r="BD40" s="12">
        <f>IF('Données projet'!$A$88&gt;35,BD39+BC40-BL39,IF(A40&lt;'Données projet'!$A$88,$BA$205^A40,IF(A40='Données projet'!$A$88,'Données projet'!$B$88,BD39+BC40-BL39)))</f>
        <v>129</v>
      </c>
      <c r="BE40" s="13">
        <f>BD40*VLOOKUP('Données projet'!$B$11,Paramètres!$A$1:$I$89,3,0)*VLOOKUP('Données projet'!$B$11,Paramètres!$A$1:$I$89,5,0)</f>
        <v>112.69440000000002</v>
      </c>
      <c r="BF40" s="13">
        <f t="shared" si="37"/>
        <v>29.964909381330632</v>
      </c>
      <c r="BG40" s="20">
        <f t="shared" si="7"/>
        <v>248.46496383915087</v>
      </c>
      <c r="BH40" s="59">
        <f t="shared" si="8"/>
        <v>541.79829717248413</v>
      </c>
      <c r="BI40" s="59">
        <f ca="1">AVERAGE(OFFSET($BH$3,0,0,'Données projet'!$E$11+1,1))-AVERAGE(OFFSET($H$3,0,0,'Données projet'!$E$11+1,1))</f>
        <v>186.80594222554424</v>
      </c>
      <c r="BJ40" s="59">
        <f t="shared" si="38"/>
        <v>179.02867751001872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5.4791666666666652</v>
      </c>
      <c r="BY40" s="12">
        <f>IF('Données projet'!$A$114&gt;35,BY39+BX40-CG39,IF(A40&lt;'Données projet'!$A$114,$BV$205^A40,IF(A40='Données projet'!$A$114,'Données projet'!$B$114,BY39+BX40-CG39)))</f>
        <v>113.70032051282055</v>
      </c>
      <c r="BZ40" s="13">
        <f>BY40*VLOOKUP('Données projet'!$B$12,Paramètres!$A$1:$I$89,3,0)*VLOOKUP('Données projet'!$B$12,Paramètres!$A$1:$I$89,5,0)</f>
        <v>102.87605000000002</v>
      </c>
      <c r="CA40" s="13">
        <f t="shared" si="39"/>
        <v>27.646041997606424</v>
      </c>
      <c r="CB40" s="20">
        <f t="shared" si="10"/>
        <v>227.32597689583122</v>
      </c>
      <c r="CC40" s="59">
        <f t="shared" si="11"/>
        <v>520.65931022916448</v>
      </c>
      <c r="CD40" s="59">
        <f ca="1">AVERAGE(OFFSET($CC$3,0,0,'Données projet'!$E$12+1,1))-AVERAGE(OFFSET($H$3,0,0,'Données projet'!$E$12+1,1))</f>
        <v>265.17389489035344</v>
      </c>
      <c r="CE40" s="59">
        <f t="shared" si="40"/>
        <v>101.57852403610769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13.14134615384615</v>
      </c>
      <c r="CT40" s="12">
        <f>IF('Données projet'!$A$140&gt;35,CT39+CS40-DB39,IF(A40&lt;'Données projet'!$A$140,$CQ$205^A40,IF(A40='Données projet'!$A$140,'Données projet'!$B$140,CT39+CS40-DB39)))</f>
        <v>211.16442307692313</v>
      </c>
      <c r="CU40" s="17">
        <f>CT40*VLOOKUP('Données projet'!$B$13,Paramètres!$A$1:$I$89,3,0)*VLOOKUP('Données projet'!$B$13,Paramètres!$A$1:$I$89,5,0)</f>
        <v>126.27632500000004</v>
      </c>
      <c r="CV40" s="13">
        <f t="shared" si="41"/>
        <v>33.134477451871625</v>
      </c>
      <c r="CW40" s="20">
        <f t="shared" si="13"/>
        <v>277.64048093700984</v>
      </c>
      <c r="CX40" s="59">
        <f t="shared" si="14"/>
        <v>570.97381427034315</v>
      </c>
      <c r="CY40" s="59">
        <f ca="1">AVERAGE(OFFSET($CX$3,0,0,'Données projet'!$E$13+1,1))-AVERAGE(OFFSET($H$3,0,0,'Données projet'!$E$13+1,1))</f>
        <v>182.34243693018033</v>
      </c>
      <c r="CZ40" s="59">
        <f t="shared" si="42"/>
        <v>182.65916563909786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25.979572148812839</v>
      </c>
      <c r="DG40" s="21">
        <f>EXP(-LN(2)/25)*DG39+(1-EXP(-LN(2)/25))/(LN(2)/25)*Calculateur!DB40*Calculateur!DD40*VLOOKUP('Données projet'!$B$13,Paramètres!$A$1:$I$89,3,0)*0.475*44/12</f>
        <v>18.151470479723308</v>
      </c>
      <c r="DH40" s="21">
        <f>EXP(-LN(2)/2)*DH39+(1-EXP(-LN(2)/2))/(LN(2)/2)*DB40*DE40*VLOOKUP('Données projet'!$B$13,Paramètres!$A$1:$I$89,3,0)*0.475*44/12</f>
        <v>4.483991387656018</v>
      </c>
      <c r="DI40" s="22">
        <f t="shared" si="15"/>
        <v>48.615034016192169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5.4791666666666652</v>
      </c>
      <c r="DO40" s="12">
        <f>IF('Données projet'!$A$166&gt;35,DO39+DN40-DW39,IF(A40&lt;'Données projet'!$A$166,$DL$205^A40,IF(A40='Données projet'!$A$166,'Données projet'!$B$166,DO39+DN40-DW39)))</f>
        <v>113.70032051282055</v>
      </c>
      <c r="DP40" s="17">
        <f>DO40*VLOOKUP('Données projet'!$B$14,Paramètres!$A$1:$I$89,3,0)*VLOOKUP('Données projet'!$B$14,Paramètres!$A$1:$I$89,5,0)</f>
        <v>108.19722500000005</v>
      </c>
      <c r="DQ40" s="13">
        <f t="shared" si="43"/>
        <v>28.905829090878765</v>
      </c>
      <c r="DR40" s="20">
        <f t="shared" si="16"/>
        <v>238.78781920828058</v>
      </c>
      <c r="DS40" s="59">
        <f t="shared" si="17"/>
        <v>532.12115254161392</v>
      </c>
      <c r="DT40" s="59">
        <f ca="1">AVERAGE(OFFSET($DS$3,0,0,'Données projet'!$E$14+1,1))-AVERAGE(OFFSET($H$3,0,0,'Données projet'!$E$14+1,1))</f>
        <v>286.10360882057586</v>
      </c>
      <c r="DU40" s="59">
        <f t="shared" si="44"/>
        <v>109.24531387923128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357.04079484198991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262.42149466677068</v>
      </c>
      <c r="T41" s="59">
        <f t="shared" si="34"/>
        <v>232.7693253699756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18.055769230769229</v>
      </c>
      <c r="AI41" s="13">
        <f>IF('Données projet'!$A$62&gt;35,AI40+AH41-AQ40,IF(A41&lt;'Données projet'!$A$62,$AF$205^A41,IF(A41='Données projet'!$A$62,'Données projet'!$B$62,AI40+AH41-AQ40)))</f>
        <v>362.60384615384618</v>
      </c>
      <c r="AJ41" s="13">
        <f>AI41*VLOOKUP('Données projet'!$B$10,Paramètres!$A$1:$I$89,3,0)*VLOOKUP('Données projet'!$B$10,Paramètres!$A$1:$I$89,5,0)</f>
        <v>216.83710000000005</v>
      </c>
      <c r="AK41" s="13">
        <f t="shared" si="35"/>
        <v>53.426866729052094</v>
      </c>
      <c r="AL41" s="20">
        <f t="shared" si="4"/>
        <v>470.70974205309909</v>
      </c>
      <c r="AM41" s="59">
        <f t="shared" si="5"/>
        <v>764.04307538643241</v>
      </c>
      <c r="AN41" s="59">
        <f ca="1">AVERAGE(OFFSET($AM$3,0,0,'Données projet'!$E$10+1,1))-AVERAGE(OFFSET($H$3,0,0,'Données projet'!$E$10+1,1))</f>
        <v>249.37919739649828</v>
      </c>
      <c r="AO41" s="59">
        <f t="shared" si="36"/>
        <v>315.05045383693073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23.574258427063484</v>
      </c>
      <c r="AV41" s="21">
        <f>EXP(-LN(2)/25)*AV40+(1-EXP(-LN(2)/25))/(LN(2)/25)*Calculateur!AQ41*Calculateur!AS41*VLOOKUP('Données projet'!$B$10,Paramètres!$A$1:$I$89,3,0)*0.475*44/12</f>
        <v>16.405114864302536</v>
      </c>
      <c r="AW41" s="21">
        <f>EXP(-LN(2)/2)*AW40+(1-EXP(-LN(2)/2))/(LN(2)/2)*AQ41*AT41*VLOOKUP('Données projet'!$B$10,Paramètres!$A$1:$I$89,3,0)*0.475*44/12</f>
        <v>0.81991814356486015</v>
      </c>
      <c r="AX41" s="21">
        <f t="shared" si="6"/>
        <v>40.799291434930879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</v>
      </c>
      <c r="BD41" s="12">
        <f>IF('Données projet'!$A$88&gt;35,BD40+BC41-BL40,IF(A41&lt;'Données projet'!$A$88,$BA$205^A41,IF(A41='Données projet'!$A$88,'Données projet'!$B$88,BD40+BC41-BL40)))</f>
        <v>136</v>
      </c>
      <c r="BE41" s="13">
        <f>BD41*VLOOKUP('Données projet'!$B$11,Paramètres!$A$1:$I$89,3,0)*VLOOKUP('Données projet'!$B$11,Paramètres!$A$1:$I$89,5,0)</f>
        <v>118.80960000000002</v>
      </c>
      <c r="BF41" s="13">
        <f t="shared" si="37"/>
        <v>31.39719715333722</v>
      </c>
      <c r="BG41" s="20">
        <f t="shared" si="7"/>
        <v>261.61017170872901</v>
      </c>
      <c r="BH41" s="59">
        <f t="shared" si="8"/>
        <v>554.94350504206227</v>
      </c>
      <c r="BI41" s="59">
        <f ca="1">AVERAGE(OFFSET($BH$3,0,0,'Données projet'!$E$11+1,1))-AVERAGE(OFFSET($H$3,0,0,'Données projet'!$E$11+1,1))</f>
        <v>186.80594222554424</v>
      </c>
      <c r="BJ41" s="59">
        <f t="shared" si="38"/>
        <v>179.02867751001872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5.4791666666666652</v>
      </c>
      <c r="BY41" s="12">
        <f>IF('Données projet'!$A$114&gt;35,BY40+BX41-CG40,IF(A41&lt;'Données projet'!$A$114,$BV$205^A41,IF(A41='Données projet'!$A$114,'Données projet'!$B$114,BY40+BX41-CG40)))</f>
        <v>119.17948717948723</v>
      </c>
      <c r="BZ41" s="13">
        <f>BY41*VLOOKUP('Données projet'!$B$12,Paramètres!$A$1:$I$89,3,0)*VLOOKUP('Données projet'!$B$12,Paramètres!$A$1:$I$89,5,0)</f>
        <v>107.83360000000003</v>
      </c>
      <c r="CA41" s="13">
        <f t="shared" si="39"/>
        <v>28.819974446397296</v>
      </c>
      <c r="CB41" s="20">
        <f t="shared" si="10"/>
        <v>238.00497549414197</v>
      </c>
      <c r="CC41" s="59">
        <f t="shared" si="11"/>
        <v>531.33830882747532</v>
      </c>
      <c r="CD41" s="59">
        <f ca="1">AVERAGE(OFFSET($CC$3,0,0,'Données projet'!$E$12+1,1))-AVERAGE(OFFSET($H$3,0,0,'Données projet'!$E$12+1,1))</f>
        <v>265.17389489035344</v>
      </c>
      <c r="CE41" s="59">
        <f t="shared" si="40"/>
        <v>101.57852403610769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13.14134615384615</v>
      </c>
      <c r="CT41" s="12">
        <f>IF('Données projet'!$A$140&gt;35,CT40+CS41-DB40,IF(A41&lt;'Données projet'!$A$140,$CQ$205^A41,IF(A41='Données projet'!$A$140,'Données projet'!$B$140,CT40+CS41-DB40)))</f>
        <v>224.30576923076927</v>
      </c>
      <c r="CU41" s="17">
        <f>CT41*VLOOKUP('Données projet'!$B$13,Paramètres!$A$1:$I$89,3,0)*VLOOKUP('Données projet'!$B$13,Paramètres!$A$1:$I$89,5,0)</f>
        <v>134.13485000000003</v>
      </c>
      <c r="CV41" s="13">
        <f t="shared" si="41"/>
        <v>34.950053695803156</v>
      </c>
      <c r="CW41" s="20">
        <f t="shared" si="13"/>
        <v>294.48954060352389</v>
      </c>
      <c r="CX41" s="59">
        <f t="shared" si="14"/>
        <v>587.82287393685715</v>
      </c>
      <c r="CY41" s="59">
        <f ca="1">AVERAGE(OFFSET($CX$3,0,0,'Données projet'!$E$13+1,1))-AVERAGE(OFFSET($H$3,0,0,'Données projet'!$E$13+1,1))</f>
        <v>182.34243693018033</v>
      </c>
      <c r="CZ41" s="59">
        <f t="shared" si="42"/>
        <v>182.65916563909786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25.47012858494897</v>
      </c>
      <c r="DG41" s="21">
        <f>EXP(-LN(2)/25)*DG40+(1-EXP(-LN(2)/25))/(LN(2)/25)*Calculateur!DB41*Calculateur!DD41*VLOOKUP('Données projet'!$B$13,Paramètres!$A$1:$I$89,3,0)*0.475*44/12</f>
        <v>17.655117564910928</v>
      </c>
      <c r="DH41" s="21">
        <f>EXP(-LN(2)/2)*DH40+(1-EXP(-LN(2)/2))/(LN(2)/2)*DB41*DE41*VLOOKUP('Données projet'!$B$13,Paramètres!$A$1:$I$89,3,0)*0.475*44/12</f>
        <v>3.1706607169936478</v>
      </c>
      <c r="DI41" s="22">
        <f t="shared" si="15"/>
        <v>46.295906866853542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5.4791666666666652</v>
      </c>
      <c r="DO41" s="12">
        <f>IF('Données projet'!$A$166&gt;35,DO40+DN41-DW40,IF(A41&lt;'Données projet'!$A$166,$DL$205^A41,IF(A41='Données projet'!$A$166,'Données projet'!$B$166,DO40+DN41-DW40)))</f>
        <v>119.17948717948723</v>
      </c>
      <c r="DP41" s="17">
        <f>DO41*VLOOKUP('Données projet'!$B$14,Paramètres!$A$1:$I$89,3,0)*VLOOKUP('Données projet'!$B$14,Paramètres!$A$1:$I$89,5,0)</f>
        <v>113.41120000000005</v>
      </c>
      <c r="DQ41" s="13">
        <f t="shared" si="43"/>
        <v>30.133255813731974</v>
      </c>
      <c r="DR41" s="20">
        <f t="shared" si="16"/>
        <v>250.00659387558323</v>
      </c>
      <c r="DS41" s="59">
        <f t="shared" si="17"/>
        <v>543.33992720891661</v>
      </c>
      <c r="DT41" s="59">
        <f ca="1">AVERAGE(OFFSET($DS$3,0,0,'Données projet'!$E$14+1,1))-AVERAGE(OFFSET($H$3,0,0,'Données projet'!$E$14+1,1))</f>
        <v>286.10360882057586</v>
      </c>
      <c r="DU41" s="59">
        <f t="shared" si="44"/>
        <v>109.24531387923128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358.67026715698137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262.42149466677068</v>
      </c>
      <c r="T42" s="59">
        <f t="shared" si="34"/>
        <v>232.7693253699756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18.055769230769229</v>
      </c>
      <c r="AI42" s="13">
        <f>IF('Données projet'!$A$62&gt;35,AI41+AH42-AQ41,IF(A42&lt;'Données projet'!$A$62,$AF$205^A42,IF(A42='Données projet'!$A$62,'Données projet'!$B$62,AI41+AH42-AQ41)))</f>
        <v>380.65961538461539</v>
      </c>
      <c r="AJ42" s="13">
        <f>AI42*VLOOKUP('Données projet'!$B$10,Paramètres!$A$1:$I$89,3,0)*VLOOKUP('Données projet'!$B$10,Paramètres!$A$1:$I$89,5,0)</f>
        <v>227.63445000000002</v>
      </c>
      <c r="AK42" s="13">
        <f t="shared" si="35"/>
        <v>55.770886966725193</v>
      </c>
      <c r="AL42" s="20">
        <f t="shared" si="4"/>
        <v>493.59762855037974</v>
      </c>
      <c r="AM42" s="59">
        <f t="shared" si="5"/>
        <v>786.93096188371305</v>
      </c>
      <c r="AN42" s="59">
        <f ca="1">AVERAGE(OFFSET($AM$3,0,0,'Données projet'!$E$10+1,1))-AVERAGE(OFFSET($H$3,0,0,'Données projet'!$E$10+1,1))</f>
        <v>249.37919739649828</v>
      </c>
      <c r="AO42" s="59">
        <f t="shared" si="36"/>
        <v>315.05045383693073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23.111981598186613</v>
      </c>
      <c r="AV42" s="21">
        <f>EXP(-LN(2)/25)*AV41+(1-EXP(-LN(2)/25))/(LN(2)/25)*Calculateur!AQ42*Calculateur!AS42*VLOOKUP('Données projet'!$B$10,Paramètres!$A$1:$I$89,3,0)*0.475*44/12</f>
        <v>15.956516135630688</v>
      </c>
      <c r="AW42" s="21">
        <f>EXP(-LN(2)/2)*AW41+(1-EXP(-LN(2)/2))/(LN(2)/2)*AQ42*AT42*VLOOKUP('Données projet'!$B$10,Paramètres!$A$1:$I$89,3,0)*0.475*44/12</f>
        <v>0.57976967933259782</v>
      </c>
      <c r="AX42" s="21">
        <f t="shared" si="6"/>
        <v>39.648267413149902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</v>
      </c>
      <c r="BD42" s="12">
        <f>IF('Données projet'!$A$88&gt;35,BD41+BC42-BL41,IF(A42&lt;'Données projet'!$A$88,$BA$205^A42,IF(A42='Données projet'!$A$88,'Données projet'!$B$88,BD41+BC42-BL41)))</f>
        <v>143</v>
      </c>
      <c r="BE42" s="13">
        <f>BD42*VLOOKUP('Données projet'!$B$11,Paramètres!$A$1:$I$89,3,0)*VLOOKUP('Données projet'!$B$11,Paramètres!$A$1:$I$89,5,0)</f>
        <v>124.92480000000002</v>
      </c>
      <c r="BF42" s="13">
        <f t="shared" si="37"/>
        <v>32.820925500842712</v>
      </c>
      <c r="BG42" s="20">
        <f t="shared" si="7"/>
        <v>274.74047191396772</v>
      </c>
      <c r="BH42" s="59">
        <f t="shared" si="8"/>
        <v>568.07380524730104</v>
      </c>
      <c r="BI42" s="59">
        <f ca="1">AVERAGE(OFFSET($BH$3,0,0,'Données projet'!$E$11+1,1))-AVERAGE(OFFSET($H$3,0,0,'Données projet'!$E$11+1,1))</f>
        <v>186.80594222554424</v>
      </c>
      <c r="BJ42" s="59">
        <f t="shared" si="38"/>
        <v>179.02867751001872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5.4791666666666652</v>
      </c>
      <c r="BY42" s="12">
        <f>IF('Données projet'!$A$114&gt;35,BY41+BX42-CG41,IF(A42&lt;'Données projet'!$A$114,$BV$205^A42,IF(A42='Données projet'!$A$114,'Données projet'!$B$114,BY41+BX42-CG41)))</f>
        <v>124.6586538461539</v>
      </c>
      <c r="BZ42" s="13">
        <f>BY42*VLOOKUP('Données projet'!$B$12,Paramètres!$A$1:$I$89,3,0)*VLOOKUP('Données projet'!$B$12,Paramètres!$A$1:$I$89,5,0)</f>
        <v>112.79115000000004</v>
      </c>
      <c r="CA42" s="13">
        <f t="shared" si="39"/>
        <v>29.987639181649424</v>
      </c>
      <c r="CB42" s="20">
        <f t="shared" si="10"/>
        <v>248.67305782470615</v>
      </c>
      <c r="CC42" s="59">
        <f t="shared" si="11"/>
        <v>542.00639115803949</v>
      </c>
      <c r="CD42" s="59">
        <f ca="1">AVERAGE(OFFSET($CC$3,0,0,'Données projet'!$E$12+1,1))-AVERAGE(OFFSET($H$3,0,0,'Données projet'!$E$12+1,1))</f>
        <v>265.17389489035344</v>
      </c>
      <c r="CE42" s="59">
        <f t="shared" si="40"/>
        <v>101.57852403610769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13.14134615384615</v>
      </c>
      <c r="CT42" s="12">
        <f>IF('Données projet'!$A$140&gt;35,CT41+CS42-DB41,IF(A42&lt;'Données projet'!$A$140,$CQ$205^A42,IF(A42='Données projet'!$A$140,'Données projet'!$B$140,CT41+CS42-DB41)))</f>
        <v>237.44711538461542</v>
      </c>
      <c r="CU42" s="17">
        <f>CT42*VLOOKUP('Données projet'!$B$13,Paramètres!$A$1:$I$89,3,0)*VLOOKUP('Données projet'!$B$13,Paramètres!$A$1:$I$89,5,0)</f>
        <v>141.99337500000004</v>
      </c>
      <c r="CV42" s="13">
        <f t="shared" si="41"/>
        <v>36.753283288028761</v>
      </c>
      <c r="CW42" s="20">
        <f t="shared" si="13"/>
        <v>311.31709651831682</v>
      </c>
      <c r="CX42" s="59">
        <f t="shared" si="14"/>
        <v>604.65042985165019</v>
      </c>
      <c r="CY42" s="59">
        <f ca="1">AVERAGE(OFFSET($CX$3,0,0,'Données projet'!$E$13+1,1))-AVERAGE(OFFSET($H$3,0,0,'Données projet'!$E$13+1,1))</f>
        <v>182.34243693018033</v>
      </c>
      <c r="CZ42" s="59">
        <f t="shared" si="42"/>
        <v>182.65916563909786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24.970674898642578</v>
      </c>
      <c r="DG42" s="21">
        <f>EXP(-LN(2)/25)*DG41+(1-EXP(-LN(2)/25))/(LN(2)/25)*Calculateur!DB42*Calculateur!DD42*VLOOKUP('Données projet'!$B$13,Paramètres!$A$1:$I$89,3,0)*0.475*44/12</f>
        <v>17.172337446656158</v>
      </c>
      <c r="DH42" s="21">
        <f>EXP(-LN(2)/2)*DH41+(1-EXP(-LN(2)/2))/(LN(2)/2)*DB42*DE42*VLOOKUP('Données projet'!$B$13,Paramètres!$A$1:$I$89,3,0)*0.475*44/12</f>
        <v>2.2419956938280095</v>
      </c>
      <c r="DI42" s="22">
        <f t="shared" si="15"/>
        <v>44.385008039126745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5.4791666666666652</v>
      </c>
      <c r="DO42" s="12">
        <f>IF('Données projet'!$A$166&gt;35,DO41+DN42-DW41,IF(A42&lt;'Données projet'!$A$166,$DL$205^A42,IF(A42='Données projet'!$A$166,'Données projet'!$B$166,DO41+DN42-DW41)))</f>
        <v>124.6586538461539</v>
      </c>
      <c r="DP42" s="17">
        <f>DO42*VLOOKUP('Données projet'!$B$14,Paramètres!$A$1:$I$89,3,0)*VLOOKUP('Données projet'!$B$14,Paramètres!$A$1:$I$89,5,0)</f>
        <v>118.62517500000006</v>
      </c>
      <c r="DQ42" s="13">
        <f t="shared" si="43"/>
        <v>31.354129213098407</v>
      </c>
      <c r="DR42" s="20">
        <f t="shared" si="16"/>
        <v>261.21395483781316</v>
      </c>
      <c r="DS42" s="59">
        <f t="shared" si="17"/>
        <v>554.54728817114642</v>
      </c>
      <c r="DT42" s="59">
        <f ca="1">AVERAGE(OFFSET($DS$3,0,0,'Données projet'!$E$14+1,1))-AVERAGE(OFFSET($H$3,0,0,'Données projet'!$E$14+1,1))</f>
        <v>286.10360882057586</v>
      </c>
      <c r="DU42" s="59">
        <f t="shared" si="44"/>
        <v>109.24531387923128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360.29868889455889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262.42149466677068</v>
      </c>
      <c r="T43" s="59">
        <f t="shared" si="34"/>
        <v>232.7693253699756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398.71538461538461</v>
      </c>
      <c r="AG43" s="12">
        <f>VLOOKUP(A43,'Données projet'!$A$61:$I$81,9,0)</f>
        <v>18.055769230769229</v>
      </c>
      <c r="AH43" s="12">
        <f t="array" ref="AH43">INDEX(AG:AG,MIN(IF(ISNUMBER(AG43:AG239),ROW(AG43:AG239),"")))</f>
        <v>18.055769230769229</v>
      </c>
      <c r="AI43" s="13">
        <f>IF('Données projet'!$A$62&gt;35,AI42+AH43-AQ42,IF(A43&lt;'Données projet'!$A$62,$AF$205^A43,IF(A43='Données projet'!$A$62,'Données projet'!$B$62,AI42+AH43-AQ42)))</f>
        <v>398.71538461538461</v>
      </c>
      <c r="AJ43" s="13">
        <f>AI43*VLOOKUP('Données projet'!$B$10,Paramètres!$A$1:$I$89,3,0)*VLOOKUP('Données projet'!$B$10,Paramètres!$A$1:$I$89,5,0)</f>
        <v>238.43180000000001</v>
      </c>
      <c r="AK43" s="13">
        <f t="shared" si="35"/>
        <v>58.101995988242535</v>
      </c>
      <c r="AL43" s="20">
        <f t="shared" si="4"/>
        <v>516.46302801285583</v>
      </c>
      <c r="AM43" s="59">
        <f t="shared" si="5"/>
        <v>809.79636134618909</v>
      </c>
      <c r="AN43" s="59">
        <f ca="1">AVERAGE(OFFSET($AM$3,0,0,'Données projet'!$E$10+1,1))-AVERAGE(OFFSET($H$3,0,0,'Données projet'!$E$10+1,1))</f>
        <v>249.37919739649828</v>
      </c>
      <c r="AO43" s="59">
        <f t="shared" si="36"/>
        <v>315.05045383693073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92.661538461538456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45.813493314358581</v>
      </c>
      <c r="AV43" s="21">
        <f>EXP(-LN(2)/25)*AV42+(1-EXP(-LN(2)/25))/(LN(2)/25)*Calculateur!AQ43*Calculateur!AS43*VLOOKUP('Données projet'!$B$10,Paramètres!$A$1:$I$89,3,0)*0.475*44/12</f>
        <v>21.055437468951411</v>
      </c>
      <c r="AW43" s="21">
        <f>EXP(-LN(2)/2)*AW42+(1-EXP(-LN(2)/2))/(LN(2)/2)*AQ43*AT43*VLOOKUP('Données projet'!$B$10,Paramètres!$A$1:$I$89,3,0)*0.475*44/12</f>
        <v>8.6914810912279421</v>
      </c>
      <c r="AX43" s="21">
        <f t="shared" si="6"/>
        <v>75.560411874537934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150</v>
      </c>
      <c r="BB43" s="12">
        <f>VLOOKUP(A43,'Données projet'!$A$87:$I$107,9,0)</f>
        <v>7</v>
      </c>
      <c r="BC43" s="12">
        <f t="array" ref="BC43">INDEX(BB:BB,MIN(IF(ISNUMBER(BB43:BB239),ROW(BB43:BB239),"")))</f>
        <v>7</v>
      </c>
      <c r="BD43" s="12">
        <f>IF('Données projet'!$A$88&gt;35,BD42+BC43-BL42,IF(A43&lt;'Données projet'!$A$88,$BA$205^A43,IF(A43='Données projet'!$A$88,'Données projet'!$B$88,BD42+BC43-BL42)))</f>
        <v>150</v>
      </c>
      <c r="BE43" s="13">
        <f>BD43*VLOOKUP('Données projet'!$B$11,Paramètres!$A$1:$I$89,3,0)*VLOOKUP('Données projet'!$B$11,Paramètres!$A$1:$I$89,5,0)</f>
        <v>131.04000000000002</v>
      </c>
      <c r="BF43" s="13">
        <f t="shared" si="37"/>
        <v>34.236561238949918</v>
      </c>
      <c r="BG43" s="20">
        <f t="shared" si="7"/>
        <v>287.85667749117118</v>
      </c>
      <c r="BH43" s="59">
        <f t="shared" si="8"/>
        <v>581.1900108245045</v>
      </c>
      <c r="BI43" s="59">
        <f ca="1">AVERAGE(OFFSET($BH$3,0,0,'Données projet'!$E$11+1,1))-AVERAGE(OFFSET($H$3,0,0,'Données projet'!$E$11+1,1))</f>
        <v>186.80594222554424</v>
      </c>
      <c r="BJ43" s="59">
        <f t="shared" si="38"/>
        <v>179.02867751001872</v>
      </c>
      <c r="BK43" s="15">
        <f>IF(ISNA(VLOOKUP(A43,'Données projet'!$A$87:$I$107,3,0)),0,VLOOKUP(A43,'Données projet'!$A$87:$I$107,3,0))</f>
        <v>5</v>
      </c>
      <c r="BL43" s="15" t="str">
        <f>IF(ISNA(VLOOKUP(A43,'Données projet'!$A$87:$I$107,4,0)),0,VLOOKUP(A43,'Données projet'!$A$87:$I$107,4,0))</f>
        <v>20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0.215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4.1363266982029687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4.1363266982029687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5.4791666666666652</v>
      </c>
      <c r="BY43" s="12">
        <f>IF('Données projet'!$A$114&gt;35,BY42+BX43-CG42,IF(A43&lt;'Données projet'!$A$114,$BV$205^A43,IF(A43='Données projet'!$A$114,'Données projet'!$B$114,BY42+BX43-CG42)))</f>
        <v>130.13782051282055</v>
      </c>
      <c r="BZ43" s="13">
        <f>BY43*VLOOKUP('Données projet'!$B$12,Paramètres!$A$1:$I$89,3,0)*VLOOKUP('Données projet'!$B$12,Paramètres!$A$1:$I$89,5,0)</f>
        <v>117.74870000000004</v>
      </c>
      <c r="CA43" s="13">
        <f t="shared" si="39"/>
        <v>31.149343173536209</v>
      </c>
      <c r="CB43" s="20">
        <f t="shared" si="10"/>
        <v>259.33075852724227</v>
      </c>
      <c r="CC43" s="59">
        <f t="shared" si="11"/>
        <v>552.66409186057558</v>
      </c>
      <c r="CD43" s="59">
        <f ca="1">AVERAGE(OFFSET($CC$3,0,0,'Données projet'!$E$12+1,1))-AVERAGE(OFFSET($H$3,0,0,'Données projet'!$E$12+1,1))</f>
        <v>265.17389489035344</v>
      </c>
      <c r="CE43" s="59">
        <f t="shared" si="40"/>
        <v>101.57852403610769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13.14134615384615</v>
      </c>
      <c r="CT43" s="12">
        <f>IF('Données projet'!$A$140&gt;35,CT42+CS43-DB42,IF(A43&lt;'Données projet'!$A$140,$CQ$205^A43,IF(A43='Données projet'!$A$140,'Données projet'!$B$140,CT42+CS43-DB42)))</f>
        <v>250.58846153846156</v>
      </c>
      <c r="CU43" s="17">
        <f>CT43*VLOOKUP('Données projet'!$B$13,Paramètres!$A$1:$I$89,3,0)*VLOOKUP('Données projet'!$B$13,Paramètres!$A$1:$I$89,5,0)</f>
        <v>149.85190000000003</v>
      </c>
      <c r="CV43" s="13">
        <f t="shared" si="41"/>
        <v>38.544927429723309</v>
      </c>
      <c r="CW43" s="20">
        <f t="shared" si="13"/>
        <v>328.12447444010149</v>
      </c>
      <c r="CX43" s="59">
        <f t="shared" si="14"/>
        <v>621.45780777343475</v>
      </c>
      <c r="CY43" s="59">
        <f ca="1">AVERAGE(OFFSET($CX$3,0,0,'Données projet'!$E$13+1,1))-AVERAGE(OFFSET($H$3,0,0,'Données projet'!$E$13+1,1))</f>
        <v>182.34243693018033</v>
      </c>
      <c r="CZ43" s="59">
        <f t="shared" si="42"/>
        <v>182.65916563909786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24.481015194487988</v>
      </c>
      <c r="DG43" s="21">
        <f>EXP(-LN(2)/25)*DG42+(1-EXP(-LN(2)/25))/(LN(2)/25)*Calculateur!DB43*Calculateur!DD43*VLOOKUP('Données projet'!$B$13,Paramètres!$A$1:$I$89,3,0)*0.475*44/12</f>
        <v>16.702758976123366</v>
      </c>
      <c r="DH43" s="21">
        <f>EXP(-LN(2)/2)*DH42+(1-EXP(-LN(2)/2))/(LN(2)/2)*DB43*DE43*VLOOKUP('Données projet'!$B$13,Paramètres!$A$1:$I$89,3,0)*0.475*44/12</f>
        <v>1.5853303584968241</v>
      </c>
      <c r="DI43" s="22">
        <f t="shared" si="15"/>
        <v>42.769104529108183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5.4791666666666652</v>
      </c>
      <c r="DO43" s="12">
        <f>IF('Données projet'!$A$166&gt;35,DO42+DN43-DW42,IF(A43&lt;'Données projet'!$A$166,$DL$205^A43,IF(A43='Données projet'!$A$166,'Données projet'!$B$166,DO42+DN43-DW42)))</f>
        <v>130.13782051282055</v>
      </c>
      <c r="DP43" s="17">
        <f>DO43*VLOOKUP('Données projet'!$B$14,Paramètres!$A$1:$I$89,3,0)*VLOOKUP('Données projet'!$B$14,Paramètres!$A$1:$I$89,5,0)</f>
        <v>123.83915000000005</v>
      </c>
      <c r="DQ43" s="13">
        <f t="shared" si="43"/>
        <v>32.568770247304222</v>
      </c>
      <c r="DR43" s="20">
        <f t="shared" si="16"/>
        <v>272.41046109738824</v>
      </c>
      <c r="DS43" s="59">
        <f t="shared" si="17"/>
        <v>565.74379443072155</v>
      </c>
      <c r="DT43" s="59">
        <f ca="1">AVERAGE(OFFSET($DS$3,0,0,'Données projet'!$E$14+1,1))-AVERAGE(OFFSET($H$3,0,0,'Données projet'!$E$14+1,1))</f>
        <v>286.10360882057586</v>
      </c>
      <c r="DU43" s="59">
        <f t="shared" si="44"/>
        <v>109.24531387923128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361.92608933988788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262.42149466677068</v>
      </c>
      <c r="T44" s="59">
        <f t="shared" si="34"/>
        <v>232.7693253699756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15.21153846153846</v>
      </c>
      <c r="AI44" s="13">
        <f>IF('Données projet'!$A$62&gt;35,AI43+AH44-AQ43,IF(A44&lt;'Données projet'!$A$62,$AF$205^A44,IF(A44='Données projet'!$A$62,'Données projet'!$B$62,AI43+AH44-AQ43)))</f>
        <v>321.26538461538462</v>
      </c>
      <c r="AJ44" s="13">
        <f>AI44*VLOOKUP('Données projet'!$B$10,Paramètres!$A$1:$I$89,3,0)*VLOOKUP('Données projet'!$B$10,Paramètres!$A$1:$I$89,5,0)</f>
        <v>192.11670000000004</v>
      </c>
      <c r="AK44" s="13">
        <f t="shared" si="35"/>
        <v>48.007622995174927</v>
      </c>
      <c r="AL44" s="20">
        <f t="shared" si="4"/>
        <v>418.21652921659637</v>
      </c>
      <c r="AM44" s="59">
        <f t="shared" si="5"/>
        <v>711.54986254992968</v>
      </c>
      <c r="AN44" s="59">
        <f ca="1">AVERAGE(OFFSET($AM$3,0,0,'Données projet'!$E$10+1,1))-AVERAGE(OFFSET($H$3,0,0,'Données projet'!$E$10+1,1))</f>
        <v>249.37919739649828</v>
      </c>
      <c r="AO44" s="59">
        <f t="shared" si="36"/>
        <v>315.05045383693073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44.915118653935743</v>
      </c>
      <c r="AV44" s="21">
        <f>EXP(-LN(2)/25)*AV43+(1-EXP(-LN(2)/25))/(LN(2)/25)*Calculateur!AQ44*Calculateur!AS44*VLOOKUP('Données projet'!$B$10,Paramètres!$A$1:$I$89,3,0)*0.475*44/12</f>
        <v>20.479675424105601</v>
      </c>
      <c r="AW44" s="21">
        <f>EXP(-LN(2)/2)*AW43+(1-EXP(-LN(2)/2))/(LN(2)/2)*AQ44*AT44*VLOOKUP('Données projet'!$B$10,Paramètres!$A$1:$I$89,3,0)*0.475*44/12</f>
        <v>6.1458052181619323</v>
      </c>
      <c r="AX44" s="21">
        <f t="shared" si="6"/>
        <v>71.540599296203283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6.4</v>
      </c>
      <c r="BD44" s="12">
        <f>IF('Données projet'!$A$88&gt;35,BD43+BC44-BL43,IF(A44&lt;'Données projet'!$A$88,$BA$205^A44,IF(A44='Données projet'!$A$88,'Données projet'!$B$88,BD43+BC44-BL43)))</f>
        <v>136.4</v>
      </c>
      <c r="BE44" s="13">
        <f>BD44*VLOOKUP('Données projet'!$B$11,Paramètres!$A$1:$I$89,3,0)*VLOOKUP('Données projet'!$B$11,Paramètres!$A$1:$I$89,5,0)</f>
        <v>119.15904000000003</v>
      </c>
      <c r="BF44" s="13">
        <f t="shared" si="37"/>
        <v>31.478778976043767</v>
      </c>
      <c r="BG44" s="20">
        <f t="shared" si="7"/>
        <v>262.36086804994295</v>
      </c>
      <c r="BH44" s="59">
        <f t="shared" si="8"/>
        <v>555.69420138327632</v>
      </c>
      <c r="BI44" s="59">
        <f ca="1">AVERAGE(OFFSET($BH$3,0,0,'Données projet'!$E$11+1,1))-AVERAGE(OFFSET($H$3,0,0,'Données projet'!$E$11+1,1))</f>
        <v>186.80594222554424</v>
      </c>
      <c r="BJ44" s="59">
        <f t="shared" si="38"/>
        <v>179.02867751001872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4.0232186271206416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4.0232186271206416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5.4791666666666652</v>
      </c>
      <c r="BY44" s="12">
        <f>IF('Données projet'!$A$114&gt;35,BY43+BX44-CG43,IF(A44&lt;'Données projet'!$A$114,$BV$205^A44,IF(A44='Données projet'!$A$114,'Données projet'!$B$114,BY43+BX44-CG43)))</f>
        <v>135.61698717948721</v>
      </c>
      <c r="BZ44" s="13">
        <f>BY44*VLOOKUP('Données projet'!$B$12,Paramètres!$A$1:$I$89,3,0)*VLOOKUP('Données projet'!$B$12,Paramètres!$A$1:$I$89,5,0)</f>
        <v>122.70625000000004</v>
      </c>
      <c r="CA44" s="13">
        <f t="shared" si="39"/>
        <v>32.305366081384335</v>
      </c>
      <c r="CB44" s="20">
        <f t="shared" si="10"/>
        <v>269.97856467507779</v>
      </c>
      <c r="CC44" s="59">
        <f t="shared" si="11"/>
        <v>563.31189800841116</v>
      </c>
      <c r="CD44" s="59">
        <f ca="1">AVERAGE(OFFSET($CC$3,0,0,'Données projet'!$E$12+1,1))-AVERAGE(OFFSET($H$3,0,0,'Données projet'!$E$12+1,1))</f>
        <v>265.17389489035344</v>
      </c>
      <c r="CE44" s="59">
        <f t="shared" si="40"/>
        <v>101.57852403610769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13.14134615384615</v>
      </c>
      <c r="CT44" s="12">
        <f>IF('Données projet'!$A$140&gt;35,CT43+CS44-DB43,IF(A44&lt;'Données projet'!$A$140,$CQ$205^A44,IF(A44='Données projet'!$A$140,'Données projet'!$B$140,CT43+CS44-DB43)))</f>
        <v>263.7298076923077</v>
      </c>
      <c r="CU44" s="17">
        <f>CT44*VLOOKUP('Données projet'!$B$13,Paramètres!$A$1:$I$89,3,0)*VLOOKUP('Données projet'!$B$13,Paramètres!$A$1:$I$89,5,0)</f>
        <v>157.71042500000001</v>
      </c>
      <c r="CV44" s="13">
        <f t="shared" si="41"/>
        <v>40.325662975074472</v>
      </c>
      <c r="CW44" s="20">
        <f t="shared" si="13"/>
        <v>344.91285322325467</v>
      </c>
      <c r="CX44" s="59">
        <f t="shared" si="14"/>
        <v>638.24618655658799</v>
      </c>
      <c r="CY44" s="59">
        <f ca="1">AVERAGE(OFFSET($CX$3,0,0,'Données projet'!$E$13+1,1))-AVERAGE(OFFSET($H$3,0,0,'Données projet'!$E$13+1,1))</f>
        <v>182.34243693018033</v>
      </c>
      <c r="CZ44" s="59">
        <f t="shared" si="42"/>
        <v>182.65916563909786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24.000957418468939</v>
      </c>
      <c r="DG44" s="21">
        <f>EXP(-LN(2)/25)*DG43+(1-EXP(-LN(2)/25))/(LN(2)/25)*Calculateur!DB44*Calculateur!DD44*VLOOKUP('Données projet'!$B$13,Paramètres!$A$1:$I$89,3,0)*0.475*44/12</f>
        <v>16.246021153561355</v>
      </c>
      <c r="DH44" s="21">
        <f>EXP(-LN(2)/2)*DH43+(1-EXP(-LN(2)/2))/(LN(2)/2)*DB44*DE44*VLOOKUP('Données projet'!$B$13,Paramètres!$A$1:$I$89,3,0)*0.475*44/12</f>
        <v>1.1209978469140049</v>
      </c>
      <c r="DI44" s="22">
        <f t="shared" si="15"/>
        <v>41.367976418944302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5.4791666666666652</v>
      </c>
      <c r="DO44" s="12">
        <f>IF('Données projet'!$A$166&gt;35,DO43+DN44-DW43,IF(A44&lt;'Données projet'!$A$166,$DL$205^A44,IF(A44='Données projet'!$A$166,'Données projet'!$B$166,DO43+DN44-DW43)))</f>
        <v>135.61698717948721</v>
      </c>
      <c r="DP44" s="17">
        <f>DO44*VLOOKUP('Données projet'!$B$14,Paramètres!$A$1:$I$89,3,0)*VLOOKUP('Données projet'!$B$14,Paramètres!$A$1:$I$89,5,0)</f>
        <v>129.05312500000002</v>
      </c>
      <c r="DQ44" s="13">
        <f t="shared" si="43"/>
        <v>33.777471319316362</v>
      </c>
      <c r="DR44" s="20">
        <f t="shared" si="16"/>
        <v>283.59662192280933</v>
      </c>
      <c r="DS44" s="59">
        <f t="shared" si="17"/>
        <v>576.92995525614265</v>
      </c>
      <c r="DT44" s="59">
        <f ca="1">AVERAGE(OFFSET($DS$3,0,0,'Données projet'!$E$14+1,1))-AVERAGE(OFFSET($H$3,0,0,'Données projet'!$E$14+1,1))</f>
        <v>286.10360882057586</v>
      </c>
      <c r="DU44" s="59">
        <f t="shared" si="44"/>
        <v>109.24531387923128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363.55249626814032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262.42149466677068</v>
      </c>
      <c r="T45" s="59">
        <f t="shared" si="34"/>
        <v>232.7693253699756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15.21153846153846</v>
      </c>
      <c r="AI45" s="13">
        <f>IF('Données projet'!$A$62&gt;35,AI44+AH45-AQ44,IF(A45&lt;'Données projet'!$A$62,$AF$205^A45,IF(A45='Données projet'!$A$62,'Données projet'!$B$62,AI44+AH45-AQ44)))</f>
        <v>336.47692307692307</v>
      </c>
      <c r="AJ45" s="13">
        <f>AI45*VLOOKUP('Données projet'!$B$10,Paramètres!$A$1:$I$89,3,0)*VLOOKUP('Données projet'!$B$10,Paramètres!$A$1:$I$89,5,0)</f>
        <v>201.21320000000003</v>
      </c>
      <c r="AK45" s="13">
        <f t="shared" si="35"/>
        <v>50.010698447793764</v>
      </c>
      <c r="AL45" s="20">
        <f t="shared" si="4"/>
        <v>437.54828979657418</v>
      </c>
      <c r="AM45" s="59">
        <f t="shared" si="5"/>
        <v>730.88162312990744</v>
      </c>
      <c r="AN45" s="59">
        <f ca="1">AVERAGE(OFFSET($AM$3,0,0,'Données projet'!$E$10+1,1))-AVERAGE(OFFSET($H$3,0,0,'Données projet'!$E$10+1,1))</f>
        <v>249.37919739649828</v>
      </c>
      <c r="AO45" s="59">
        <f t="shared" si="36"/>
        <v>315.05045383693073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44.034360572649362</v>
      </c>
      <c r="AV45" s="21">
        <f>EXP(-LN(2)/25)*AV44+(1-EXP(-LN(2)/25))/(LN(2)/25)*Calculateur!AQ45*Calculateur!AS45*VLOOKUP('Données projet'!$B$10,Paramètres!$A$1:$I$89,3,0)*0.475*44/12</f>
        <v>19.91965762265411</v>
      </c>
      <c r="AW45" s="21">
        <f>EXP(-LN(2)/2)*AW44+(1-EXP(-LN(2)/2))/(LN(2)/2)*AQ45*AT45*VLOOKUP('Données projet'!$B$10,Paramètres!$A$1:$I$89,3,0)*0.475*44/12</f>
        <v>4.3457405456139719</v>
      </c>
      <c r="AX45" s="21">
        <f t="shared" si="6"/>
        <v>68.299758740917454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6.4</v>
      </c>
      <c r="BD45" s="12">
        <f>IF('Données projet'!$A$88&gt;35,BD44+BC45-BL44,IF(A45&lt;'Données projet'!$A$88,$BA$205^A45,IF(A45='Données projet'!$A$88,'Données projet'!$B$88,BD44+BC45-BL44)))</f>
        <v>142.80000000000001</v>
      </c>
      <c r="BE45" s="13">
        <f>BD45*VLOOKUP('Données projet'!$B$11,Paramètres!$A$1:$I$89,3,0)*VLOOKUP('Données projet'!$B$11,Paramètres!$A$1:$I$89,5,0)</f>
        <v>124.75008000000003</v>
      </c>
      <c r="BF45" s="13">
        <f t="shared" si="37"/>
        <v>32.780361960132396</v>
      </c>
      <c r="BG45" s="20">
        <f t="shared" si="7"/>
        <v>274.36551974723062</v>
      </c>
      <c r="BH45" s="59">
        <f t="shared" si="8"/>
        <v>567.69885308056394</v>
      </c>
      <c r="BI45" s="59">
        <f ca="1">AVERAGE(OFFSET($BH$3,0,0,'Données projet'!$E$11+1,1))-AVERAGE(OFFSET($H$3,0,0,'Données projet'!$E$11+1,1))</f>
        <v>186.80594222554424</v>
      </c>
      <c r="BJ45" s="59">
        <f t="shared" si="38"/>
        <v>179.02867751001872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3.9132035021901554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3.9132035021901554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141.09615384615384</v>
      </c>
      <c r="BW45" s="12">
        <f>VLOOKUP(A45,'Données projet'!$A$113:$I$133,9,0)</f>
        <v>5.4791666666666652</v>
      </c>
      <c r="BX45" s="12">
        <f t="array" ref="BX45">INDEX(BW:BW,MIN(IF(ISNUMBER(BW45:BW241),ROW(BW45:BW241),"")))</f>
        <v>5.4791666666666652</v>
      </c>
      <c r="BY45" s="12">
        <f>IF('Données projet'!$A$114&gt;35,BY44+BX45-CG44,IF(A45&lt;'Données projet'!$A$114,$BV$205^A45,IF(A45='Données projet'!$A$114,'Données projet'!$B$114,BY44+BX45-CG44)))</f>
        <v>141.09615384615387</v>
      </c>
      <c r="BZ45" s="13">
        <f>BY45*VLOOKUP('Données projet'!$B$12,Paramètres!$A$1:$I$89,3,0)*VLOOKUP('Données projet'!$B$12,Paramètres!$A$1:$I$89,5,0)</f>
        <v>127.66380000000002</v>
      </c>
      <c r="CA45" s="13">
        <f t="shared" si="39"/>
        <v>33.455963688122218</v>
      </c>
      <c r="CB45" s="20">
        <f t="shared" si="10"/>
        <v>280.61692175681293</v>
      </c>
      <c r="CC45" s="59">
        <f t="shared" si="11"/>
        <v>573.95025509014624</v>
      </c>
      <c r="CD45" s="59">
        <f ca="1">AVERAGE(OFFSET($CC$3,0,0,'Données projet'!$E$12+1,1))-AVERAGE(OFFSET($H$3,0,0,'Données projet'!$E$12+1,1))</f>
        <v>265.17389489035344</v>
      </c>
      <c r="CE45" s="59">
        <f t="shared" si="40"/>
        <v>101.57852403610769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38.685897435897438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13.14134615384615</v>
      </c>
      <c r="CT45" s="12">
        <f>IF('Données projet'!$A$140&gt;35,CT44+CS45-DB44,IF(A45&lt;'Données projet'!$A$140,$CQ$205^A45,IF(A45='Données projet'!$A$140,'Données projet'!$B$140,CT44+CS45-DB44)))</f>
        <v>276.87115384615385</v>
      </c>
      <c r="CU45" s="17">
        <f>CT45*VLOOKUP('Données projet'!$B$13,Paramètres!$A$1:$I$89,3,0)*VLOOKUP('Données projet'!$B$13,Paramètres!$A$1:$I$89,5,0)</f>
        <v>165.56895</v>
      </c>
      <c r="CV45" s="13">
        <f t="shared" si="41"/>
        <v>42.096095514085818</v>
      </c>
      <c r="CW45" s="20">
        <f t="shared" si="13"/>
        <v>361.68328760369945</v>
      </c>
      <c r="CX45" s="59">
        <f t="shared" si="14"/>
        <v>655.01662093703271</v>
      </c>
      <c r="CY45" s="59">
        <f ca="1">AVERAGE(OFFSET($CX$3,0,0,'Données projet'!$E$13+1,1))-AVERAGE(OFFSET($H$3,0,0,'Données projet'!$E$13+1,1))</f>
        <v>182.34243693018033</v>
      </c>
      <c r="CZ45" s="59">
        <f t="shared" si="42"/>
        <v>182.65916563909786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23.530313282631294</v>
      </c>
      <c r="DG45" s="21">
        <f>EXP(-LN(2)/25)*DG44+(1-EXP(-LN(2)/25))/(LN(2)/25)*Calculateur!DB45*Calculateur!DD45*VLOOKUP('Données projet'!$B$13,Paramètres!$A$1:$I$89,3,0)*0.475*44/12</f>
        <v>15.801772850776098</v>
      </c>
      <c r="DH45" s="21">
        <f>EXP(-LN(2)/2)*DH44+(1-EXP(-LN(2)/2))/(LN(2)/2)*DB45*DE45*VLOOKUP('Données projet'!$B$13,Paramètres!$A$1:$I$89,3,0)*0.475*44/12</f>
        <v>0.79266517924841229</v>
      </c>
      <c r="DI45" s="22">
        <f t="shared" si="15"/>
        <v>40.124751312655803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141.09615384615384</v>
      </c>
      <c r="DM45" s="12">
        <f>VLOOKUP(A45,'Données projet'!$A$165:$I$185,9,0)</f>
        <v>5.4791666666666652</v>
      </c>
      <c r="DN45" s="12">
        <f t="array" ref="DN45">INDEX(DM:DM,MIN(IF(ISNUMBER(DM45:DM241),ROW(DM45:DM241),"")))</f>
        <v>5.4791666666666652</v>
      </c>
      <c r="DO45" s="12">
        <f>IF('Données projet'!$A$166&gt;35,DO44+DN45-DW44,IF(A45&lt;'Données projet'!$A$166,$DL$205^A45,IF(A45='Données projet'!$A$166,'Données projet'!$B$166,DO44+DN45-DW44)))</f>
        <v>141.09615384615387</v>
      </c>
      <c r="DP45" s="17">
        <f>DO45*VLOOKUP('Données projet'!$B$14,Paramètres!$A$1:$I$89,3,0)*VLOOKUP('Données projet'!$B$14,Paramètres!$A$1:$I$89,5,0)</f>
        <v>134.26710000000003</v>
      </c>
      <c r="DQ45" s="13">
        <f t="shared" si="43"/>
        <v>34.98049986769297</v>
      </c>
      <c r="DR45" s="20">
        <f t="shared" si="16"/>
        <v>294.77290310289862</v>
      </c>
      <c r="DS45" s="59">
        <f t="shared" si="17"/>
        <v>588.10623643623194</v>
      </c>
      <c r="DT45" s="59">
        <f ca="1">AVERAGE(OFFSET($DS$3,0,0,'Données projet'!$E$14+1,1))-AVERAGE(OFFSET($H$3,0,0,'Données projet'!$E$14+1,1))</f>
        <v>286.10360882057586</v>
      </c>
      <c r="DU45" s="59">
        <f t="shared" si="44"/>
        <v>109.24531387923128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38.685897435897438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365.17793605642424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262.42149466677068</v>
      </c>
      <c r="T46" s="59">
        <f t="shared" si="34"/>
        <v>232.7693253699756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15.21153846153846</v>
      </c>
      <c r="AI46" s="13">
        <f>IF('Données projet'!$A$62&gt;35,AI45+AH46-AQ45,IF(A46&lt;'Données projet'!$A$62,$AF$205^A46,IF(A46='Données projet'!$A$62,'Données projet'!$B$62,AI45+AH46-AQ45)))</f>
        <v>351.68846153846152</v>
      </c>
      <c r="AJ46" s="13">
        <f>AI46*VLOOKUP('Données projet'!$B$10,Paramètres!$A$1:$I$89,3,0)*VLOOKUP('Données projet'!$B$10,Paramètres!$A$1:$I$89,5,0)</f>
        <v>210.30970000000002</v>
      </c>
      <c r="AK46" s="13">
        <f t="shared" si="35"/>
        <v>52.003257134609832</v>
      </c>
      <c r="AL46" s="20">
        <f t="shared" si="4"/>
        <v>456.86173367611218</v>
      </c>
      <c r="AM46" s="59">
        <f t="shared" si="5"/>
        <v>750.19506700944544</v>
      </c>
      <c r="AN46" s="59">
        <f ca="1">AVERAGE(OFFSET($AM$3,0,0,'Données projet'!$E$10+1,1))-AVERAGE(OFFSET($H$3,0,0,'Données projet'!$E$10+1,1))</f>
        <v>249.37919739649828</v>
      </c>
      <c r="AO46" s="59">
        <f t="shared" si="36"/>
        <v>315.05045383693073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43.170873620127622</v>
      </c>
      <c r="AV46" s="21">
        <f>EXP(-LN(2)/25)*AV45+(1-EXP(-LN(2)/25))/(LN(2)/25)*Calculateur!AQ46*Calculateur!AS46*VLOOKUP('Données projet'!$B$10,Paramètres!$A$1:$I$89,3,0)*0.475*44/12</f>
        <v>19.374953537433367</v>
      </c>
      <c r="AW46" s="21">
        <f>EXP(-LN(2)/2)*AW45+(1-EXP(-LN(2)/2))/(LN(2)/2)*AQ46*AT46*VLOOKUP('Données projet'!$B$10,Paramètres!$A$1:$I$89,3,0)*0.475*44/12</f>
        <v>3.0729026090809666</v>
      </c>
      <c r="AX46" s="21">
        <f t="shared" si="6"/>
        <v>65.618729766641962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6.4</v>
      </c>
      <c r="BD46" s="12">
        <f>IF('Données projet'!$A$88&gt;35,BD45+BC46-BL45,IF(A46&lt;'Données projet'!$A$88,$BA$205^A46,IF(A46='Données projet'!$A$88,'Données projet'!$B$88,BD45+BC46-BL45)))</f>
        <v>149.20000000000002</v>
      </c>
      <c r="BE46" s="13">
        <f>BD46*VLOOKUP('Données projet'!$B$11,Paramètres!$A$1:$I$89,3,0)*VLOOKUP('Données projet'!$B$11,Paramètres!$A$1:$I$89,5,0)</f>
        <v>130.34112000000005</v>
      </c>
      <c r="BF46" s="13">
        <f t="shared" si="37"/>
        <v>34.075170122989917</v>
      </c>
      <c r="BG46" s="20">
        <f t="shared" si="7"/>
        <v>286.35837196420749</v>
      </c>
      <c r="BH46" s="59">
        <f t="shared" si="8"/>
        <v>579.69170529754081</v>
      </c>
      <c r="BI46" s="59">
        <f ca="1">AVERAGE(OFFSET($BH$3,0,0,'Données projet'!$E$11+1,1))-AVERAGE(OFFSET($H$3,0,0,'Données projet'!$E$11+1,1))</f>
        <v>186.80594222554424</v>
      </c>
      <c r="BJ46" s="59">
        <f t="shared" si="38"/>
        <v>179.02867751001872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3.8061967466363371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3.8061967466363371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7.143429487179489</v>
      </c>
      <c r="BY46" s="12">
        <f>IF('Données projet'!$A$114&gt;35,BY45+BX46-CG45,IF(A46&lt;'Données projet'!$A$114,$BV$205^A46,IF(A46='Données projet'!$A$114,'Données projet'!$B$114,BY45+BX46-CG45)))</f>
        <v>109.55368589743594</v>
      </c>
      <c r="BZ46" s="13">
        <f>BY46*VLOOKUP('Données projet'!$B$12,Paramètres!$A$1:$I$89,3,0)*VLOOKUP('Données projet'!$B$12,Paramètres!$A$1:$I$89,5,0)</f>
        <v>99.124175000000037</v>
      </c>
      <c r="CA46" s="13">
        <f t="shared" si="39"/>
        <v>26.753237614333433</v>
      </c>
      <c r="CB46" s="20">
        <f t="shared" si="10"/>
        <v>219.2364936366308</v>
      </c>
      <c r="CC46" s="59">
        <f t="shared" si="11"/>
        <v>512.56982696996408</v>
      </c>
      <c r="CD46" s="59">
        <f ca="1">AVERAGE(OFFSET($CC$3,0,0,'Données projet'!$E$12+1,1))-AVERAGE(OFFSET($H$3,0,0,'Données projet'!$E$12+1,1))</f>
        <v>265.17389489035344</v>
      </c>
      <c r="CE46" s="59">
        <f t="shared" si="40"/>
        <v>101.57852403610769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13.14134615384615</v>
      </c>
      <c r="CT46" s="12">
        <f>IF('Données projet'!$A$140&gt;35,CT45+CS46-DB45,IF(A46&lt;'Données projet'!$A$140,$CQ$205^A46,IF(A46='Données projet'!$A$140,'Données projet'!$B$140,CT45+CS46-DB45)))</f>
        <v>290.01249999999999</v>
      </c>
      <c r="CU46" s="17">
        <f>CT46*VLOOKUP('Données projet'!$B$13,Paramètres!$A$1:$I$89,3,0)*VLOOKUP('Données projet'!$B$13,Paramètres!$A$1:$I$89,5,0)</f>
        <v>173.42747500000002</v>
      </c>
      <c r="CV46" s="13">
        <f t="shared" si="41"/>
        <v>43.856769901180428</v>
      </c>
      <c r="CW46" s="20">
        <f t="shared" si="13"/>
        <v>378.43672653622258</v>
      </c>
      <c r="CX46" s="59">
        <f t="shared" si="14"/>
        <v>671.77005986955589</v>
      </c>
      <c r="CY46" s="59">
        <f ca="1">AVERAGE(OFFSET($CX$3,0,0,'Données projet'!$E$13+1,1))-AVERAGE(OFFSET($H$3,0,0,'Données projet'!$E$13+1,1))</f>
        <v>182.34243693018033</v>
      </c>
      <c r="CZ46" s="59">
        <f t="shared" si="42"/>
        <v>182.65916563909786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23.068898191232847</v>
      </c>
      <c r="DG46" s="21">
        <f>EXP(-LN(2)/25)*DG45+(1-EXP(-LN(2)/25))/(LN(2)/25)*Calculateur!DB46*Calculateur!DD46*VLOOKUP('Données projet'!$B$13,Paramètres!$A$1:$I$89,3,0)*0.475*44/12</f>
        <v>15.369672541192507</v>
      </c>
      <c r="DH46" s="21">
        <f>EXP(-LN(2)/2)*DH45+(1-EXP(-LN(2)/2))/(LN(2)/2)*DB46*DE46*VLOOKUP('Données projet'!$B$13,Paramètres!$A$1:$I$89,3,0)*0.475*44/12</f>
        <v>0.56049892345700258</v>
      </c>
      <c r="DI46" s="22">
        <f t="shared" si="15"/>
        <v>38.999069655882359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7.143429487179489</v>
      </c>
      <c r="DO46" s="12">
        <f>IF('Données projet'!$A$166&gt;35,DO45+DN46-DW45,IF(A46&lt;'Données projet'!$A$166,$DL$205^A46,IF(A46='Données projet'!$A$166,'Données projet'!$B$166,DO45+DN46-DW45)))</f>
        <v>109.55368589743594</v>
      </c>
      <c r="DP46" s="17">
        <f>DO46*VLOOKUP('Données projet'!$B$14,Paramètres!$A$1:$I$89,3,0)*VLOOKUP('Données projet'!$B$14,Paramètres!$A$1:$I$89,5,0)</f>
        <v>104.25128750000005</v>
      </c>
      <c r="DQ46" s="13">
        <f t="shared" si="43"/>
        <v>27.972341001816627</v>
      </c>
      <c r="DR46" s="20">
        <f t="shared" si="16"/>
        <v>230.28948630733069</v>
      </c>
      <c r="DS46" s="59">
        <f t="shared" si="17"/>
        <v>523.62281964066403</v>
      </c>
      <c r="DT46" s="59">
        <f ca="1">AVERAGE(OFFSET($DS$3,0,0,'Données projet'!$E$14+1,1))-AVERAGE(OFFSET($H$3,0,0,'Données projet'!$E$14+1,1))</f>
        <v>286.10360882057586</v>
      </c>
      <c r="DU46" s="59">
        <f t="shared" si="44"/>
        <v>109.24531387923128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366.80243378500688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262.42149466677068</v>
      </c>
      <c r="T47" s="59">
        <f t="shared" si="34"/>
        <v>232.7693253699756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15.21153846153846</v>
      </c>
      <c r="AI47" s="13">
        <f>IF('Données projet'!$A$62&gt;35,AI46+AH47-AQ46,IF(A47&lt;'Données projet'!$A$62,$AF$205^A47,IF(A47='Données projet'!$A$62,'Données projet'!$B$62,AI46+AH47-AQ46)))</f>
        <v>366.9</v>
      </c>
      <c r="AJ47" s="13">
        <f>AI47*VLOOKUP('Données projet'!$B$10,Paramètres!$A$1:$I$89,3,0)*VLOOKUP('Données projet'!$B$10,Paramètres!$A$1:$I$89,5,0)</f>
        <v>219.40620000000001</v>
      </c>
      <c r="AK47" s="13">
        <f t="shared" si="35"/>
        <v>53.985805930473333</v>
      </c>
      <c r="AL47" s="20">
        <f t="shared" si="4"/>
        <v>476.15774366224105</v>
      </c>
      <c r="AM47" s="59">
        <f t="shared" si="5"/>
        <v>769.4910769955743</v>
      </c>
      <c r="AN47" s="59">
        <f ca="1">AVERAGE(OFFSET($AM$3,0,0,'Données projet'!$E$10+1,1))-AVERAGE(OFFSET($H$3,0,0,'Données projet'!$E$10+1,1))</f>
        <v>249.37919739649828</v>
      </c>
      <c r="AO47" s="59">
        <f t="shared" si="36"/>
        <v>315.05045383693073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42.324319120069795</v>
      </c>
      <c r="AV47" s="21">
        <f>EXP(-LN(2)/25)*AV46+(1-EXP(-LN(2)/25))/(LN(2)/25)*Calculateur!AQ47*Calculateur!AS47*VLOOKUP('Données projet'!$B$10,Paramètres!$A$1:$I$89,3,0)*0.475*44/12</f>
        <v>18.845144414067725</v>
      </c>
      <c r="AW47" s="21">
        <f>EXP(-LN(2)/2)*AW46+(1-EXP(-LN(2)/2))/(LN(2)/2)*AQ47*AT47*VLOOKUP('Données projet'!$B$10,Paramètres!$A$1:$I$89,3,0)*0.475*44/12</f>
        <v>2.172870272806986</v>
      </c>
      <c r="AX47" s="21">
        <f t="shared" si="6"/>
        <v>63.342333806944509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6.4</v>
      </c>
      <c r="BD47" s="12">
        <f>IF('Données projet'!$A$88&gt;35,BD46+BC47-BL46,IF(A47&lt;'Données projet'!$A$88,$BA$205^A47,IF(A47='Données projet'!$A$88,'Données projet'!$B$88,BD46+BC47-BL46)))</f>
        <v>155.60000000000002</v>
      </c>
      <c r="BE47" s="13">
        <f>BD47*VLOOKUP('Données projet'!$B$11,Paramètres!$A$1:$I$89,3,0)*VLOOKUP('Données projet'!$B$11,Paramètres!$A$1:$I$89,5,0)</f>
        <v>135.93216000000004</v>
      </c>
      <c r="BF47" s="13">
        <f t="shared" si="37"/>
        <v>35.36352729450968</v>
      </c>
      <c r="BG47" s="20">
        <f t="shared" si="7"/>
        <v>298.33998870460442</v>
      </c>
      <c r="BH47" s="59">
        <f t="shared" si="8"/>
        <v>591.67332203793774</v>
      </c>
      <c r="BI47" s="59">
        <f ca="1">AVERAGE(OFFSET($BH$3,0,0,'Données projet'!$E$11+1,1))-AVERAGE(OFFSET($H$3,0,0,'Données projet'!$E$11+1,1))</f>
        <v>186.80594222554424</v>
      </c>
      <c r="BJ47" s="59">
        <f t="shared" si="38"/>
        <v>179.02867751001872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3.7021160964403785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3.7021160964403785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7.143429487179489</v>
      </c>
      <c r="BY47" s="12">
        <f>IF('Données projet'!$A$114&gt;35,BY46+BX47-CG46,IF(A47&lt;'Données projet'!$A$114,$BV$205^A47,IF(A47='Données projet'!$A$114,'Données projet'!$B$114,BY46+BX47-CG46)))</f>
        <v>116.69711538461543</v>
      </c>
      <c r="BZ47" s="13">
        <f>BY47*VLOOKUP('Données projet'!$B$12,Paramètres!$A$1:$I$89,3,0)*VLOOKUP('Données projet'!$B$12,Paramètres!$A$1:$I$89,5,0)</f>
        <v>105.58755000000002</v>
      </c>
      <c r="CA47" s="13">
        <f t="shared" si="39"/>
        <v>28.288912863611589</v>
      </c>
      <c r="CB47" s="20">
        <f t="shared" si="10"/>
        <v>233.16817282079023</v>
      </c>
      <c r="CC47" s="59">
        <f t="shared" si="11"/>
        <v>526.50150615412349</v>
      </c>
      <c r="CD47" s="59">
        <f ca="1">AVERAGE(OFFSET($CC$3,0,0,'Données projet'!$E$12+1,1))-AVERAGE(OFFSET($H$3,0,0,'Données projet'!$E$12+1,1))</f>
        <v>265.17389489035344</v>
      </c>
      <c r="CE47" s="59">
        <f t="shared" si="40"/>
        <v>101.57852403610769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303.15384615384613</v>
      </c>
      <c r="CR47" s="12">
        <f>VLOOKUP(A47,'Données projet'!$A$139:$I$159,9,0)</f>
        <v>13.14134615384615</v>
      </c>
      <c r="CS47" s="12">
        <f t="array" ref="CS47">INDEX(CR:CR,MIN(IF(ISNUMBER(CR47:CR243),ROW(CR47:CR243),"")))</f>
        <v>13.14134615384615</v>
      </c>
      <c r="CT47" s="12">
        <f>IF('Données projet'!$A$140&gt;35,CT46+CS47-DB46,IF(A47&lt;'Données projet'!$A$140,$CQ$205^A47,IF(A47='Données projet'!$A$140,'Données projet'!$B$140,CT46+CS47-DB46)))</f>
        <v>303.15384615384613</v>
      </c>
      <c r="CU47" s="17">
        <f>CT47*VLOOKUP('Données projet'!$B$13,Paramètres!$A$1:$I$89,3,0)*VLOOKUP('Données projet'!$B$13,Paramètres!$A$1:$I$89,5,0)</f>
        <v>181.286</v>
      </c>
      <c r="CV47" s="13">
        <f t="shared" si="41"/>
        <v>45.608178821536583</v>
      </c>
      <c r="CW47" s="20">
        <f t="shared" si="13"/>
        <v>395.17402811417611</v>
      </c>
      <c r="CX47" s="59">
        <f t="shared" si="14"/>
        <v>688.50736144750942</v>
      </c>
      <c r="CY47" s="59">
        <f ca="1">AVERAGE(OFFSET($CX$3,0,0,'Données projet'!$E$13+1,1))-AVERAGE(OFFSET($H$3,0,0,'Données projet'!$E$13+1,1))</f>
        <v>182.34243693018033</v>
      </c>
      <c r="CZ47" s="59">
        <f t="shared" si="42"/>
        <v>182.65916563909786</v>
      </c>
      <c r="DA47" s="15">
        <f>IF(ISNA(VLOOKUP(A47,'Données projet'!$A$139:$I$159,3,0)),0,VLOOKUP(A47,'Données projet'!$A$139:$I$159,3,0))</f>
        <v>5</v>
      </c>
      <c r="DB47" s="15">
        <f>IF(ISNA(VLOOKUP(A47,'Données projet'!$A$139:$I$159,4,0)),0,VLOOKUP(A47,'Données projet'!$A$139:$I$159,4,0))</f>
        <v>64.476923076923072</v>
      </c>
      <c r="DC47" s="16">
        <f>IF(ISNA(VLOOKUP(A47,'Données projet'!$A$139:$I$159,5,0)),0%,VLOOKUP(A47,'Données projet'!$A$139:$I$159,5,0)*VLOOKUP('Données projet'!$B$13,Paramètres!$A$1:$I$89,7,0))</f>
        <v>0.315</v>
      </c>
      <c r="DD47" s="16">
        <f>IF(ISNA(VLOOKUP(A47,'Données projet'!$A$139:$I$159,6,0)),0%,VLOOKUP(A47,'Données projet'!$A$139:$I$159,6,0)*VLOOKUP('Données projet'!$B$13,Paramètres!$A$1:$I$89,7,0))</f>
        <v>7.5600000000000001E-2</v>
      </c>
      <c r="DE47" s="16">
        <f>IF(ISNA(VLOOKUP(A47,'Données projet'!$A$139:$I$159,7,0)),0%,VLOOKUP(A47,'Données projet'!$A$139:$I$159,7,0))</f>
        <v>0.13200000000000001</v>
      </c>
      <c r="DF47" s="21">
        <f>EXP(-LN(2)/35)*DF46+(1-EXP(-LN(2)/35))/(LN(2)/35)*DB47*DC47*VLOOKUP('Données projet'!$B$13,Paramètres!$A$1:$I$89,3,0)*0.475*44/12</f>
        <v>38.728343640042439</v>
      </c>
      <c r="DG47" s="21">
        <f>EXP(-LN(2)/25)*DG46+(1-EXP(-LN(2)/25))/(LN(2)/25)*Calculateur!DB47*Calculateur!DD47*VLOOKUP('Données projet'!$B$13,Paramètres!$A$1:$I$89,3,0)*0.475*44/12</f>
        <v>18.800997827758014</v>
      </c>
      <c r="DH47" s="21">
        <f>EXP(-LN(2)/2)*DH46+(1-EXP(-LN(2)/2))/(LN(2)/2)*DB47*DE47*VLOOKUP('Données projet'!$B$13,Paramètres!$A$1:$I$89,3,0)*0.475*44/12</f>
        <v>6.1588859323929501</v>
      </c>
      <c r="DI47" s="22">
        <f t="shared" si="15"/>
        <v>63.688227400193398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7.143429487179489</v>
      </c>
      <c r="DO47" s="12">
        <f>IF('Données projet'!$A$166&gt;35,DO46+DN47-DW46,IF(A47&lt;'Données projet'!$A$166,$DL$205^A47,IF(A47='Données projet'!$A$166,'Données projet'!$B$166,DO46+DN47-DW46)))</f>
        <v>116.69711538461543</v>
      </c>
      <c r="DP47" s="17">
        <f>DO47*VLOOKUP('Données projet'!$B$14,Paramètres!$A$1:$I$89,3,0)*VLOOKUP('Données projet'!$B$14,Paramètres!$A$1:$I$89,5,0)</f>
        <v>111.04897500000004</v>
      </c>
      <c r="DQ47" s="13">
        <f t="shared" si="43"/>
        <v>29.577994581398482</v>
      </c>
      <c r="DR47" s="20">
        <f t="shared" si="16"/>
        <v>244.92530535426911</v>
      </c>
      <c r="DS47" s="59">
        <f t="shared" si="17"/>
        <v>538.25863868760246</v>
      </c>
      <c r="DT47" s="59">
        <f ca="1">AVERAGE(OFFSET($DS$3,0,0,'Données projet'!$E$14+1,1))-AVERAGE(OFFSET($H$3,0,0,'Données projet'!$E$14+1,1))</f>
        <v>286.10360882057586</v>
      </c>
      <c r="DU47" s="59">
        <f t="shared" si="44"/>
        <v>109.24531387923128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368.42601332907691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262.42149466677068</v>
      </c>
      <c r="T48" s="59">
        <f t="shared" si="34"/>
        <v>232.7693253699756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15.21153846153846</v>
      </c>
      <c r="AI48" s="13">
        <f>IF('Données projet'!$A$62&gt;35,AI47+AH48-AQ47,IF(A48&lt;'Données projet'!$A$62,$AF$205^A48,IF(A48='Données projet'!$A$62,'Données projet'!$B$62,AI47+AH48-AQ47)))</f>
        <v>382.11153846153843</v>
      </c>
      <c r="AJ48" s="13">
        <f>AI48*VLOOKUP('Données projet'!$B$10,Paramètres!$A$1:$I$89,3,0)*VLOOKUP('Données projet'!$B$10,Paramètres!$A$1:$I$89,5,0)</f>
        <v>228.5027</v>
      </c>
      <c r="AK48" s="13">
        <f t="shared" si="35"/>
        <v>55.958807302542631</v>
      </c>
      <c r="AL48" s="20">
        <f t="shared" si="4"/>
        <v>495.4371252185951</v>
      </c>
      <c r="AM48" s="59">
        <f t="shared" si="5"/>
        <v>788.77045855192841</v>
      </c>
      <c r="AN48" s="59">
        <f ca="1">AVERAGE(OFFSET($AM$3,0,0,'Données projet'!$E$10+1,1))-AVERAGE(OFFSET($H$3,0,0,'Données projet'!$E$10+1,1))</f>
        <v>249.37919739649828</v>
      </c>
      <c r="AO48" s="59">
        <f t="shared" si="36"/>
        <v>315.05045383693073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41.494365037410844</v>
      </c>
      <c r="AV48" s="21">
        <f>EXP(-LN(2)/25)*AV47+(1-EXP(-LN(2)/25))/(LN(2)/25)*Calculateur!AQ48*Calculateur!AS48*VLOOKUP('Données projet'!$B$10,Paramètres!$A$1:$I$89,3,0)*0.475*44/12</f>
        <v>18.329822949041969</v>
      </c>
      <c r="AW48" s="21">
        <f>EXP(-LN(2)/2)*AW47+(1-EXP(-LN(2)/2))/(LN(2)/2)*AQ48*AT48*VLOOKUP('Données projet'!$B$10,Paramètres!$A$1:$I$89,3,0)*0.475*44/12</f>
        <v>1.5364513045404833</v>
      </c>
      <c r="AX48" s="21">
        <f t="shared" si="6"/>
        <v>61.360639290993298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162</v>
      </c>
      <c r="BB48" s="12">
        <f>VLOOKUP(A48,'Données projet'!$A$87:$I$107,9,0)</f>
        <v>6.4</v>
      </c>
      <c r="BC48" s="12">
        <f t="array" ref="BC48">INDEX(BB:BB,MIN(IF(ISNUMBER(BB48:BB244),ROW(BB48:BB244),"")))</f>
        <v>6.4</v>
      </c>
      <c r="BD48" s="12">
        <f>IF('Données projet'!$A$88&gt;35,BD47+BC48-BL47,IF(A48&lt;'Données projet'!$A$88,$BA$205^A48,IF(A48='Données projet'!$A$88,'Données projet'!$B$88,BD47+BC48-BL47)))</f>
        <v>162.00000000000003</v>
      </c>
      <c r="BE48" s="13">
        <f>BD48*VLOOKUP('Données projet'!$B$11,Paramètres!$A$1:$I$89,3,0)*VLOOKUP('Données projet'!$B$11,Paramètres!$A$1:$I$89,5,0)</f>
        <v>141.52320000000006</v>
      </c>
      <c r="BF48" s="13">
        <f t="shared" si="37"/>
        <v>36.645729158274158</v>
      </c>
      <c r="BG48" s="20">
        <f t="shared" si="7"/>
        <v>310.31088495066086</v>
      </c>
      <c r="BH48" s="59">
        <f t="shared" si="8"/>
        <v>603.64421828399418</v>
      </c>
      <c r="BI48" s="59">
        <f ca="1">AVERAGE(OFFSET($BH$3,0,0,'Données projet'!$E$11+1,1))-AVERAGE(OFFSET($H$3,0,0,'Données projet'!$E$11+1,1))</f>
        <v>186.80594222554424</v>
      </c>
      <c r="BJ48" s="59">
        <f t="shared" si="38"/>
        <v>179.02867751001872</v>
      </c>
      <c r="BK48" s="15">
        <f>IF(ISNA(VLOOKUP(A48,'Données projet'!$A$87:$I$107,3,0)),0,VLOOKUP(A48,'Données projet'!$A$87:$I$107,3,0))</f>
        <v>6</v>
      </c>
      <c r="BL48" s="15" t="str">
        <f>IF(ISNA(VLOOKUP(A48,'Données projet'!$A$87:$I$107,4,0)),0,VLOOKUP(A48,'Données projet'!$A$87:$I$107,4,0))</f>
        <v>19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0.215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7.530391900390212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7.530391900390212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7.143429487179489</v>
      </c>
      <c r="BY48" s="12">
        <f>IF('Données projet'!$A$114&gt;35,BY47+BX48-CG47,IF(A48&lt;'Données projet'!$A$114,$BV$205^A48,IF(A48='Données projet'!$A$114,'Données projet'!$B$114,BY47+BX48-CG47)))</f>
        <v>123.84054487179492</v>
      </c>
      <c r="BZ48" s="13">
        <f>BY48*VLOOKUP('Données projet'!$B$12,Paramètres!$A$1:$I$89,3,0)*VLOOKUP('Données projet'!$B$12,Paramètres!$A$1:$I$89,5,0)</f>
        <v>112.05092500000003</v>
      </c>
      <c r="CA48" s="13">
        <f t="shared" si="39"/>
        <v>29.813677753924459</v>
      </c>
      <c r="CB48" s="20">
        <f t="shared" si="10"/>
        <v>247.08084979641851</v>
      </c>
      <c r="CC48" s="59">
        <f t="shared" si="11"/>
        <v>540.41418312975179</v>
      </c>
      <c r="CD48" s="59">
        <f ca="1">AVERAGE(OFFSET($CC$3,0,0,'Données projet'!$E$12+1,1))-AVERAGE(OFFSET($H$3,0,0,'Données projet'!$E$12+1,1))</f>
        <v>265.17389489035344</v>
      </c>
      <c r="CE48" s="59">
        <f t="shared" si="40"/>
        <v>101.57852403610769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11.642307692307696</v>
      </c>
      <c r="CT48" s="12">
        <f>IF('Données projet'!$A$140&gt;35,CT47+CS48-DB47,IF(A48&lt;'Données projet'!$A$140,$CQ$205^A48,IF(A48='Données projet'!$A$140,'Données projet'!$B$140,CT47+CS48-DB47)))</f>
        <v>250.31923076923078</v>
      </c>
      <c r="CU48" s="17">
        <f>CT48*VLOOKUP('Données projet'!$B$13,Paramètres!$A$1:$I$89,3,0)*VLOOKUP('Données projet'!$B$13,Paramètres!$A$1:$I$89,5,0)</f>
        <v>149.69090000000003</v>
      </c>
      <c r="CV48" s="13">
        <f t="shared" si="41"/>
        <v>38.50833310579393</v>
      </c>
      <c r="CW48" s="20">
        <f t="shared" si="13"/>
        <v>327.78033099259113</v>
      </c>
      <c r="CX48" s="59">
        <f t="shared" si="14"/>
        <v>621.11366432592445</v>
      </c>
      <c r="CY48" s="59">
        <f ca="1">AVERAGE(OFFSET($CX$3,0,0,'Données projet'!$E$13+1,1))-AVERAGE(OFFSET($H$3,0,0,'Données projet'!$E$13+1,1))</f>
        <v>182.34243693018033</v>
      </c>
      <c r="CZ48" s="59">
        <f t="shared" si="42"/>
        <v>182.65916563909786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37.968904443218349</v>
      </c>
      <c r="DG48" s="21">
        <f>EXP(-LN(2)/25)*DG47+(1-EXP(-LN(2)/25))/(LN(2)/25)*Calculateur!DB48*Calculateur!DD48*VLOOKUP('Données projet'!$B$13,Paramètres!$A$1:$I$89,3,0)*0.475*44/12</f>
        <v>18.286883553456466</v>
      </c>
      <c r="DH48" s="21">
        <f>EXP(-LN(2)/2)*DH47+(1-EXP(-LN(2)/2))/(LN(2)/2)*DB48*DE48*VLOOKUP('Données projet'!$B$13,Paramètres!$A$1:$I$89,3,0)*0.475*44/12</f>
        <v>4.354990007349488</v>
      </c>
      <c r="DI48" s="22">
        <f t="shared" si="15"/>
        <v>60.610778004024297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7.143429487179489</v>
      </c>
      <c r="DO48" s="12">
        <f>IF('Données projet'!$A$166&gt;35,DO47+DN48-DW47,IF(A48&lt;'Données projet'!$A$166,$DL$205^A48,IF(A48='Données projet'!$A$166,'Données projet'!$B$166,DO47+DN48-DW47)))</f>
        <v>123.84054487179492</v>
      </c>
      <c r="DP48" s="17">
        <f>DO48*VLOOKUP('Données projet'!$B$14,Paramètres!$A$1:$I$89,3,0)*VLOOKUP('Données projet'!$B$14,Paramètres!$A$1:$I$89,5,0)</f>
        <v>117.84666250000005</v>
      </c>
      <c r="DQ48" s="13">
        <f t="shared" si="43"/>
        <v>31.172240633942746</v>
      </c>
      <c r="DR48" s="20">
        <f t="shared" si="16"/>
        <v>259.541256291617</v>
      </c>
      <c r="DS48" s="59">
        <f t="shared" si="17"/>
        <v>552.87458962495032</v>
      </c>
      <c r="DT48" s="59">
        <f ca="1">AVERAGE(OFFSET($DS$3,0,0,'Données projet'!$E$14+1,1))-AVERAGE(OFFSET($H$3,0,0,'Données projet'!$E$14+1,1))</f>
        <v>286.10360882057586</v>
      </c>
      <c r="DU48" s="59">
        <f t="shared" si="44"/>
        <v>109.24531387923128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370.04869744211982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262.42149466677068</v>
      </c>
      <c r="T49" s="59">
        <f t="shared" si="34"/>
        <v>232.7693253699756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15.21153846153846</v>
      </c>
      <c r="AI49" s="13">
        <f>IF('Données projet'!$A$62&gt;35,AI48+AH49-AQ48,IF(A49&lt;'Données projet'!$A$62,$AF$205^A49,IF(A49='Données projet'!$A$62,'Données projet'!$B$62,AI48+AH49-AQ48)))</f>
        <v>397.32307692307688</v>
      </c>
      <c r="AJ49" s="13">
        <f>AI49*VLOOKUP('Données projet'!$B$10,Paramètres!$A$1:$I$89,3,0)*VLOOKUP('Données projet'!$B$10,Paramètres!$A$1:$I$89,5,0)</f>
        <v>237.5992</v>
      </c>
      <c r="AK49" s="13">
        <f t="shared" si="35"/>
        <v>57.922684812819405</v>
      </c>
      <c r="AL49" s="20">
        <f t="shared" si="4"/>
        <v>514.70061604899377</v>
      </c>
      <c r="AM49" s="59">
        <f t="shared" si="5"/>
        <v>808.03394938232714</v>
      </c>
      <c r="AN49" s="59">
        <f ca="1">AVERAGE(OFFSET($AM$3,0,0,'Données projet'!$E$10+1,1))-AVERAGE(OFFSET($H$3,0,0,'Données projet'!$E$10+1,1))</f>
        <v>249.37919739649828</v>
      </c>
      <c r="AO49" s="59">
        <f t="shared" si="36"/>
        <v>315.05045383693073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40.680685848090825</v>
      </c>
      <c r="AV49" s="21">
        <f>EXP(-LN(2)/25)*AV48+(1-EXP(-LN(2)/25))/(LN(2)/25)*Calculateur!AQ49*Calculateur!AS49*VLOOKUP('Données projet'!$B$10,Paramètres!$A$1:$I$89,3,0)*0.475*44/12</f>
        <v>17.828592976576921</v>
      </c>
      <c r="AW49" s="21">
        <f>EXP(-LN(2)/2)*AW48+(1-EXP(-LN(2)/2))/(LN(2)/2)*AQ49*AT49*VLOOKUP('Données projet'!$B$10,Paramètres!$A$1:$I$89,3,0)*0.475*44/12</f>
        <v>1.086435136403493</v>
      </c>
      <c r="AX49" s="21">
        <f t="shared" si="6"/>
        <v>59.59571396107124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</v>
      </c>
      <c r="BD49" s="12">
        <f>IF('Données projet'!$A$88&gt;35,BD48+BC49-BL48,IF(A49&lt;'Données projet'!$A$88,$BA$205^A49,IF(A49='Données projet'!$A$88,'Données projet'!$B$88,BD48+BC49-BL48)))</f>
        <v>149.00000000000003</v>
      </c>
      <c r="BE49" s="13">
        <f>BD49*VLOOKUP('Données projet'!$B$11,Paramètres!$A$1:$I$89,3,0)*VLOOKUP('Données projet'!$B$11,Paramètres!$A$1:$I$89,5,0)</f>
        <v>130.16640000000004</v>
      </c>
      <c r="BF49" s="13">
        <f t="shared" si="37"/>
        <v>34.034806623706302</v>
      </c>
      <c r="BG49" s="20">
        <f t="shared" si="7"/>
        <v>285.98376820295522</v>
      </c>
      <c r="BH49" s="59">
        <f t="shared" si="8"/>
        <v>579.31710153628853</v>
      </c>
      <c r="BI49" s="59">
        <f ca="1">AVERAGE(OFFSET($BH$3,0,0,'Données projet'!$E$11+1,1))-AVERAGE(OFFSET($H$3,0,0,'Données projet'!$E$11+1,1))</f>
        <v>186.80594222554424</v>
      </c>
      <c r="BJ49" s="59">
        <f t="shared" si="38"/>
        <v>179.02867751001872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7.3244729378679425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7.3244729378679425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7.143429487179489</v>
      </c>
      <c r="BY49" s="12">
        <f>IF('Données projet'!$A$114&gt;35,BY48+BX49-CG48,IF(A49&lt;'Données projet'!$A$114,$BV$205^A49,IF(A49='Données projet'!$A$114,'Données projet'!$B$114,BY48+BX49-CG48)))</f>
        <v>130.98397435897442</v>
      </c>
      <c r="BZ49" s="13">
        <f>BY49*VLOOKUP('Données projet'!$B$12,Paramètres!$A$1:$I$89,3,0)*VLOOKUP('Données projet'!$B$12,Paramètres!$A$1:$I$89,5,0)</f>
        <v>118.51430000000005</v>
      </c>
      <c r="CA49" s="13">
        <f t="shared" si="39"/>
        <v>31.328233322607296</v>
      </c>
      <c r="CB49" s="20">
        <f t="shared" si="10"/>
        <v>260.97574553687451</v>
      </c>
      <c r="CC49" s="59">
        <f t="shared" si="11"/>
        <v>554.30907887020783</v>
      </c>
      <c r="CD49" s="59">
        <f ca="1">AVERAGE(OFFSET($CC$3,0,0,'Données projet'!$E$12+1,1))-AVERAGE(OFFSET($H$3,0,0,'Données projet'!$E$12+1,1))</f>
        <v>265.17389489035344</v>
      </c>
      <c r="CE49" s="59">
        <f t="shared" si="40"/>
        <v>101.57852403610769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11.642307692307696</v>
      </c>
      <c r="CT49" s="12">
        <f>IF('Données projet'!$A$140&gt;35,CT48+CS49-DB48,IF(A49&lt;'Données projet'!$A$140,$CQ$205^A49,IF(A49='Données projet'!$A$140,'Données projet'!$B$140,CT48+CS49-DB48)))</f>
        <v>261.96153846153845</v>
      </c>
      <c r="CU49" s="17">
        <f>CT49*VLOOKUP('Données projet'!$B$13,Paramètres!$A$1:$I$89,3,0)*VLOOKUP('Données projet'!$B$13,Paramètres!$A$1:$I$89,5,0)</f>
        <v>156.65300000000002</v>
      </c>
      <c r="CV49" s="13">
        <f t="shared" si="41"/>
        <v>40.0866638793565</v>
      </c>
      <c r="CW49" s="20">
        <f t="shared" si="13"/>
        <v>342.6549145898793</v>
      </c>
      <c r="CX49" s="59">
        <f t="shared" si="14"/>
        <v>635.98824792321261</v>
      </c>
      <c r="CY49" s="59">
        <f ca="1">AVERAGE(OFFSET($CX$3,0,0,'Données projet'!$E$13+1,1))-AVERAGE(OFFSET($H$3,0,0,'Données projet'!$E$13+1,1))</f>
        <v>182.34243693018033</v>
      </c>
      <c r="CZ49" s="59">
        <f t="shared" si="42"/>
        <v>182.65916563909786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37.224357385831809</v>
      </c>
      <c r="DG49" s="21">
        <f>EXP(-LN(2)/25)*DG48+(1-EXP(-LN(2)/25))/(LN(2)/25)*Calculateur!DB49*Calculateur!DD49*VLOOKUP('Données projet'!$B$13,Paramètres!$A$1:$I$89,3,0)*0.475*44/12</f>
        <v>17.786827761021787</v>
      </c>
      <c r="DH49" s="21">
        <f>EXP(-LN(2)/2)*DH48+(1-EXP(-LN(2)/2))/(LN(2)/2)*DB49*DE49*VLOOKUP('Données projet'!$B$13,Paramètres!$A$1:$I$89,3,0)*0.475*44/12</f>
        <v>3.0794429661964755</v>
      </c>
      <c r="DI49" s="22">
        <f t="shared" si="15"/>
        <v>58.090628113050066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7.143429487179489</v>
      </c>
      <c r="DO49" s="12">
        <f>IF('Données projet'!$A$166&gt;35,DO48+DN49-DW48,IF(A49&lt;'Données projet'!$A$166,$DL$205^A49,IF(A49='Données projet'!$A$166,'Données projet'!$B$166,DO48+DN49-DW48)))</f>
        <v>130.98397435897442</v>
      </c>
      <c r="DP49" s="17">
        <f>DO49*VLOOKUP('Données projet'!$B$14,Paramètres!$A$1:$I$89,3,0)*VLOOKUP('Données projet'!$B$14,Paramètres!$A$1:$I$89,5,0)</f>
        <v>124.64435000000006</v>
      </c>
      <c r="DQ49" s="13">
        <f t="shared" si="43"/>
        <v>32.755812141964533</v>
      </c>
      <c r="DR49" s="20">
        <f t="shared" si="16"/>
        <v>274.1386157305883</v>
      </c>
      <c r="DS49" s="59">
        <f t="shared" si="17"/>
        <v>567.47194906392156</v>
      </c>
      <c r="DT49" s="59">
        <f ca="1">AVERAGE(OFFSET($DS$3,0,0,'Données projet'!$E$14+1,1))-AVERAGE(OFFSET($H$3,0,0,'Données projet'!$E$14+1,1))</f>
        <v>286.10360882057586</v>
      </c>
      <c r="DU49" s="59">
        <f t="shared" si="44"/>
        <v>109.24531387923128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371.67050783183868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262.42149466677068</v>
      </c>
      <c r="T50" s="59">
        <f t="shared" si="34"/>
        <v>232.7693253699756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15.21153846153846</v>
      </c>
      <c r="AI50" s="13">
        <f>IF('Données projet'!$A$62&gt;35,AI49+AH50-AQ49,IF(A50&lt;'Données projet'!$A$62,$AF$205^A50,IF(A50='Données projet'!$A$62,'Données projet'!$B$62,AI49+AH50-AQ49)))</f>
        <v>412.53461538461534</v>
      </c>
      <c r="AJ50" s="13">
        <f>AI50*VLOOKUP('Données projet'!$B$10,Paramètres!$A$1:$I$89,3,0)*VLOOKUP('Données projet'!$B$10,Paramètres!$A$1:$I$89,5,0)</f>
        <v>246.69569999999999</v>
      </c>
      <c r="AK50" s="13">
        <f t="shared" si="35"/>
        <v>59.877827754324372</v>
      </c>
      <c r="AL50" s="20">
        <f t="shared" si="4"/>
        <v>533.94889417211482</v>
      </c>
      <c r="AM50" s="59">
        <f t="shared" si="5"/>
        <v>827.28222750544819</v>
      </c>
      <c r="AN50" s="59">
        <f ca="1">AVERAGE(OFFSET($AM$3,0,0,'Données projet'!$E$10+1,1))-AVERAGE(OFFSET($H$3,0,0,'Données projet'!$E$10+1,1))</f>
        <v>249.37919739649828</v>
      </c>
      <c r="AO50" s="59">
        <f t="shared" si="36"/>
        <v>315.05045383693073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39.882962411378074</v>
      </c>
      <c r="AV50" s="21">
        <f>EXP(-LN(2)/25)*AV49+(1-EXP(-LN(2)/25))/(LN(2)/25)*Calculateur!AQ50*Calculateur!AS50*VLOOKUP('Données projet'!$B$10,Paramètres!$A$1:$I$89,3,0)*0.475*44/12</f>
        <v>17.34106916406747</v>
      </c>
      <c r="AW50" s="21">
        <f>EXP(-LN(2)/2)*AW49+(1-EXP(-LN(2)/2))/(LN(2)/2)*AQ50*AT50*VLOOKUP('Données projet'!$B$10,Paramètres!$A$1:$I$89,3,0)*0.475*44/12</f>
        <v>0.76822565227024164</v>
      </c>
      <c r="AX50" s="21">
        <f t="shared" si="6"/>
        <v>57.992257227715783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155.00000000000003</v>
      </c>
      <c r="BE50" s="13">
        <f>BD50*VLOOKUP('Données projet'!$B$11,Paramètres!$A$1:$I$89,3,0)*VLOOKUP('Données projet'!$B$11,Paramètres!$A$1:$I$89,5,0)</f>
        <v>135.40800000000004</v>
      </c>
      <c r="BF50" s="13">
        <f t="shared" si="37"/>
        <v>35.243009677478732</v>
      </c>
      <c r="BG50" s="20">
        <f t="shared" si="7"/>
        <v>297.21717518827558</v>
      </c>
      <c r="BH50" s="59">
        <f t="shared" si="8"/>
        <v>590.55050852160889</v>
      </c>
      <c r="BI50" s="59">
        <f ca="1">AVERAGE(OFFSET($BH$3,0,0,'Données projet'!$E$11+1,1))-AVERAGE(OFFSET($H$3,0,0,'Données projet'!$E$11+1,1))</f>
        <v>186.80594222554424</v>
      </c>
      <c r="BJ50" s="59">
        <f t="shared" si="38"/>
        <v>179.02867751001872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7.1241848402046521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7.1241848402046521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7.143429487179489</v>
      </c>
      <c r="BY50" s="12">
        <f>IF('Données projet'!$A$114&gt;35,BY49+BX50-CG49,IF(A50&lt;'Données projet'!$A$114,$BV$205^A50,IF(A50='Données projet'!$A$114,'Données projet'!$B$114,BY49+BX50-CG49)))</f>
        <v>138.12740384615392</v>
      </c>
      <c r="BZ50" s="13">
        <f>BY50*VLOOKUP('Données projet'!$B$12,Paramètres!$A$1:$I$89,3,0)*VLOOKUP('Données projet'!$B$12,Paramètres!$A$1:$I$89,5,0)</f>
        <v>124.97767500000008</v>
      </c>
      <c r="CA50" s="13">
        <f t="shared" si="39"/>
        <v>32.833199823952825</v>
      </c>
      <c r="CB50" s="20">
        <f t="shared" si="10"/>
        <v>274.85394031838462</v>
      </c>
      <c r="CC50" s="59">
        <f t="shared" si="11"/>
        <v>568.18727365171799</v>
      </c>
      <c r="CD50" s="59">
        <f ca="1">AVERAGE(OFFSET($CC$3,0,0,'Données projet'!$E$12+1,1))-AVERAGE(OFFSET($H$3,0,0,'Données projet'!$E$12+1,1))</f>
        <v>265.17389489035344</v>
      </c>
      <c r="CE50" s="59">
        <f t="shared" si="40"/>
        <v>101.57852403610769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11.642307692307696</v>
      </c>
      <c r="CT50" s="12">
        <f>IF('Données projet'!$A$140&gt;35,CT49+CS50-DB49,IF(A50&lt;'Données projet'!$A$140,$CQ$205^A50,IF(A50='Données projet'!$A$140,'Données projet'!$B$140,CT49+CS50-DB49)))</f>
        <v>273.60384615384612</v>
      </c>
      <c r="CU50" s="17">
        <f>CT50*VLOOKUP('Données projet'!$B$13,Paramètres!$A$1:$I$89,3,0)*VLOOKUP('Données projet'!$B$13,Paramètres!$A$1:$I$89,5,0)</f>
        <v>163.61509999999998</v>
      </c>
      <c r="CV50" s="13">
        <f t="shared" si="41"/>
        <v>41.656847972292042</v>
      </c>
      <c r="CW50" s="20">
        <f t="shared" si="13"/>
        <v>357.51530938507523</v>
      </c>
      <c r="CX50" s="59">
        <f t="shared" si="14"/>
        <v>650.84864271840854</v>
      </c>
      <c r="CY50" s="59">
        <f ca="1">AVERAGE(OFFSET($CX$3,0,0,'Données projet'!$E$13+1,1))-AVERAGE(OFFSET($H$3,0,0,'Données projet'!$E$13+1,1))</f>
        <v>182.34243693018033</v>
      </c>
      <c r="CZ50" s="59">
        <f t="shared" si="42"/>
        <v>182.65916563909786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36.494410442111757</v>
      </c>
      <c r="DG50" s="21">
        <f>EXP(-LN(2)/25)*DG49+(1-EXP(-LN(2)/25))/(LN(2)/25)*Calculateur!DB50*Calculateur!DD50*VLOOKUP('Données projet'!$B$13,Paramètres!$A$1:$I$89,3,0)*0.475*44/12</f>
        <v>17.300446020528025</v>
      </c>
      <c r="DH50" s="21">
        <f>EXP(-LN(2)/2)*DH49+(1-EXP(-LN(2)/2))/(LN(2)/2)*DB50*DE50*VLOOKUP('Données projet'!$B$13,Paramètres!$A$1:$I$89,3,0)*0.475*44/12</f>
        <v>2.177495003674744</v>
      </c>
      <c r="DI50" s="22">
        <f t="shared" si="15"/>
        <v>55.972351466314528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7.143429487179489</v>
      </c>
      <c r="DO50" s="12">
        <f>IF('Données projet'!$A$166&gt;35,DO49+DN50-DW49,IF(A50&lt;'Données projet'!$A$166,$DL$205^A50,IF(A50='Données projet'!$A$166,'Données projet'!$B$166,DO49+DN50-DW49)))</f>
        <v>138.12740384615392</v>
      </c>
      <c r="DP50" s="17">
        <f>DO50*VLOOKUP('Données projet'!$B$14,Paramètres!$A$1:$I$89,3,0)*VLOOKUP('Données projet'!$B$14,Paramètres!$A$1:$I$89,5,0)</f>
        <v>131.44203750000008</v>
      </c>
      <c r="DQ50" s="13">
        <f t="shared" si="43"/>
        <v>34.329357623779174</v>
      </c>
      <c r="DR50" s="20">
        <f t="shared" si="16"/>
        <v>288.71851317391554</v>
      </c>
      <c r="DS50" s="59">
        <f t="shared" si="17"/>
        <v>582.05184650724891</v>
      </c>
      <c r="DT50" s="59">
        <f ca="1">AVERAGE(OFFSET($DS$3,0,0,'Données projet'!$E$14+1,1))-AVERAGE(OFFSET($H$3,0,0,'Données projet'!$E$14+1,1))</f>
        <v>286.10360882057586</v>
      </c>
      <c r="DU50" s="59">
        <f t="shared" si="44"/>
        <v>109.24531387923128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373.29146522943171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262.42149466677068</v>
      </c>
      <c r="T51" s="59">
        <f t="shared" si="34"/>
        <v>232.7693253699756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427.74615384615385</v>
      </c>
      <c r="AG51" s="12">
        <f>VLOOKUP(A51,'Données projet'!$A$61:$I$81,9,0)</f>
        <v>15.21153846153846</v>
      </c>
      <c r="AH51" s="12">
        <f t="array" ref="AH51">INDEX(AG:AG,MIN(IF(ISNUMBER(AG51:AG247),ROW(AG51:AG247),"")))</f>
        <v>15.21153846153846</v>
      </c>
      <c r="AI51" s="13">
        <f>IF('Données projet'!$A$62&gt;35,AI50+AH51-AQ50,IF(A51&lt;'Données projet'!$A$62,$AF$205^A51,IF(A51='Données projet'!$A$62,'Données projet'!$B$62,AI50+AH51-AQ50)))</f>
        <v>427.74615384615379</v>
      </c>
      <c r="AJ51" s="13">
        <f>AI51*VLOOKUP('Données projet'!$B$10,Paramètres!$A$1:$I$89,3,0)*VLOOKUP('Données projet'!$B$10,Paramètres!$A$1:$I$89,5,0)</f>
        <v>255.79219999999998</v>
      </c>
      <c r="AK51" s="13">
        <f t="shared" si="35"/>
        <v>61.824595084245523</v>
      </c>
      <c r="AL51" s="20">
        <f t="shared" si="4"/>
        <v>553.18258477172765</v>
      </c>
      <c r="AM51" s="59">
        <f t="shared" si="5"/>
        <v>846.51591810506102</v>
      </c>
      <c r="AN51" s="59">
        <f ca="1">AVERAGE(OFFSET($AM$3,0,0,'Données projet'!$E$10+1,1))-AVERAGE(OFFSET($H$3,0,0,'Données projet'!$E$10+1,1))</f>
        <v>249.37919739649828</v>
      </c>
      <c r="AO51" s="59">
        <f t="shared" si="36"/>
        <v>315.05045383693073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83.969230769230762</v>
      </c>
      <c r="AR51" s="16">
        <f>IF(ISNA(VLOOKUP(A51,'Données projet'!$A$61:$I$81,5,0)),0%,VLOOKUP(A51,'Données projet'!$A$61:$I$81,5,0)*VLOOKUP('Données projet'!$B$10,Paramètres!$A$1:$I$89,7,0))</f>
        <v>0.315</v>
      </c>
      <c r="AS51" s="16">
        <f>IF(ISNA(VLOOKUP(A51,'Données projet'!$A$61:$I$81,6,0)),0%,VLOOKUP(A51,'Données projet'!$A$61:$I$81,6,0)*VLOOKUP('Données projet'!$B$10,Paramètres!$A$1:$I$89,7,0))</f>
        <v>7.5600000000000001E-2</v>
      </c>
      <c r="AT51" s="16">
        <f>IF(ISNA(VLOOKUP(A51,'Données projet'!$A$61:$I$81,7,0)),0%,VLOOKUP(A51,'Données projet'!$A$61:$I$81,7,0))</f>
        <v>0.13200000000000001</v>
      </c>
      <c r="AU51" s="21">
        <f>EXP(-LN(2)/35)*AU50+(1-EXP(-LN(2)/35))/(LN(2)/35)*AQ51*AR51*VLOOKUP('Données projet'!$B$10,Paramètres!$A$1:$I$89,3,0)*0.475*44/12</f>
        <v>60.083528580688551</v>
      </c>
      <c r="AV51" s="21">
        <f>EXP(-LN(2)/25)*AV50+(1-EXP(-LN(2)/25))/(LN(2)/25)*Calculateur!AQ51*Calculateur!AS51*VLOOKUP('Données projet'!$B$10,Paramètres!$A$1:$I$89,3,0)*0.475*44/12</f>
        <v>21.882883930435508</v>
      </c>
      <c r="AW51" s="21">
        <f>EXP(-LN(2)/2)*AW50+(1-EXP(-LN(2)/2))/(LN(2)/2)*AQ51*AT51*VLOOKUP('Données projet'!$B$10,Paramètres!$A$1:$I$89,3,0)*0.475*44/12</f>
        <v>8.0478742479516399</v>
      </c>
      <c r="AX51" s="21">
        <f t="shared" si="6"/>
        <v>90.014286759075702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161.00000000000003</v>
      </c>
      <c r="BE51" s="13">
        <f>BD51*VLOOKUP('Données projet'!$B$11,Paramètres!$A$1:$I$89,3,0)*VLOOKUP('Données projet'!$B$11,Paramètres!$A$1:$I$89,5,0)</f>
        <v>140.64960000000005</v>
      </c>
      <c r="BF51" s="13">
        <f t="shared" si="37"/>
        <v>36.445779615258637</v>
      </c>
      <c r="BG51" s="20">
        <f t="shared" si="7"/>
        <v>308.44111949657554</v>
      </c>
      <c r="BH51" s="59">
        <f t="shared" si="8"/>
        <v>601.7744528299088</v>
      </c>
      <c r="BI51" s="59">
        <f ca="1">AVERAGE(OFFSET($BH$3,0,0,'Données projet'!$E$11+1,1))-AVERAGE(OFFSET($H$3,0,0,'Données projet'!$E$11+1,1))</f>
        <v>186.80594222554424</v>
      </c>
      <c r="BJ51" s="59">
        <f t="shared" si="38"/>
        <v>179.02867751001872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6.9293736311046574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6.9293736311046574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7.143429487179489</v>
      </c>
      <c r="BY51" s="12">
        <f>IF('Données projet'!$A$114&gt;35,BY50+BX51-CG50,IF(A51&lt;'Données projet'!$A$114,$BV$205^A51,IF(A51='Données projet'!$A$114,'Données projet'!$B$114,BY50+BX51-CG50)))</f>
        <v>145.27083333333343</v>
      </c>
      <c r="BZ51" s="13">
        <f>BY51*VLOOKUP('Données projet'!$B$12,Paramètres!$A$1:$I$89,3,0)*VLOOKUP('Données projet'!$B$12,Paramètres!$A$1:$I$89,5,0)</f>
        <v>131.44105000000008</v>
      </c>
      <c r="CA51" s="13">
        <f t="shared" si="39"/>
        <v>34.329129734237071</v>
      </c>
      <c r="CB51" s="20">
        <f t="shared" si="10"/>
        <v>288.71639637046309</v>
      </c>
      <c r="CC51" s="59">
        <f t="shared" si="11"/>
        <v>582.0497297037964</v>
      </c>
      <c r="CD51" s="59">
        <f ca="1">AVERAGE(OFFSET($CC$3,0,0,'Données projet'!$E$12+1,1))-AVERAGE(OFFSET($H$3,0,0,'Données projet'!$E$12+1,1))</f>
        <v>265.17389489035344</v>
      </c>
      <c r="CE51" s="59">
        <f t="shared" si="40"/>
        <v>101.57852403610769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11.642307692307696</v>
      </c>
      <c r="CT51" s="12">
        <f>IF('Données projet'!$A$140&gt;35,CT50+CS51-DB50,IF(A51&lt;'Données projet'!$A$140,$CQ$205^A51,IF(A51='Données projet'!$A$140,'Données projet'!$B$140,CT50+CS51-DB50)))</f>
        <v>285.24615384615379</v>
      </c>
      <c r="CU51" s="17">
        <f>CT51*VLOOKUP('Données projet'!$B$13,Paramètres!$A$1:$I$89,3,0)*VLOOKUP('Données projet'!$B$13,Paramètres!$A$1:$I$89,5,0)</f>
        <v>170.5772</v>
      </c>
      <c r="CV51" s="13">
        <f t="shared" si="41"/>
        <v>43.219271671345155</v>
      </c>
      <c r="CW51" s="20">
        <f t="shared" si="13"/>
        <v>372.36218816092611</v>
      </c>
      <c r="CX51" s="59">
        <f t="shared" si="14"/>
        <v>665.69552149425942</v>
      </c>
      <c r="CY51" s="59">
        <f ca="1">AVERAGE(OFFSET($CX$3,0,0,'Données projet'!$E$13+1,1))-AVERAGE(OFFSET($H$3,0,0,'Données projet'!$E$13+1,1))</f>
        <v>182.34243693018033</v>
      </c>
      <c r="CZ51" s="59">
        <f t="shared" si="42"/>
        <v>182.65916563909786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35.778777312734384</v>
      </c>
      <c r="DG51" s="21">
        <f>EXP(-LN(2)/25)*DG50+(1-EXP(-LN(2)/25))/(LN(2)/25)*Calculateur!DB51*Calculateur!DD51*VLOOKUP('Données projet'!$B$13,Paramètres!$A$1:$I$89,3,0)*0.475*44/12</f>
        <v>16.827364414305769</v>
      </c>
      <c r="DH51" s="21">
        <f>EXP(-LN(2)/2)*DH50+(1-EXP(-LN(2)/2))/(LN(2)/2)*DB51*DE51*VLOOKUP('Données projet'!$B$13,Paramètres!$A$1:$I$89,3,0)*0.475*44/12</f>
        <v>1.5397214830982378</v>
      </c>
      <c r="DI51" s="22">
        <f t="shared" si="15"/>
        <v>54.145863210138394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7.143429487179489</v>
      </c>
      <c r="DO51" s="12">
        <f>IF('Données projet'!$A$166&gt;35,DO50+DN51-DW50,IF(A51&lt;'Données projet'!$A$166,$DL$205^A51,IF(A51='Données projet'!$A$166,'Données projet'!$B$166,DO50+DN51-DW50)))</f>
        <v>145.27083333333343</v>
      </c>
      <c r="DP51" s="17">
        <f>DO51*VLOOKUP('Données projet'!$B$14,Paramètres!$A$1:$I$89,3,0)*VLOOKUP('Données projet'!$B$14,Paramètres!$A$1:$I$89,5,0)</f>
        <v>138.23972500000008</v>
      </c>
      <c r="DQ51" s="13">
        <f t="shared" si="43"/>
        <v>35.893454731146463</v>
      </c>
      <c r="DR51" s="20">
        <f t="shared" si="16"/>
        <v>303.28195469841353</v>
      </c>
      <c r="DS51" s="59">
        <f t="shared" si="17"/>
        <v>596.61528803174679</v>
      </c>
      <c r="DT51" s="59">
        <f ca="1">AVERAGE(OFFSET($DS$3,0,0,'Données projet'!$E$14+1,1))-AVERAGE(OFFSET($H$3,0,0,'Données projet'!$E$14+1,1))</f>
        <v>286.10360882057586</v>
      </c>
      <c r="DU51" s="59">
        <f t="shared" si="44"/>
        <v>109.24531387923128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374.9115894529329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262.42149466677068</v>
      </c>
      <c r="T52" s="59">
        <f t="shared" si="34"/>
        <v>232.7693253699756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12.837499999999991</v>
      </c>
      <c r="AI52" s="13">
        <f>IF('Données projet'!$A$62&gt;35,AI51+AH52-AQ51,IF(A52&lt;'Données projet'!$A$62,$AF$205^A52,IF(A52='Données projet'!$A$62,'Données projet'!$B$62,AI51+AH52-AQ51)))</f>
        <v>356.614423076923</v>
      </c>
      <c r="AJ52" s="13">
        <f>AI52*VLOOKUP('Données projet'!$B$10,Paramètres!$A$1:$I$89,3,0)*VLOOKUP('Données projet'!$B$10,Paramètres!$A$1:$I$89,5,0)</f>
        <v>213.25542499999997</v>
      </c>
      <c r="AK52" s="13">
        <f t="shared" si="35"/>
        <v>52.646339807871037</v>
      </c>
      <c r="AL52" s="20">
        <f t="shared" si="4"/>
        <v>463.11224037370863</v>
      </c>
      <c r="AM52" s="59">
        <f t="shared" si="5"/>
        <v>756.44557370704194</v>
      </c>
      <c r="AN52" s="59">
        <f ca="1">AVERAGE(OFFSET($AM$3,0,0,'Données projet'!$E$10+1,1))-AVERAGE(OFFSET($H$3,0,0,'Données projet'!$E$10+1,1))</f>
        <v>249.37919739649828</v>
      </c>
      <c r="AO52" s="59">
        <f t="shared" si="36"/>
        <v>315.05045383693073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58.905327232555059</v>
      </c>
      <c r="AV52" s="21">
        <f>EXP(-LN(2)/25)*AV51+(1-EXP(-LN(2)/25))/(LN(2)/25)*Calculateur!AQ52*Calculateur!AS52*VLOOKUP('Données projet'!$B$10,Paramètres!$A$1:$I$89,3,0)*0.475*44/12</f>
        <v>21.284495318586895</v>
      </c>
      <c r="AW52" s="21">
        <f>EXP(-LN(2)/2)*AW51+(1-EXP(-LN(2)/2))/(LN(2)/2)*AQ52*AT52*VLOOKUP('Données projet'!$B$10,Paramètres!$A$1:$I$89,3,0)*0.475*44/12</f>
        <v>5.6907064548631912</v>
      </c>
      <c r="AX52" s="21">
        <f t="shared" si="6"/>
        <v>85.880529006005148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167.00000000000003</v>
      </c>
      <c r="BE52" s="13">
        <f>BD52*VLOOKUP('Données projet'!$B$11,Paramètres!$A$1:$I$89,3,0)*VLOOKUP('Données projet'!$B$11,Paramètres!$A$1:$I$89,5,0)</f>
        <v>145.89120000000005</v>
      </c>
      <c r="BF52" s="13">
        <f t="shared" si="37"/>
        <v>37.643342098399685</v>
      </c>
      <c r="BG52" s="20">
        <f t="shared" si="7"/>
        <v>319.65599415471291</v>
      </c>
      <c r="BH52" s="59">
        <f t="shared" si="8"/>
        <v>612.98932748804623</v>
      </c>
      <c r="BI52" s="59">
        <f ca="1">AVERAGE(OFFSET($BH$3,0,0,'Données projet'!$E$11+1,1))-AVERAGE(OFFSET($H$3,0,0,'Données projet'!$E$11+1,1))</f>
        <v>186.80594222554424</v>
      </c>
      <c r="BJ52" s="59">
        <f t="shared" si="38"/>
        <v>179.02867751001872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6.7398895447621783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6.7398895447621783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7.143429487179489</v>
      </c>
      <c r="BY52" s="12">
        <f>IF('Données projet'!$A$114&gt;35,BY51+BX52-CG51,IF(A52&lt;'Données projet'!$A$114,$BV$205^A52,IF(A52='Données projet'!$A$114,'Données projet'!$B$114,BY51+BX52-CG51)))</f>
        <v>152.41426282051293</v>
      </c>
      <c r="BZ52" s="13">
        <f>BY52*VLOOKUP('Données projet'!$B$12,Paramètres!$A$1:$I$89,3,0)*VLOOKUP('Données projet'!$B$12,Paramètres!$A$1:$I$89,5,0)</f>
        <v>137.90442500000009</v>
      </c>
      <c r="CA52" s="13">
        <f t="shared" si="39"/>
        <v>35.816518126136359</v>
      </c>
      <c r="CB52" s="20">
        <f t="shared" si="10"/>
        <v>302.56397594468757</v>
      </c>
      <c r="CC52" s="59">
        <f t="shared" si="11"/>
        <v>595.89730927802088</v>
      </c>
      <c r="CD52" s="59">
        <f ca="1">AVERAGE(OFFSET($CC$3,0,0,'Données projet'!$E$12+1,1))-AVERAGE(OFFSET($H$3,0,0,'Données projet'!$E$12+1,1))</f>
        <v>265.17389489035344</v>
      </c>
      <c r="CE52" s="59">
        <f t="shared" si="40"/>
        <v>101.57852403610769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11.642307692307696</v>
      </c>
      <c r="CT52" s="12">
        <f>IF('Données projet'!$A$140&gt;35,CT51+CS52-DB51,IF(A52&lt;'Données projet'!$A$140,$CQ$205^A52,IF(A52='Données projet'!$A$140,'Données projet'!$B$140,CT51+CS52-DB51)))</f>
        <v>296.88846153846146</v>
      </c>
      <c r="CU52" s="17">
        <f>CT52*VLOOKUP('Données projet'!$B$13,Paramètres!$A$1:$I$89,3,0)*VLOOKUP('Données projet'!$B$13,Paramètres!$A$1:$I$89,5,0)</f>
        <v>177.53929999999997</v>
      </c>
      <c r="CV52" s="13">
        <f t="shared" si="41"/>
        <v>44.77428794630201</v>
      </c>
      <c r="CW52" s="20">
        <f t="shared" si="13"/>
        <v>387.19616567314262</v>
      </c>
      <c r="CX52" s="59">
        <f t="shared" si="14"/>
        <v>680.52949900647593</v>
      </c>
      <c r="CY52" s="59">
        <f ca="1">AVERAGE(OFFSET($CX$3,0,0,'Données projet'!$E$13+1,1))-AVERAGE(OFFSET($H$3,0,0,'Données projet'!$E$13+1,1))</f>
        <v>182.34243693018033</v>
      </c>
      <c r="CZ52" s="59">
        <f t="shared" si="42"/>
        <v>182.65916563909786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35.077177312530992</v>
      </c>
      <c r="DG52" s="21">
        <f>EXP(-LN(2)/25)*DG51+(1-EXP(-LN(2)/25))/(LN(2)/25)*Calculateur!DB52*Calculateur!DD52*VLOOKUP('Données projet'!$B$13,Paramètres!$A$1:$I$89,3,0)*0.475*44/12</f>
        <v>16.367219249483941</v>
      </c>
      <c r="DH52" s="21">
        <f>EXP(-LN(2)/2)*DH51+(1-EXP(-LN(2)/2))/(LN(2)/2)*DB52*DE52*VLOOKUP('Données projet'!$B$13,Paramètres!$A$1:$I$89,3,0)*0.475*44/12</f>
        <v>1.088747501837372</v>
      </c>
      <c r="DI52" s="22">
        <f t="shared" si="15"/>
        <v>52.533144063852305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7.143429487179489</v>
      </c>
      <c r="DO52" s="12">
        <f>IF('Données projet'!$A$166&gt;35,DO51+DN52-DW51,IF(A52&lt;'Données projet'!$A$166,$DL$205^A52,IF(A52='Données projet'!$A$166,'Données projet'!$B$166,DO51+DN52-DW51)))</f>
        <v>152.41426282051293</v>
      </c>
      <c r="DP52" s="17">
        <f>DO52*VLOOKUP('Données projet'!$B$14,Paramètres!$A$1:$I$89,3,0)*VLOOKUP('Données projet'!$B$14,Paramètres!$A$1:$I$89,5,0)</f>
        <v>145.0374125000001</v>
      </c>
      <c r="DQ52" s="13">
        <f t="shared" si="43"/>
        <v>37.448621096433804</v>
      </c>
      <c r="DR52" s="20">
        <f t="shared" si="16"/>
        <v>317.8298418471224</v>
      </c>
      <c r="DS52" s="59">
        <f t="shared" si="17"/>
        <v>611.16317518045571</v>
      </c>
      <c r="DT52" s="59">
        <f ca="1">AVERAGE(OFFSET($DS$3,0,0,'Données projet'!$E$14+1,1))-AVERAGE(OFFSET($H$3,0,0,'Données projet'!$E$14+1,1))</f>
        <v>286.10360882057586</v>
      </c>
      <c r="DU52" s="59">
        <f t="shared" si="44"/>
        <v>109.24531387923128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376.53089946523693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262.42149466677068</v>
      </c>
      <c r="T53" s="59">
        <f t="shared" si="34"/>
        <v>232.7693253699756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12.837499999999991</v>
      </c>
      <c r="AI53" s="13">
        <f>IF('Données projet'!$A$62&gt;35,AI52+AH53-AQ52,IF(A53&lt;'Données projet'!$A$62,$AF$205^A53,IF(A53='Données projet'!$A$62,'Données projet'!$B$62,AI52+AH53-AQ52)))</f>
        <v>369.45192307692298</v>
      </c>
      <c r="AJ53" s="13">
        <f>AI53*VLOOKUP('Données projet'!$B$10,Paramètres!$A$1:$I$89,3,0)*VLOOKUP('Données projet'!$B$10,Paramètres!$A$1:$I$89,5,0)</f>
        <v>220.93224999999995</v>
      </c>
      <c r="AK53" s="13">
        <f t="shared" si="35"/>
        <v>54.31745576001893</v>
      </c>
      <c r="AL53" s="20">
        <f t="shared" si="4"/>
        <v>479.3932375320328</v>
      </c>
      <c r="AM53" s="59">
        <f t="shared" si="5"/>
        <v>772.72657086536606</v>
      </c>
      <c r="AN53" s="59">
        <f ca="1">AVERAGE(OFFSET($AM$3,0,0,'Données projet'!$E$10+1,1))-AVERAGE(OFFSET($H$3,0,0,'Données projet'!$E$10+1,1))</f>
        <v>249.37919739649828</v>
      </c>
      <c r="AO53" s="59">
        <f t="shared" si="36"/>
        <v>315.05045383693073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57.750229694226604</v>
      </c>
      <c r="AV53" s="21">
        <f>EXP(-LN(2)/25)*AV52+(1-EXP(-LN(2)/25))/(LN(2)/25)*Calculateur!AQ53*Calculateur!AS53*VLOOKUP('Données projet'!$B$10,Paramètres!$A$1:$I$89,3,0)*0.475*44/12</f>
        <v>20.702469674797175</v>
      </c>
      <c r="AW53" s="21">
        <f>EXP(-LN(2)/2)*AW52+(1-EXP(-LN(2)/2))/(LN(2)/2)*AQ53*AT53*VLOOKUP('Données projet'!$B$10,Paramètres!$A$1:$I$89,3,0)*0.475*44/12</f>
        <v>4.0239371239758199</v>
      </c>
      <c r="AX53" s="21">
        <f t="shared" si="6"/>
        <v>82.476636492999603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173</v>
      </c>
      <c r="BB53" s="12">
        <f>VLOOKUP(A53,'Données projet'!$A$87:$I$107,9,0)</f>
        <v>6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173.00000000000003</v>
      </c>
      <c r="BE53" s="13">
        <f>BD53*VLOOKUP('Données projet'!$B$11,Paramètres!$A$1:$I$89,3,0)*VLOOKUP('Données projet'!$B$11,Paramètres!$A$1:$I$89,5,0)</f>
        <v>151.13280000000003</v>
      </c>
      <c r="BF53" s="13">
        <f t="shared" si="37"/>
        <v>38.835905653934425</v>
      </c>
      <c r="BG53" s="20">
        <f t="shared" si="7"/>
        <v>330.86216234726913</v>
      </c>
      <c r="BH53" s="59">
        <f t="shared" si="8"/>
        <v>624.19549568060245</v>
      </c>
      <c r="BI53" s="59">
        <f ca="1">AVERAGE(OFFSET($BH$3,0,0,'Données projet'!$E$11+1,1))-AVERAGE(OFFSET($H$3,0,0,'Données projet'!$E$11+1,1))</f>
        <v>186.80594222554424</v>
      </c>
      <c r="BJ53" s="59">
        <f t="shared" si="38"/>
        <v>179.02867751001872</v>
      </c>
      <c r="BK53" s="15">
        <f>IF(ISNA(VLOOKUP(A53,'Données projet'!$A$87:$I$107,3,0)),0,VLOOKUP(A53,'Données projet'!$A$87:$I$107,3,0))</f>
        <v>7</v>
      </c>
      <c r="BL53" s="15" t="str">
        <f>IF(ISNA(VLOOKUP(A53,'Données projet'!$A$87:$I$107,4,0)),0,VLOOKUP(A53,'Données projet'!$A$87:$I$107,4,0))</f>
        <v>18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10.278280939107942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10.278280939107942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159.55769230769232</v>
      </c>
      <c r="BW53" s="12">
        <f>VLOOKUP(A53,'Données projet'!$A$113:$I$133,9,0)</f>
        <v>7.143429487179489</v>
      </c>
      <c r="BX53" s="12">
        <f t="array" ref="BX53">INDEX(BW:BW,MIN(IF(ISNUMBER(BW53:BW249),ROW(BW53:BW249),"")))</f>
        <v>7.143429487179489</v>
      </c>
      <c r="BY53" s="12">
        <f>IF('Données projet'!$A$114&gt;35,BY52+BX53-CG52,IF(A53&lt;'Données projet'!$A$114,$BV$205^A53,IF(A53='Données projet'!$A$114,'Données projet'!$B$114,BY52+BX53-CG52)))</f>
        <v>159.55769230769243</v>
      </c>
      <c r="BZ53" s="13">
        <f>BY53*VLOOKUP('Données projet'!$B$12,Paramètres!$A$1:$I$89,3,0)*VLOOKUP('Données projet'!$B$12,Paramètres!$A$1:$I$89,5,0)</f>
        <v>144.3678000000001</v>
      </c>
      <c r="CA53" s="13">
        <f t="shared" si="39"/>
        <v>37.295811043150216</v>
      </c>
      <c r="CB53" s="20">
        <f t="shared" si="10"/>
        <v>316.39745590015349</v>
      </c>
      <c r="CC53" s="59">
        <f t="shared" si="11"/>
        <v>609.7307892334868</v>
      </c>
      <c r="CD53" s="59">
        <f ca="1">AVERAGE(OFFSET($CC$3,0,0,'Données projet'!$E$12+1,1))-AVERAGE(OFFSET($H$3,0,0,'Données projet'!$E$12+1,1))</f>
        <v>265.17389489035344</v>
      </c>
      <c r="CE53" s="59">
        <f t="shared" si="40"/>
        <v>101.57852403610769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29.416666666666664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11.642307692307696</v>
      </c>
      <c r="CT53" s="12">
        <f>IF('Données projet'!$A$140&gt;35,CT52+CS53-DB52,IF(A53&lt;'Données projet'!$A$140,$CQ$205^A53,IF(A53='Données projet'!$A$140,'Données projet'!$B$140,CT52+CS53-DB52)))</f>
        <v>308.53076923076912</v>
      </c>
      <c r="CU53" s="17">
        <f>CT53*VLOOKUP('Données projet'!$B$13,Paramètres!$A$1:$I$89,3,0)*VLOOKUP('Données projet'!$B$13,Paramètres!$A$1:$I$89,5,0)</f>
        <v>184.50139999999996</v>
      </c>
      <c r="CV53" s="13">
        <f t="shared" si="41"/>
        <v>46.322220516606542</v>
      </c>
      <c r="CW53" s="20">
        <f t="shared" si="13"/>
        <v>402.01780573308969</v>
      </c>
      <c r="CX53" s="59">
        <f t="shared" si="14"/>
        <v>695.351139066423</v>
      </c>
      <c r="CY53" s="59">
        <f ca="1">AVERAGE(OFFSET($CX$3,0,0,'Données projet'!$E$13+1,1))-AVERAGE(OFFSET($H$3,0,0,'Données projet'!$E$13+1,1))</f>
        <v>182.34243693018033</v>
      </c>
      <c r="CZ53" s="59">
        <f t="shared" si="42"/>
        <v>182.65916563909786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34.389335260397843</v>
      </c>
      <c r="DG53" s="21">
        <f>EXP(-LN(2)/25)*DG52+(1-EXP(-LN(2)/25))/(LN(2)/25)*Calculateur!DB53*Calculateur!DD53*VLOOKUP('Données projet'!$B$13,Paramètres!$A$1:$I$89,3,0)*0.475*44/12</f>
        <v>15.919656778392151</v>
      </c>
      <c r="DH53" s="21">
        <f>EXP(-LN(2)/2)*DH52+(1-EXP(-LN(2)/2))/(LN(2)/2)*DB53*DE53*VLOOKUP('Données projet'!$B$13,Paramètres!$A$1:$I$89,3,0)*0.475*44/12</f>
        <v>0.76986074154911888</v>
      </c>
      <c r="DI53" s="22">
        <f t="shared" si="15"/>
        <v>51.078852780339112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159.55769230769232</v>
      </c>
      <c r="DM53" s="12">
        <f>VLOOKUP(A53,'Données projet'!$A$165:$I$185,9,0)</f>
        <v>7.143429487179489</v>
      </c>
      <c r="DN53" s="12">
        <f t="array" ref="DN53">INDEX(DM:DM,MIN(IF(ISNUMBER(DM53:DM249),ROW(DM53:DM249),"")))</f>
        <v>7.143429487179489</v>
      </c>
      <c r="DO53" s="12">
        <f>IF('Données projet'!$A$166&gt;35,DO52+DN53-DW52,IF(A53&lt;'Données projet'!$A$166,$DL$205^A53,IF(A53='Données projet'!$A$166,'Données projet'!$B$166,DO52+DN53-DW52)))</f>
        <v>159.55769230769243</v>
      </c>
      <c r="DP53" s="17">
        <f>DO53*VLOOKUP('Données projet'!$B$14,Paramètres!$A$1:$I$89,3,0)*VLOOKUP('Données projet'!$B$14,Paramètres!$A$1:$I$89,5,0)</f>
        <v>151.83510000000012</v>
      </c>
      <c r="DQ53" s="13">
        <f t="shared" si="43"/>
        <v>38.995323088648504</v>
      </c>
      <c r="DR53" s="20">
        <f t="shared" si="16"/>
        <v>332.36298687939632</v>
      </c>
      <c r="DS53" s="59">
        <f t="shared" si="17"/>
        <v>625.69632021272969</v>
      </c>
      <c r="DT53" s="59">
        <f ca="1">AVERAGE(OFFSET($DS$3,0,0,'Données projet'!$E$14+1,1))-AVERAGE(OFFSET($H$3,0,0,'Données projet'!$E$14+1,1))</f>
        <v>286.10360882057586</v>
      </c>
      <c r="DU53" s="59">
        <f t="shared" si="44"/>
        <v>109.24531387923128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29.416666666666664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378.14941342735011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262.42149466677068</v>
      </c>
      <c r="T54" s="59">
        <f t="shared" si="34"/>
        <v>232.7693253699756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12.837499999999991</v>
      </c>
      <c r="AI54" s="13">
        <f>IF('Données projet'!$A$62&gt;35,AI53+AH54-AQ53,IF(A54&lt;'Données projet'!$A$62,$AF$205^A54,IF(A54='Données projet'!$A$62,'Données projet'!$B$62,AI53+AH54-AQ53)))</f>
        <v>382.28942307692296</v>
      </c>
      <c r="AJ54" s="13">
        <f>AI54*VLOOKUP('Données projet'!$B$10,Paramètres!$A$1:$I$89,3,0)*VLOOKUP('Données projet'!$B$10,Paramètres!$A$1:$I$89,5,0)</f>
        <v>228.60907499999993</v>
      </c>
      <c r="AK54" s="13">
        <f t="shared" si="35"/>
        <v>55.981824933821947</v>
      </c>
      <c r="AL54" s="20">
        <f t="shared" si="4"/>
        <v>495.66248405140641</v>
      </c>
      <c r="AM54" s="59">
        <f t="shared" si="5"/>
        <v>788.99581738473967</v>
      </c>
      <c r="AN54" s="59">
        <f ca="1">AVERAGE(OFFSET($AM$3,0,0,'Données projet'!$E$10+1,1))-AVERAGE(OFFSET($H$3,0,0,'Données projet'!$E$10+1,1))</f>
        <v>249.37919739649828</v>
      </c>
      <c r="AO54" s="59">
        <f t="shared" si="36"/>
        <v>315.05045383693073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56.617782914084835</v>
      </c>
      <c r="AV54" s="21">
        <f>EXP(-LN(2)/25)*AV53+(1-EXP(-LN(2)/25))/(LN(2)/25)*Calculateur!AQ54*Calculateur!AS54*VLOOKUP('Données projet'!$B$10,Paramètres!$A$1:$I$89,3,0)*0.475*44/12</f>
        <v>20.136359552844283</v>
      </c>
      <c r="AW54" s="21">
        <f>EXP(-LN(2)/2)*AW53+(1-EXP(-LN(2)/2))/(LN(2)/2)*AQ54*AT54*VLOOKUP('Données projet'!$B$10,Paramètres!$A$1:$I$89,3,0)*0.475*44/12</f>
        <v>2.8453532274315956</v>
      </c>
      <c r="AX54" s="21">
        <f t="shared" si="6"/>
        <v>79.599495694360726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5.2</v>
      </c>
      <c r="BD54" s="12">
        <f>IF('Données projet'!$A$88&gt;35,BD53+BC54-BL53,IF(A54&lt;'Données projet'!$A$88,$BA$205^A54,IF(A54='Données projet'!$A$88,'Données projet'!$B$88,BD53+BC54-BL53)))</f>
        <v>160.20000000000002</v>
      </c>
      <c r="BE54" s="13">
        <f>BD54*VLOOKUP('Données projet'!$B$11,Paramètres!$A$1:$I$89,3,0)*VLOOKUP('Données projet'!$B$11,Paramètres!$A$1:$I$89,5,0)</f>
        <v>139.95072000000002</v>
      </c>
      <c r="BF54" s="13">
        <f t="shared" si="37"/>
        <v>36.285715907711918</v>
      </c>
      <c r="BG54" s="20">
        <f t="shared" si="7"/>
        <v>306.94512587259828</v>
      </c>
      <c r="BH54" s="59">
        <f t="shared" si="8"/>
        <v>600.27845920593154</v>
      </c>
      <c r="BI54" s="59">
        <f ca="1">AVERAGE(OFFSET($BH$3,0,0,'Données projet'!$E$11+1,1))-AVERAGE(OFFSET($H$3,0,0,'Données projet'!$E$11+1,1))</f>
        <v>186.80594222554424</v>
      </c>
      <c r="BJ54" s="59">
        <f t="shared" si="38"/>
        <v>179.02867751001872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9.9972208063167329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9.9972208063167329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7.2307692307692264</v>
      </c>
      <c r="BY54" s="12">
        <f>IF('Données projet'!$A$114&gt;35,BY53+BX54-CG53,IF(A54&lt;'Données projet'!$A$114,$BV$205^A54,IF(A54='Données projet'!$A$114,'Données projet'!$B$114,BY53+BX54-CG53)))</f>
        <v>137.371794871795</v>
      </c>
      <c r="BZ54" s="13">
        <f>BY54*VLOOKUP('Données projet'!$B$12,Paramètres!$A$1:$I$89,3,0)*VLOOKUP('Données projet'!$B$12,Paramètres!$A$1:$I$89,5,0)</f>
        <v>124.29400000000012</v>
      </c>
      <c r="CA54" s="13">
        <f t="shared" si="39"/>
        <v>32.674445813839228</v>
      </c>
      <c r="CB54" s="20">
        <f t="shared" si="10"/>
        <v>273.38670979243687</v>
      </c>
      <c r="CC54" s="59">
        <f t="shared" si="11"/>
        <v>566.72004312577019</v>
      </c>
      <c r="CD54" s="59">
        <f ca="1">AVERAGE(OFFSET($CC$3,0,0,'Données projet'!$E$12+1,1))-AVERAGE(OFFSET($H$3,0,0,'Données projet'!$E$12+1,1))</f>
        <v>265.17389489035344</v>
      </c>
      <c r="CE54" s="59">
        <f t="shared" si="40"/>
        <v>101.57852403610769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11.642307692307696</v>
      </c>
      <c r="CT54" s="12">
        <f>IF('Données projet'!$A$140&gt;35,CT53+CS54-DB53,IF(A54&lt;'Données projet'!$A$140,$CQ$205^A54,IF(A54='Données projet'!$A$140,'Données projet'!$B$140,CT53+CS54-DB53)))</f>
        <v>320.17307692307679</v>
      </c>
      <c r="CU54" s="17">
        <f>CT54*VLOOKUP('Données projet'!$B$13,Paramètres!$A$1:$I$89,3,0)*VLOOKUP('Données projet'!$B$13,Paramètres!$A$1:$I$89,5,0)</f>
        <v>191.46349999999995</v>
      </c>
      <c r="CV54" s="13">
        <f t="shared" si="41"/>
        <v>47.863367286908087</v>
      </c>
      <c r="CW54" s="20">
        <f t="shared" si="13"/>
        <v>416.82762719136485</v>
      </c>
      <c r="CX54" s="59">
        <f t="shared" si="14"/>
        <v>710.16096052469811</v>
      </c>
      <c r="CY54" s="59">
        <f ca="1">AVERAGE(OFFSET($CX$3,0,0,'Données projet'!$E$13+1,1))-AVERAGE(OFFSET($H$3,0,0,'Données projet'!$E$13+1,1))</f>
        <v>182.34243693018033</v>
      </c>
      <c r="CZ54" s="59">
        <f t="shared" si="42"/>
        <v>182.65916563909786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33.7149813713648</v>
      </c>
      <c r="DG54" s="21">
        <f>EXP(-LN(2)/25)*DG53+(1-EXP(-LN(2)/25))/(LN(2)/25)*Calculateur!DB54*Calculateur!DD54*VLOOKUP('Données projet'!$B$13,Paramètres!$A$1:$I$89,3,0)*0.475*44/12</f>
        <v>15.484332926608651</v>
      </c>
      <c r="DH54" s="21">
        <f>EXP(-LN(2)/2)*DH53+(1-EXP(-LN(2)/2))/(LN(2)/2)*DB54*DE54*VLOOKUP('Données projet'!$B$13,Paramètres!$A$1:$I$89,3,0)*0.475*44/12</f>
        <v>0.54437375091868601</v>
      </c>
      <c r="DI54" s="22">
        <f t="shared" si="15"/>
        <v>49.743688048892139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7.2307692307692264</v>
      </c>
      <c r="DO54" s="12">
        <f>IF('Données projet'!$A$166&gt;35,DO53+DN54-DW53,IF(A54&lt;'Données projet'!$A$166,$DL$205^A54,IF(A54='Données projet'!$A$166,'Données projet'!$B$166,DO53+DN54-DW53)))</f>
        <v>137.371794871795</v>
      </c>
      <c r="DP54" s="17">
        <f>DO54*VLOOKUP('Données projet'!$B$14,Paramètres!$A$1:$I$89,3,0)*VLOOKUP('Données projet'!$B$14,Paramètres!$A$1:$I$89,5,0)</f>
        <v>130.72300000000013</v>
      </c>
      <c r="DQ54" s="13">
        <f t="shared" si="43"/>
        <v>34.163369440579871</v>
      </c>
      <c r="DR54" s="20">
        <f t="shared" si="16"/>
        <v>287.17709344234351</v>
      </c>
      <c r="DS54" s="59">
        <f t="shared" si="17"/>
        <v>580.51042677567682</v>
      </c>
      <c r="DT54" s="59">
        <f ca="1">AVERAGE(OFFSET($DS$3,0,0,'Données projet'!$E$14+1,1))-AVERAGE(OFFSET($H$3,0,0,'Données projet'!$E$14+1,1))</f>
        <v>286.10360882057586</v>
      </c>
      <c r="DU54" s="59">
        <f t="shared" si="44"/>
        <v>109.24531387923128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379.76714874734745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262.42149466677068</v>
      </c>
      <c r="T55" s="59">
        <f t="shared" si="34"/>
        <v>232.7693253699756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12.837499999999991</v>
      </c>
      <c r="AI55" s="13">
        <f>IF('Données projet'!$A$62&gt;35,AI54+AH55-AQ54,IF(A55&lt;'Données projet'!$A$62,$AF$205^A55,IF(A55='Données projet'!$A$62,'Données projet'!$B$62,AI54+AH55-AQ54)))</f>
        <v>395.12692307692294</v>
      </c>
      <c r="AJ55" s="13">
        <f>AI55*VLOOKUP('Données projet'!$B$10,Paramètres!$A$1:$I$89,3,0)*VLOOKUP('Données projet'!$B$10,Paramètres!$A$1:$I$89,5,0)</f>
        <v>236.28589999999994</v>
      </c>
      <c r="AK55" s="13">
        <f t="shared" si="35"/>
        <v>57.639699864397812</v>
      </c>
      <c r="AL55" s="20">
        <f t="shared" si="4"/>
        <v>511.92041976382615</v>
      </c>
      <c r="AM55" s="59">
        <f t="shared" si="5"/>
        <v>805.25375309715946</v>
      </c>
      <c r="AN55" s="59">
        <f ca="1">AVERAGE(OFFSET($AM$3,0,0,'Données projet'!$E$10+1,1))-AVERAGE(OFFSET($H$3,0,0,'Données projet'!$E$10+1,1))</f>
        <v>249.37919739649828</v>
      </c>
      <c r="AO55" s="59">
        <f t="shared" si="36"/>
        <v>315.05045383693073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55.507542724577313</v>
      </c>
      <c r="AV55" s="21">
        <f>EXP(-LN(2)/25)*AV54+(1-EXP(-LN(2)/25))/(LN(2)/25)*Calculateur!AQ55*Calculateur!AS55*VLOOKUP('Données projet'!$B$10,Paramètres!$A$1:$I$89,3,0)*0.475*44/12</f>
        <v>19.585729741946629</v>
      </c>
      <c r="AW55" s="21">
        <f>EXP(-LN(2)/2)*AW54+(1-EXP(-LN(2)/2))/(LN(2)/2)*AQ55*AT55*VLOOKUP('Données projet'!$B$10,Paramètres!$A$1:$I$89,3,0)*0.475*44/12</f>
        <v>2.01196856198791</v>
      </c>
      <c r="AX55" s="21">
        <f t="shared" si="6"/>
        <v>77.105241028511855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5.2</v>
      </c>
      <c r="BD55" s="12">
        <f>IF('Données projet'!$A$88&gt;35,BD54+BC55-BL54,IF(A55&lt;'Données projet'!$A$88,$BA$205^A55,IF(A55='Données projet'!$A$88,'Données projet'!$B$88,BD54+BC55-BL54)))</f>
        <v>165.4</v>
      </c>
      <c r="BE55" s="13">
        <f>BD55*VLOOKUP('Données projet'!$B$11,Paramètres!$A$1:$I$89,3,0)*VLOOKUP('Données projet'!$B$11,Paramètres!$A$1:$I$89,5,0)</f>
        <v>144.49344000000002</v>
      </c>
      <c r="BF55" s="13">
        <f t="shared" si="37"/>
        <v>37.324489208332842</v>
      </c>
      <c r="BG55" s="20">
        <f t="shared" si="7"/>
        <v>316.66622670451306</v>
      </c>
      <c r="BH55" s="59">
        <f t="shared" si="8"/>
        <v>609.99956003784632</v>
      </c>
      <c r="BI55" s="59">
        <f ca="1">AVERAGE(OFFSET($BH$3,0,0,'Données projet'!$E$11+1,1))-AVERAGE(OFFSET($H$3,0,0,'Données projet'!$E$11+1,1))</f>
        <v>186.80594222554424</v>
      </c>
      <c r="BJ55" s="59">
        <f t="shared" si="38"/>
        <v>179.02867751001872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9.7238462776370085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9.7238462776370085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7.2307692307692264</v>
      </c>
      <c r="BY55" s="12">
        <f>IF('Données projet'!$A$114&gt;35,BY54+BX55-CG54,IF(A55&lt;'Données projet'!$A$114,$BV$205^A55,IF(A55='Données projet'!$A$114,'Données projet'!$B$114,BY54+BX55-CG54)))</f>
        <v>144.60256410256423</v>
      </c>
      <c r="BZ55" s="13">
        <f>BY55*VLOOKUP('Données projet'!$B$12,Paramètres!$A$1:$I$89,3,0)*VLOOKUP('Données projet'!$B$12,Paramètres!$A$1:$I$89,5,0)</f>
        <v>130.83640000000011</v>
      </c>
      <c r="CA55" s="13">
        <f t="shared" si="39"/>
        <v>34.189554618744111</v>
      </c>
      <c r="CB55" s="20">
        <f t="shared" si="10"/>
        <v>287.42020429431284</v>
      </c>
      <c r="CC55" s="59">
        <f t="shared" si="11"/>
        <v>580.75353762764621</v>
      </c>
      <c r="CD55" s="59">
        <f ca="1">AVERAGE(OFFSET($CC$3,0,0,'Données projet'!$E$12+1,1))-AVERAGE(OFFSET($H$3,0,0,'Données projet'!$E$12+1,1))</f>
        <v>265.17389489035344</v>
      </c>
      <c r="CE55" s="59">
        <f t="shared" si="40"/>
        <v>101.57852403610769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331.81538461538463</v>
      </c>
      <c r="CR55" s="12">
        <f>VLOOKUP(A55,'Données projet'!$A$139:$I$159,9,0)</f>
        <v>11.642307692307696</v>
      </c>
      <c r="CS55" s="12">
        <f t="array" ref="CS55">INDEX(CR:CR,MIN(IF(ISNUMBER(CR55:CR251),ROW(CR55:CR251),"")))</f>
        <v>11.642307692307696</v>
      </c>
      <c r="CT55" s="12">
        <f>IF('Données projet'!$A$140&gt;35,CT54+CS55-DB54,IF(A55&lt;'Données projet'!$A$140,$CQ$205^A55,IF(A55='Données projet'!$A$140,'Données projet'!$B$140,CT54+CS55-DB54)))</f>
        <v>331.81538461538446</v>
      </c>
      <c r="CU55" s="17">
        <f>CT55*VLOOKUP('Données projet'!$B$13,Paramètres!$A$1:$I$89,3,0)*VLOOKUP('Données projet'!$B$13,Paramètres!$A$1:$I$89,5,0)</f>
        <v>198.42559999999995</v>
      </c>
      <c r="CV55" s="13">
        <f t="shared" si="41"/>
        <v>49.398003268862659</v>
      </c>
      <c r="CW55" s="20">
        <f t="shared" si="13"/>
        <v>431.62610902660231</v>
      </c>
      <c r="CX55" s="59">
        <f t="shared" si="14"/>
        <v>724.95944235993557</v>
      </c>
      <c r="CY55" s="59">
        <f ca="1">AVERAGE(OFFSET($CX$3,0,0,'Données projet'!$E$13+1,1))-AVERAGE(OFFSET($H$3,0,0,'Données projet'!$E$13+1,1))</f>
        <v>182.34243693018033</v>
      </c>
      <c r="CZ55" s="59">
        <f t="shared" si="42"/>
        <v>182.65916563909786</v>
      </c>
      <c r="DA55" s="15">
        <f>IF(ISNA(VLOOKUP(A55,'Données projet'!$A$139:$I$159,3,0)),0,VLOOKUP(A55,'Données projet'!$A$139:$I$159,3,0))</f>
        <v>6</v>
      </c>
      <c r="DB55" s="15">
        <f>IF(ISNA(VLOOKUP(A55,'Données projet'!$A$139:$I$159,4,0)),0,VLOOKUP(A55,'Données projet'!$A$139:$I$159,4,0))</f>
        <v>61.784615384615378</v>
      </c>
      <c r="DC55" s="16">
        <f>IF(ISNA(VLOOKUP(A55,'Données projet'!$A$139:$I$159,5,0)),0%,VLOOKUP(A55,'Données projet'!$A$139:$I$159,5,0)*VLOOKUP('Données projet'!$B$13,Paramètres!$A$1:$I$89,7,0))</f>
        <v>0.315</v>
      </c>
      <c r="DD55" s="16">
        <f>IF(ISNA(VLOOKUP(A55,'Données projet'!$A$139:$I$159,6,0)),0%,VLOOKUP(A55,'Données projet'!$A$139:$I$159,6,0)*VLOOKUP('Données projet'!$B$13,Paramètres!$A$1:$I$89,7,0))</f>
        <v>7.5600000000000001E-2</v>
      </c>
      <c r="DE55" s="16">
        <f>IF(ISNA(VLOOKUP(A55,'Données projet'!$A$139:$I$159,7,0)),0%,VLOOKUP(A55,'Données projet'!$A$139:$I$159,7,0))</f>
        <v>0.13200000000000001</v>
      </c>
      <c r="DF55" s="21">
        <f>EXP(-LN(2)/35)*DF54+(1-EXP(-LN(2)/35))/(LN(2)/35)*DB55*DC55*VLOOKUP('Données projet'!$B$13,Paramètres!$A$1:$I$89,3,0)*0.475*44/12</f>
        <v>48.492896458905406</v>
      </c>
      <c r="DG55" s="21">
        <f>EXP(-LN(2)/25)*DG54+(1-EXP(-LN(2)/25))/(LN(2)/25)*Calculateur!DB55*Calculateur!DD55*VLOOKUP('Données projet'!$B$13,Paramètres!$A$1:$I$89,3,0)*0.475*44/12</f>
        <v>18.751694445407118</v>
      </c>
      <c r="DH55" s="21">
        <f>EXP(-LN(2)/2)*DH54+(1-EXP(-LN(2)/2))/(LN(2)/2)*DB55*DE55*VLOOKUP('Données projet'!$B$13,Paramètres!$A$1:$I$89,3,0)*0.475*44/12</f>
        <v>5.906861705672978</v>
      </c>
      <c r="DI55" s="22">
        <f t="shared" si="15"/>
        <v>73.151452609985512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7.2307692307692264</v>
      </c>
      <c r="DO55" s="12">
        <f>IF('Données projet'!$A$166&gt;35,DO54+DN55-DW54,IF(A55&lt;'Données projet'!$A$166,$DL$205^A55,IF(A55='Données projet'!$A$166,'Données projet'!$B$166,DO54+DN55-DW54)))</f>
        <v>144.60256410256423</v>
      </c>
      <c r="DP55" s="17">
        <f>DO55*VLOOKUP('Données projet'!$B$14,Paramètres!$A$1:$I$89,3,0)*VLOOKUP('Données projet'!$B$14,Paramètres!$A$1:$I$89,5,0)</f>
        <v>137.60380000000012</v>
      </c>
      <c r="DQ55" s="13">
        <f t="shared" si="43"/>
        <v>35.747519394937093</v>
      </c>
      <c r="DR55" s="20">
        <f t="shared" si="16"/>
        <v>301.92021461284895</v>
      </c>
      <c r="DS55" s="59">
        <f t="shared" si="17"/>
        <v>595.25354794618227</v>
      </c>
      <c r="DT55" s="59">
        <f ca="1">AVERAGE(OFFSET($DS$3,0,0,'Données projet'!$E$14+1,1))-AVERAGE(OFFSET($H$3,0,0,'Données projet'!$E$14+1,1))</f>
        <v>286.10360882057586</v>
      </c>
      <c r="DU55" s="59">
        <f t="shared" si="44"/>
        <v>109.24531387923128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381.38412212545694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262.42149466677068</v>
      </c>
      <c r="T56" s="59">
        <f t="shared" si="34"/>
        <v>232.7693253699756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12.837499999999991</v>
      </c>
      <c r="AI56" s="13">
        <f>IF('Données projet'!$A$62&gt;35,AI55+AH56-AQ55,IF(A56&lt;'Données projet'!$A$62,$AF$205^A56,IF(A56='Données projet'!$A$62,'Données projet'!$B$62,AI55+AH56-AQ55)))</f>
        <v>407.96442307692291</v>
      </c>
      <c r="AJ56" s="13">
        <f>AI56*VLOOKUP('Données projet'!$B$10,Paramètres!$A$1:$I$89,3,0)*VLOOKUP('Données projet'!$B$10,Paramètres!$A$1:$I$89,5,0)</f>
        <v>243.96272499999992</v>
      </c>
      <c r="AK56" s="13">
        <f t="shared" si="35"/>
        <v>59.291315745845196</v>
      </c>
      <c r="AL56" s="20">
        <f t="shared" si="4"/>
        <v>528.16745429901368</v>
      </c>
      <c r="AM56" s="59">
        <f t="shared" si="5"/>
        <v>821.50078763234706</v>
      </c>
      <c r="AN56" s="59">
        <f ca="1">AVERAGE(OFFSET($AM$3,0,0,'Données projet'!$E$10+1,1))-AVERAGE(OFFSET($H$3,0,0,'Données projet'!$E$10+1,1))</f>
        <v>249.37919739649828</v>
      </c>
      <c r="AO56" s="59">
        <f t="shared" si="36"/>
        <v>315.05045383693073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54.419073668006384</v>
      </c>
      <c r="AV56" s="21">
        <f>EXP(-LN(2)/25)*AV55+(1-EXP(-LN(2)/25))/(LN(2)/25)*Calculateur!AQ56*Calculateur!AS56*VLOOKUP('Données projet'!$B$10,Paramètres!$A$1:$I$89,3,0)*0.475*44/12</f>
        <v>19.050156932184336</v>
      </c>
      <c r="AW56" s="21">
        <f>EXP(-LN(2)/2)*AW55+(1-EXP(-LN(2)/2))/(LN(2)/2)*AQ56*AT56*VLOOKUP('Données projet'!$B$10,Paramètres!$A$1:$I$89,3,0)*0.475*44/12</f>
        <v>1.4226766137157978</v>
      </c>
      <c r="AX56" s="21">
        <f t="shared" si="6"/>
        <v>74.891907213906507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5.2</v>
      </c>
      <c r="BD56" s="12">
        <f>IF('Données projet'!$A$88&gt;35,BD55+BC56-BL55,IF(A56&lt;'Données projet'!$A$88,$BA$205^A56,IF(A56='Données projet'!$A$88,'Données projet'!$B$88,BD55+BC56-BL55)))</f>
        <v>170.6</v>
      </c>
      <c r="BE56" s="13">
        <f>BD56*VLOOKUP('Données projet'!$B$11,Paramètres!$A$1:$I$89,3,0)*VLOOKUP('Données projet'!$B$11,Paramètres!$A$1:$I$89,5,0)</f>
        <v>149.03616</v>
      </c>
      <c r="BF56" s="13">
        <f t="shared" si="37"/>
        <v>38.35946741279561</v>
      </c>
      <c r="BG56" s="20">
        <f t="shared" si="7"/>
        <v>326.38071774395229</v>
      </c>
      <c r="BH56" s="59">
        <f t="shared" si="8"/>
        <v>619.7140510772856</v>
      </c>
      <c r="BI56" s="59">
        <f ca="1">AVERAGE(OFFSET($BH$3,0,0,'Données projet'!$E$11+1,1))-AVERAGE(OFFSET($H$3,0,0,'Données projet'!$E$11+1,1))</f>
        <v>186.80594222554424</v>
      </c>
      <c r="BJ56" s="59">
        <f t="shared" si="38"/>
        <v>179.02867751001872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9.4579471898201728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9.4579471898201728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7.2307692307692264</v>
      </c>
      <c r="BY56" s="12">
        <f>IF('Données projet'!$A$114&gt;35,BY55+BX56-CG55,IF(A56&lt;'Données projet'!$A$114,$BV$205^A56,IF(A56='Données projet'!$A$114,'Données projet'!$B$114,BY55+BX56-CG55)))</f>
        <v>151.83333333333346</v>
      </c>
      <c r="BZ56" s="13">
        <f>BY56*VLOOKUP('Données projet'!$B$12,Paramètres!$A$1:$I$89,3,0)*VLOOKUP('Données projet'!$B$12,Paramètres!$A$1:$I$89,5,0)</f>
        <v>137.37880000000013</v>
      </c>
      <c r="CA56" s="13">
        <f t="shared" si="39"/>
        <v>35.695866453131174</v>
      </c>
      <c r="CB56" s="20">
        <f t="shared" si="10"/>
        <v>301.43837740587037</v>
      </c>
      <c r="CC56" s="59">
        <f t="shared" si="11"/>
        <v>594.77171073920363</v>
      </c>
      <c r="CD56" s="59">
        <f ca="1">AVERAGE(OFFSET($CC$3,0,0,'Données projet'!$E$12+1,1))-AVERAGE(OFFSET($H$3,0,0,'Données projet'!$E$12+1,1))</f>
        <v>265.17389489035344</v>
      </c>
      <c r="CE56" s="59">
        <f t="shared" si="40"/>
        <v>101.57852403610769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10.433653846153845</v>
      </c>
      <c r="CT56" s="12">
        <f>IF('Données projet'!$A$140&gt;35,CT55+CS56-DB55,IF(A56&lt;'Données projet'!$A$140,$CQ$205^A56,IF(A56='Données projet'!$A$140,'Données projet'!$B$140,CT55+CS56-DB55)))</f>
        <v>280.46442307692291</v>
      </c>
      <c r="CU56" s="17">
        <f>CT56*VLOOKUP('Données projet'!$B$13,Paramètres!$A$1:$I$89,3,0)*VLOOKUP('Données projet'!$B$13,Paramètres!$A$1:$I$89,5,0)</f>
        <v>167.71772499999992</v>
      </c>
      <c r="CV56" s="13">
        <f t="shared" si="41"/>
        <v>42.578468510426184</v>
      </c>
      <c r="CW56" s="20">
        <f t="shared" si="13"/>
        <v>366.26587036399206</v>
      </c>
      <c r="CX56" s="59">
        <f t="shared" si="14"/>
        <v>659.59920369732538</v>
      </c>
      <c r="CY56" s="59">
        <f ca="1">AVERAGE(OFFSET($CX$3,0,0,'Données projet'!$E$13+1,1))-AVERAGE(OFFSET($H$3,0,0,'Données projet'!$E$13+1,1))</f>
        <v>182.34243693018033</v>
      </c>
      <c r="CZ56" s="59">
        <f t="shared" si="42"/>
        <v>182.65916563909786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47.541980337092554</v>
      </c>
      <c r="DG56" s="21">
        <f>EXP(-LN(2)/25)*DG55+(1-EXP(-LN(2)/25))/(LN(2)/25)*Calculateur!DB56*Calculateur!DD56*VLOOKUP('Données projet'!$B$13,Paramètres!$A$1:$I$89,3,0)*0.475*44/12</f>
        <v>18.238928374688708</v>
      </c>
      <c r="DH56" s="21">
        <f>EXP(-LN(2)/2)*DH55+(1-EXP(-LN(2)/2))/(LN(2)/2)*DB56*DE56*VLOOKUP('Données projet'!$B$13,Paramètres!$A$1:$I$89,3,0)*0.475*44/12</f>
        <v>4.1767819676124995</v>
      </c>
      <c r="DI56" s="22">
        <f t="shared" si="15"/>
        <v>69.957690679393764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7.2307692307692264</v>
      </c>
      <c r="DO56" s="12">
        <f>IF('Données projet'!$A$166&gt;35,DO55+DN56-DW55,IF(A56&lt;'Données projet'!$A$166,$DL$205^A56,IF(A56='Données projet'!$A$166,'Données projet'!$B$166,DO55+DN56-DW55)))</f>
        <v>151.83333333333346</v>
      </c>
      <c r="DP56" s="17">
        <f>DO56*VLOOKUP('Données projet'!$B$14,Paramètres!$A$1:$I$89,3,0)*VLOOKUP('Données projet'!$B$14,Paramètres!$A$1:$I$89,5,0)</f>
        <v>144.48460000000011</v>
      </c>
      <c r="DQ56" s="13">
        <f t="shared" si="43"/>
        <v>37.322471514525503</v>
      </c>
      <c r="DR56" s="20">
        <f t="shared" si="16"/>
        <v>316.64731622113209</v>
      </c>
      <c r="DS56" s="59">
        <f t="shared" si="17"/>
        <v>609.98064955446534</v>
      </c>
      <c r="DT56" s="59">
        <f ca="1">AVERAGE(OFFSET($DS$3,0,0,'Données projet'!$E$14+1,1))-AVERAGE(OFFSET($H$3,0,0,'Données projet'!$E$14+1,1))</f>
        <v>286.10360882057586</v>
      </c>
      <c r="DU56" s="59">
        <f t="shared" si="44"/>
        <v>109.24531387923128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383.0003495956451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262.42149466677068</v>
      </c>
      <c r="T57" s="59">
        <f t="shared" si="34"/>
        <v>232.7693253699756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12.837499999999991</v>
      </c>
      <c r="AI57" s="13">
        <f>IF('Données projet'!$A$62&gt;35,AI56+AH57-AQ56,IF(A57&lt;'Données projet'!$A$62,$AF$205^A57,IF(A57='Données projet'!$A$62,'Données projet'!$B$62,AI56+AH57-AQ56)))</f>
        <v>420.80192307692289</v>
      </c>
      <c r="AJ57" s="13">
        <f>AI57*VLOOKUP('Données projet'!$B$10,Paramètres!$A$1:$I$89,3,0)*VLOOKUP('Données projet'!$B$10,Paramètres!$A$1:$I$89,5,0)</f>
        <v>251.63954999999993</v>
      </c>
      <c r="AK57" s="13">
        <f t="shared" si="35"/>
        <v>60.936892129812684</v>
      </c>
      <c r="AL57" s="20">
        <f t="shared" si="4"/>
        <v>544.4039700427569</v>
      </c>
      <c r="AM57" s="59">
        <f t="shared" si="5"/>
        <v>837.73730337609027</v>
      </c>
      <c r="AN57" s="59">
        <f ca="1">AVERAGE(OFFSET($AM$3,0,0,'Données projet'!$E$10+1,1))-AVERAGE(OFFSET($H$3,0,0,'Données projet'!$E$10+1,1))</f>
        <v>249.37919739649828</v>
      </c>
      <c r="AO57" s="59">
        <f t="shared" si="36"/>
        <v>315.05045383693073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53.35194882573424</v>
      </c>
      <c r="AV57" s="21">
        <f>EXP(-LN(2)/25)*AV56+(1-EXP(-LN(2)/25))/(LN(2)/25)*Calculateur!AQ57*Calculateur!AS57*VLOOKUP('Données projet'!$B$10,Paramètres!$A$1:$I$89,3,0)*0.475*44/12</f>
        <v>18.529229389069542</v>
      </c>
      <c r="AW57" s="21">
        <f>EXP(-LN(2)/2)*AW56+(1-EXP(-LN(2)/2))/(LN(2)/2)*AQ57*AT57*VLOOKUP('Données projet'!$B$10,Paramètres!$A$1:$I$89,3,0)*0.475*44/12</f>
        <v>1.005984280993955</v>
      </c>
      <c r="AX57" s="21">
        <f t="shared" si="6"/>
        <v>72.887162495797739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5.2</v>
      </c>
      <c r="BD57" s="12">
        <f>IF('Données projet'!$A$88&gt;35,BD56+BC57-BL56,IF(A57&lt;'Données projet'!$A$88,$BA$205^A57,IF(A57='Données projet'!$A$88,'Données projet'!$B$88,BD56+BC57-BL56)))</f>
        <v>175.79999999999998</v>
      </c>
      <c r="BE57" s="13">
        <f>BD57*VLOOKUP('Données projet'!$B$11,Paramètres!$A$1:$I$89,3,0)*VLOOKUP('Données projet'!$B$11,Paramètres!$A$1:$I$89,5,0)</f>
        <v>153.57888</v>
      </c>
      <c r="BF57" s="13">
        <f t="shared" si="37"/>
        <v>39.390779474606148</v>
      </c>
      <c r="BG57" s="20">
        <f t="shared" si="7"/>
        <v>336.08882358493901</v>
      </c>
      <c r="BH57" s="59">
        <f t="shared" si="8"/>
        <v>629.42215691827232</v>
      </c>
      <c r="BI57" s="59">
        <f ca="1">AVERAGE(OFFSET($BH$3,0,0,'Données projet'!$E$11+1,1))-AVERAGE(OFFSET($H$3,0,0,'Données projet'!$E$11+1,1))</f>
        <v>186.80594222554424</v>
      </c>
      <c r="BJ57" s="59">
        <f t="shared" si="38"/>
        <v>179.02867751001872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9.1993191265427132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9.1993191265427132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7.2307692307692264</v>
      </c>
      <c r="BY57" s="12">
        <f>IF('Données projet'!$A$114&gt;35,BY56+BX57-CG56,IF(A57&lt;'Données projet'!$A$114,$BV$205^A57,IF(A57='Données projet'!$A$114,'Données projet'!$B$114,BY56+BX57-CG56)))</f>
        <v>159.06410256410268</v>
      </c>
      <c r="BZ57" s="13">
        <f>BY57*VLOOKUP('Données projet'!$B$12,Paramètres!$A$1:$I$89,3,0)*VLOOKUP('Données projet'!$B$12,Paramètres!$A$1:$I$89,5,0)</f>
        <v>143.92120000000011</v>
      </c>
      <c r="CA57" s="13">
        <f t="shared" si="39"/>
        <v>37.193848087208842</v>
      </c>
      <c r="CB57" s="20">
        <f t="shared" si="10"/>
        <v>315.44204208522223</v>
      </c>
      <c r="CC57" s="59">
        <f t="shared" si="11"/>
        <v>608.77537541855554</v>
      </c>
      <c r="CD57" s="59">
        <f ca="1">AVERAGE(OFFSET($CC$3,0,0,'Données projet'!$E$12+1,1))-AVERAGE(OFFSET($H$3,0,0,'Données projet'!$E$12+1,1))</f>
        <v>265.17389489035344</v>
      </c>
      <c r="CE57" s="59">
        <f t="shared" si="40"/>
        <v>101.57852403610769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10.433653846153845</v>
      </c>
      <c r="CT57" s="12">
        <f>IF('Données projet'!$A$140&gt;35,CT56+CS57-DB56,IF(A57&lt;'Données projet'!$A$140,$CQ$205^A57,IF(A57='Données projet'!$A$140,'Données projet'!$B$140,CT56+CS57-DB56)))</f>
        <v>290.89807692307676</v>
      </c>
      <c r="CU57" s="17">
        <f>CT57*VLOOKUP('Données projet'!$B$13,Paramètres!$A$1:$I$89,3,0)*VLOOKUP('Données projet'!$B$13,Paramètres!$A$1:$I$89,5,0)</f>
        <v>173.95704999999992</v>
      </c>
      <c r="CV57" s="13">
        <f t="shared" si="41"/>
        <v>43.975080818549294</v>
      </c>
      <c r="CW57" s="20">
        <f t="shared" si="13"/>
        <v>379.56512784230654</v>
      </c>
      <c r="CX57" s="59">
        <f t="shared" si="14"/>
        <v>672.8984611756398</v>
      </c>
      <c r="CY57" s="59">
        <f ca="1">AVERAGE(OFFSET($CX$3,0,0,'Données projet'!$E$13+1,1))-AVERAGE(OFFSET($H$3,0,0,'Données projet'!$E$13+1,1))</f>
        <v>182.34243693018033</v>
      </c>
      <c r="CZ57" s="59">
        <f t="shared" si="42"/>
        <v>182.65916563909786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46.609711100426885</v>
      </c>
      <c r="DG57" s="21">
        <f>EXP(-LN(2)/25)*DG56+(1-EXP(-LN(2)/25))/(LN(2)/25)*Calculateur!DB57*Calculateur!DD57*VLOOKUP('Données projet'!$B$13,Paramètres!$A$1:$I$89,3,0)*0.475*44/12</f>
        <v>17.740183919139287</v>
      </c>
      <c r="DH57" s="21">
        <f>EXP(-LN(2)/2)*DH56+(1-EXP(-LN(2)/2))/(LN(2)/2)*DB57*DE57*VLOOKUP('Données projet'!$B$13,Paramètres!$A$1:$I$89,3,0)*0.475*44/12</f>
        <v>2.9534308528364894</v>
      </c>
      <c r="DI57" s="22">
        <f t="shared" si="15"/>
        <v>67.303325872402667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7.2307692307692264</v>
      </c>
      <c r="DO57" s="12">
        <f>IF('Données projet'!$A$166&gt;35,DO56+DN57-DW56,IF(A57&lt;'Données projet'!$A$166,$DL$205^A57,IF(A57='Données projet'!$A$166,'Données projet'!$B$166,DO56+DN57-DW56)))</f>
        <v>159.06410256410268</v>
      </c>
      <c r="DP57" s="17">
        <f>DO57*VLOOKUP('Données projet'!$B$14,Paramètres!$A$1:$I$89,3,0)*VLOOKUP('Données projet'!$B$14,Paramètres!$A$1:$I$89,5,0)</f>
        <v>151.36540000000011</v>
      </c>
      <c r="DQ57" s="13">
        <f t="shared" si="43"/>
        <v>38.88871383954524</v>
      </c>
      <c r="DR57" s="20">
        <f t="shared" si="16"/>
        <v>331.3592482705414</v>
      </c>
      <c r="DS57" s="59">
        <f t="shared" si="17"/>
        <v>624.69258160387471</v>
      </c>
      <c r="DT57" s="59">
        <f ca="1">AVERAGE(OFFSET($DS$3,0,0,'Données projet'!$E$14+1,1))-AVERAGE(OFFSET($H$3,0,0,'Données projet'!$E$14+1,1))</f>
        <v>286.10360882057586</v>
      </c>
      <c r="DU57" s="59">
        <f t="shared" si="44"/>
        <v>109.24531387923128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384.615846564035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262.42149466677068</v>
      </c>
      <c r="T58" s="59">
        <f t="shared" si="34"/>
        <v>232.7693253699756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12.837499999999991</v>
      </c>
      <c r="AI58" s="13">
        <f>IF('Données projet'!$A$62&gt;35,AI57+AH58-AQ57,IF(A58&lt;'Données projet'!$A$62,$AF$205^A58,IF(A58='Données projet'!$A$62,'Données projet'!$B$62,AI57+AH58-AQ57)))</f>
        <v>433.63942307692287</v>
      </c>
      <c r="AJ58" s="13">
        <f>AI58*VLOOKUP('Données projet'!$B$10,Paramètres!$A$1:$I$89,3,0)*VLOOKUP('Données projet'!$B$10,Paramètres!$A$1:$I$89,5,0)</f>
        <v>259.31637499999988</v>
      </c>
      <c r="AK58" s="13">
        <f t="shared" si="35"/>
        <v>62.576634410968637</v>
      </c>
      <c r="AL58" s="20">
        <f t="shared" si="4"/>
        <v>560.63032472410339</v>
      </c>
      <c r="AM58" s="59">
        <f t="shared" si="5"/>
        <v>853.96365805743676</v>
      </c>
      <c r="AN58" s="59">
        <f ca="1">AVERAGE(OFFSET($AM$3,0,0,'Données projet'!$E$10+1,1))-AVERAGE(OFFSET($H$3,0,0,'Données projet'!$E$10+1,1))</f>
        <v>249.37919739649828</v>
      </c>
      <c r="AO58" s="59">
        <f t="shared" si="36"/>
        <v>315.05045383693073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52.30574965073717</v>
      </c>
      <c r="AV58" s="21">
        <f>EXP(-LN(2)/25)*AV57+(1-EXP(-LN(2)/25))/(LN(2)/25)*Calculateur!AQ58*Calculateur!AS58*VLOOKUP('Données projet'!$B$10,Paramètres!$A$1:$I$89,3,0)*0.475*44/12</f>
        <v>18.022546637015612</v>
      </c>
      <c r="AW58" s="21">
        <f>EXP(-LN(2)/2)*AW57+(1-EXP(-LN(2)/2))/(LN(2)/2)*AQ58*AT58*VLOOKUP('Données projet'!$B$10,Paramètres!$A$1:$I$89,3,0)*0.475*44/12</f>
        <v>0.71133830685789889</v>
      </c>
      <c r="AX58" s="21">
        <f t="shared" si="6"/>
        <v>71.039634594610675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181</v>
      </c>
      <c r="BB58" s="12">
        <f>VLOOKUP(A58,'Données projet'!$A$87:$I$107,9,0)</f>
        <v>5.2</v>
      </c>
      <c r="BC58" s="12">
        <f t="array" ref="BC58">INDEX(BB:BB,MIN(IF(ISNUMBER(BB58:BB254),ROW(BB58:BB254),"")))</f>
        <v>5.2</v>
      </c>
      <c r="BD58" s="12">
        <f>IF('Données projet'!$A$88&gt;35,BD57+BC58-BL57,IF(A58&lt;'Données projet'!$A$88,$BA$205^A58,IF(A58='Données projet'!$A$88,'Données projet'!$B$88,BD57+BC58-BL57)))</f>
        <v>180.99999999999997</v>
      </c>
      <c r="BE58" s="13">
        <f>BD58*VLOOKUP('Données projet'!$B$11,Paramètres!$A$1:$I$89,3,0)*VLOOKUP('Données projet'!$B$11,Paramètres!$A$1:$I$89,5,0)</f>
        <v>158.1216</v>
      </c>
      <c r="BF58" s="13">
        <f t="shared" si="37"/>
        <v>40.418546284954211</v>
      </c>
      <c r="BG58" s="20">
        <f t="shared" si="7"/>
        <v>345.79075477962851</v>
      </c>
      <c r="BH58" s="59">
        <f t="shared" si="8"/>
        <v>639.12408811296177</v>
      </c>
      <c r="BI58" s="59">
        <f ca="1">AVERAGE(OFFSET($BH$3,0,0,'Données projet'!$E$11+1,1))-AVERAGE(OFFSET($H$3,0,0,'Données projet'!$E$11+1,1))</f>
        <v>186.80594222554424</v>
      </c>
      <c r="BJ58" s="59">
        <f t="shared" si="38"/>
        <v>179.02867751001872</v>
      </c>
      <c r="BK58" s="15">
        <f>IF(ISNA(VLOOKUP(A58,'Données projet'!$A$87:$I$107,3,0)),0,VLOOKUP(A58,'Données projet'!$A$87:$I$107,3,0))</f>
        <v>8</v>
      </c>
      <c r="BL58" s="15" t="str">
        <f>IF(ISNA(VLOOKUP(A58,'Données projet'!$A$87:$I$107,4,0)),0,VLOOKUP(A58,'Données projet'!$A$87:$I$107,4,0))</f>
        <v>17</v>
      </c>
      <c r="BM58" s="16">
        <f>IF(ISNA(VLOOKUP(A58,'Données projet'!$A$87:$I$107,5,0)),0%,VLOOKUP(A58,'Données projet'!$A$87:$I$107,5,0)*VLOOKUP('Données projet'!$B$11,Paramètres!$A$1:$I$89,7,0))</f>
        <v>0.17200000000000001</v>
      </c>
      <c r="BN58" s="16">
        <f>IF(ISNA(VLOOKUP(A58,'Données projet'!$A$87:$I$107,6,0)),0%,VLOOKUP(A58,'Données projet'!$A$87:$I$107,6,0)*VLOOKUP('Données projet'!$B$11,Paramètres!$A$1:$I$89,7,0))</f>
        <v>0.17200000000000001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2.823820612489397</v>
      </c>
      <c r="BQ58" s="21">
        <f>EXP(-LN(2)/25)*BQ57+(1-EXP(-LN(2)/25))/(LN(2)/25)*Calculateur!BL58*Calculateur!BN58*VLOOKUP('Données projet'!$B$11,Paramètres!$A$1:$I$89,3,0)*0.475*44/12</f>
        <v>11.760465416034254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14.584286028523652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7.2307692307692264</v>
      </c>
      <c r="BY58" s="12">
        <f>IF('Données projet'!$A$114&gt;35,BY57+BX58-CG57,IF(A58&lt;'Données projet'!$A$114,$BV$205^A58,IF(A58='Données projet'!$A$114,'Données projet'!$B$114,BY57+BX58-CG57)))</f>
        <v>166.29487179487191</v>
      </c>
      <c r="BZ58" s="13">
        <f>BY58*VLOOKUP('Données projet'!$B$12,Paramètres!$A$1:$I$89,3,0)*VLOOKUP('Données projet'!$B$12,Paramètres!$A$1:$I$89,5,0)</f>
        <v>150.4636000000001</v>
      </c>
      <c r="CA58" s="13">
        <f t="shared" si="39"/>
        <v>38.683921455302077</v>
      </c>
      <c r="CB58" s="20">
        <f t="shared" si="10"/>
        <v>329.43193320131792</v>
      </c>
      <c r="CC58" s="59">
        <f t="shared" si="11"/>
        <v>622.76526653465123</v>
      </c>
      <c r="CD58" s="59">
        <f ca="1">AVERAGE(OFFSET($CC$3,0,0,'Données projet'!$E$12+1,1))-AVERAGE(OFFSET($H$3,0,0,'Données projet'!$E$12+1,1))</f>
        <v>265.17389489035344</v>
      </c>
      <c r="CE58" s="59">
        <f t="shared" si="40"/>
        <v>101.57852403610769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10.433653846153845</v>
      </c>
      <c r="CT58" s="12">
        <f>IF('Données projet'!$A$140&gt;35,CT57+CS58-DB57,IF(A58&lt;'Données projet'!$A$140,$CQ$205^A58,IF(A58='Données projet'!$A$140,'Données projet'!$B$140,CT57+CS58-DB57)))</f>
        <v>301.3317307692306</v>
      </c>
      <c r="CU58" s="17">
        <f>CT58*VLOOKUP('Données projet'!$B$13,Paramètres!$A$1:$I$89,3,0)*VLOOKUP('Données projet'!$B$13,Paramètres!$A$1:$I$89,5,0)</f>
        <v>180.1963749999999</v>
      </c>
      <c r="CV58" s="13">
        <f t="shared" si="41"/>
        <v>45.365873213127998</v>
      </c>
      <c r="CW58" s="20">
        <f t="shared" si="13"/>
        <v>392.85424897119771</v>
      </c>
      <c r="CX58" s="59">
        <f t="shared" si="14"/>
        <v>686.18758230453102</v>
      </c>
      <c r="CY58" s="59">
        <f ca="1">AVERAGE(OFFSET($CX$3,0,0,'Données projet'!$E$13+1,1))-AVERAGE(OFFSET($H$3,0,0,'Données projet'!$E$13+1,1))</f>
        <v>182.34243693018033</v>
      </c>
      <c r="CZ58" s="59">
        <f t="shared" si="42"/>
        <v>182.65916563909786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45.695723094864142</v>
      </c>
      <c r="DG58" s="21">
        <f>EXP(-LN(2)/25)*DG57+(1-EXP(-LN(2)/25))/(LN(2)/25)*Calculateur!DB58*Calculateur!DD58*VLOOKUP('Données projet'!$B$13,Paramètres!$A$1:$I$89,3,0)*0.475*44/12</f>
        <v>17.255077656954697</v>
      </c>
      <c r="DH58" s="21">
        <f>EXP(-LN(2)/2)*DH57+(1-EXP(-LN(2)/2))/(LN(2)/2)*DB58*DE58*VLOOKUP('Données projet'!$B$13,Paramètres!$A$1:$I$89,3,0)*0.475*44/12</f>
        <v>2.0883909838062502</v>
      </c>
      <c r="DI58" s="22">
        <f t="shared" si="15"/>
        <v>65.039191735625096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7.2307692307692264</v>
      </c>
      <c r="DO58" s="12">
        <f>IF('Données projet'!$A$166&gt;35,DO57+DN58-DW57,IF(A58&lt;'Données projet'!$A$166,$DL$205^A58,IF(A58='Données projet'!$A$166,'Données projet'!$B$166,DO57+DN58-DW57)))</f>
        <v>166.29487179487191</v>
      </c>
      <c r="DP58" s="17">
        <f>DO58*VLOOKUP('Données projet'!$B$14,Paramètres!$A$1:$I$89,3,0)*VLOOKUP('Données projet'!$B$14,Paramètres!$A$1:$I$89,5,0)</f>
        <v>158.2462000000001</v>
      </c>
      <c r="DQ58" s="13">
        <f t="shared" si="43"/>
        <v>40.446687531211523</v>
      </c>
      <c r="DR58" s="20">
        <f t="shared" si="16"/>
        <v>346.05677911686024</v>
      </c>
      <c r="DS58" s="59">
        <f t="shared" si="17"/>
        <v>639.39011245019356</v>
      </c>
      <c r="DT58" s="59">
        <f ca="1">AVERAGE(OFFSET($DS$3,0,0,'Données projet'!$E$14+1,1))-AVERAGE(OFFSET($H$3,0,0,'Données projet'!$E$14+1,1))</f>
        <v>286.10360882057586</v>
      </c>
      <c r="DU58" s="59">
        <f t="shared" si="44"/>
        <v>109.24531387923128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386.23062784445136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262.42149466677068</v>
      </c>
      <c r="T59" s="59">
        <f t="shared" si="34"/>
        <v>232.7693253699756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446.47692307692301</v>
      </c>
      <c r="AG59" s="12">
        <f>VLOOKUP(A59,'Données projet'!$A$61:$I$81,9,0)</f>
        <v>12.837499999999991</v>
      </c>
      <c r="AH59" s="12">
        <f t="array" ref="AH59">INDEX(AG:AG,MIN(IF(ISNUMBER(AG59:AG255),ROW(AG59:AG255),"")))</f>
        <v>12.837499999999991</v>
      </c>
      <c r="AI59" s="13">
        <f>IF('Données projet'!$A$62&gt;35,AI58+AH59-AQ58,IF(A59&lt;'Données projet'!$A$62,$AF$205^A59,IF(A59='Données projet'!$A$62,'Données projet'!$B$62,AI58+AH59-AQ58)))</f>
        <v>446.47692307692284</v>
      </c>
      <c r="AJ59" s="13">
        <f>AI59*VLOOKUP('Données projet'!$B$10,Paramètres!$A$1:$I$89,3,0)*VLOOKUP('Données projet'!$B$10,Paramètres!$A$1:$I$89,5,0)</f>
        <v>266.99319999999989</v>
      </c>
      <c r="AK59" s="13">
        <f t="shared" si="35"/>
        <v>64.210735131625498</v>
      </c>
      <c r="AL59" s="20">
        <f t="shared" si="4"/>
        <v>576.84685368758085</v>
      </c>
      <c r="AM59" s="59">
        <f t="shared" si="5"/>
        <v>870.18018702091422</v>
      </c>
      <c r="AN59" s="59">
        <f ca="1">AVERAGE(OFFSET($AM$3,0,0,'Données projet'!$E$10+1,1))-AVERAGE(OFFSET($H$3,0,0,'Données projet'!$E$10+1,1))</f>
        <v>249.37919739649828</v>
      </c>
      <c r="AO59" s="59">
        <f t="shared" si="36"/>
        <v>315.05045383693073</v>
      </c>
      <c r="AP59" s="15">
        <f>IF(ISNA(VLOOKUP(A59,'Données projet'!$A$61:$I$81,3,0)),0,VLOOKUP(A59,'Données projet'!$A$61:$I$81,3,0))</f>
        <v>7</v>
      </c>
      <c r="AQ59" s="15">
        <f>IF(ISNA(VLOOKUP(A59,'Données projet'!$A$61:$I$81,4,0)),0,VLOOKUP(A59,'Données projet'!$A$61:$I$81,4,0))</f>
        <v>446.47692307692301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162.84792782712228</v>
      </c>
      <c r="AV59" s="21">
        <f>EXP(-LN(2)/25)*AV58+(1-EXP(-LN(2)/25))/(LN(2)/25)*Calculateur!AQ59*Calculateur!AS59*VLOOKUP('Données projet'!$B$10,Paramètres!$A$1:$I$89,3,0)*0.475*44/12</f>
        <v>44.200577593110729</v>
      </c>
      <c r="AW59" s="21">
        <f>EXP(-LN(2)/2)*AW58+(1-EXP(-LN(2)/2))/(LN(2)/2)*AQ59*AT59*VLOOKUP('Données projet'!$B$10,Paramètres!$A$1:$I$89,3,0)*0.475*44/12</f>
        <v>40.406370942809481</v>
      </c>
      <c r="AX59" s="21">
        <f t="shared" si="6"/>
        <v>247.45487636304247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</v>
      </c>
      <c r="BD59" s="12">
        <f>IF('Données projet'!$A$88&gt;35,BD58+BC59-BL58,IF(A59&lt;'Données projet'!$A$88,$BA$205^A59,IF(A59='Données projet'!$A$88,'Données projet'!$B$88,BD58+BC59-BL58)))</f>
        <v>168.99999999999997</v>
      </c>
      <c r="BE59" s="13">
        <f>BD59*VLOOKUP('Données projet'!$B$11,Paramètres!$A$1:$I$89,3,0)*VLOOKUP('Données projet'!$B$11,Paramètres!$A$1:$I$89,5,0)</f>
        <v>147.63839999999999</v>
      </c>
      <c r="BF59" s="13">
        <f t="shared" si="37"/>
        <v>38.041408878951295</v>
      </c>
      <c r="BG59" s="20">
        <f t="shared" si="7"/>
        <v>323.39233379750681</v>
      </c>
      <c r="BH59" s="59">
        <f t="shared" si="8"/>
        <v>616.72566713084007</v>
      </c>
      <c r="BI59" s="59">
        <f ca="1">AVERAGE(OFFSET($BH$3,0,0,'Données projet'!$E$11+1,1))-AVERAGE(OFFSET($H$3,0,0,'Données projet'!$E$11+1,1))</f>
        <v>186.80594222554424</v>
      </c>
      <c r="BJ59" s="59">
        <f t="shared" si="38"/>
        <v>179.02867751001872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2.7684472126389847</v>
      </c>
      <c r="BQ59" s="21">
        <f>EXP(-LN(2)/25)*BQ58+(1-EXP(-LN(2)/25))/(LN(2)/25)*Calculateur!BL59*Calculateur!BN59*VLOOKUP('Données projet'!$B$11,Paramètres!$A$1:$I$89,3,0)*0.475*44/12</f>
        <v>11.4388748707768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14.207322083415786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7.2307692307692264</v>
      </c>
      <c r="BY59" s="12">
        <f>IF('Données projet'!$A$114&gt;35,BY58+BX59-CG58,IF(A59&lt;'Données projet'!$A$114,$BV$205^A59,IF(A59='Données projet'!$A$114,'Données projet'!$B$114,BY58+BX59-CG58)))</f>
        <v>173.52564102564114</v>
      </c>
      <c r="BZ59" s="13">
        <f>BY59*VLOOKUP('Données projet'!$B$12,Paramètres!$A$1:$I$89,3,0)*VLOOKUP('Données projet'!$B$12,Paramètres!$A$1:$I$89,5,0)</f>
        <v>157.00600000000009</v>
      </c>
      <c r="CA59" s="13">
        <f t="shared" si="39"/>
        <v>40.166469723989842</v>
      </c>
      <c r="CB59" s="20">
        <f t="shared" si="10"/>
        <v>343.40871810261575</v>
      </c>
      <c r="CC59" s="59">
        <f t="shared" si="11"/>
        <v>636.74205143594907</v>
      </c>
      <c r="CD59" s="59">
        <f ca="1">AVERAGE(OFFSET($CC$3,0,0,'Données projet'!$E$12+1,1))-AVERAGE(OFFSET($H$3,0,0,'Données projet'!$E$12+1,1))</f>
        <v>265.17389489035344</v>
      </c>
      <c r="CE59" s="59">
        <f t="shared" si="40"/>
        <v>101.57852403610769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10.433653846153845</v>
      </c>
      <c r="CT59" s="12">
        <f>IF('Données projet'!$A$140&gt;35,CT58+CS59-DB58,IF(A59&lt;'Données projet'!$A$140,$CQ$205^A59,IF(A59='Données projet'!$A$140,'Données projet'!$B$140,CT58+CS59-DB58)))</f>
        <v>311.76538461538445</v>
      </c>
      <c r="CU59" s="17">
        <f>CT59*VLOOKUP('Données projet'!$B$13,Paramètres!$A$1:$I$89,3,0)*VLOOKUP('Données projet'!$B$13,Paramètres!$A$1:$I$89,5,0)</f>
        <v>186.43569999999991</v>
      </c>
      <c r="CV59" s="13">
        <f t="shared" si="41"/>
        <v>46.751070304344388</v>
      </c>
      <c r="CW59" s="20">
        <f t="shared" si="13"/>
        <v>406.13362494673294</v>
      </c>
      <c r="CX59" s="59">
        <f t="shared" si="14"/>
        <v>699.46695828006625</v>
      </c>
      <c r="CY59" s="59">
        <f ca="1">AVERAGE(OFFSET($CX$3,0,0,'Données projet'!$E$13+1,1))-AVERAGE(OFFSET($H$3,0,0,'Données projet'!$E$13+1,1))</f>
        <v>182.34243693018033</v>
      </c>
      <c r="CZ59" s="59">
        <f t="shared" si="42"/>
        <v>182.65916563909786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44.799657836612852</v>
      </c>
      <c r="DG59" s="21">
        <f>EXP(-LN(2)/25)*DG58+(1-EXP(-LN(2)/25))/(LN(2)/25)*Calculateur!DB59*Calculateur!DD59*VLOOKUP('Données projet'!$B$13,Paramètres!$A$1:$I$89,3,0)*0.475*44/12</f>
        <v>16.783236651020175</v>
      </c>
      <c r="DH59" s="21">
        <f>EXP(-LN(2)/2)*DH58+(1-EXP(-LN(2)/2))/(LN(2)/2)*DB59*DE59*VLOOKUP('Données projet'!$B$13,Paramètres!$A$1:$I$89,3,0)*0.475*44/12</f>
        <v>1.4767154264182449</v>
      </c>
      <c r="DI59" s="22">
        <f t="shared" si="15"/>
        <v>63.059609914051272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7.2307692307692264</v>
      </c>
      <c r="DO59" s="12">
        <f>IF('Données projet'!$A$166&gt;35,DO58+DN59-DW58,IF(A59&lt;'Données projet'!$A$166,$DL$205^A59,IF(A59='Données projet'!$A$166,'Données projet'!$B$166,DO58+DN59-DW58)))</f>
        <v>173.52564102564114</v>
      </c>
      <c r="DP59" s="17">
        <f>DO59*VLOOKUP('Données projet'!$B$14,Paramètres!$A$1:$I$89,3,0)*VLOOKUP('Données projet'!$B$14,Paramètres!$A$1:$I$89,5,0)</f>
        <v>165.12700000000012</v>
      </c>
      <c r="DQ59" s="13">
        <f t="shared" si="43"/>
        <v>41.996793216407909</v>
      </c>
      <c r="DR59" s="20">
        <f t="shared" si="16"/>
        <v>360.74060651857735</v>
      </c>
      <c r="DS59" s="59">
        <f t="shared" si="17"/>
        <v>654.07393985191061</v>
      </c>
      <c r="DT59" s="59">
        <f ca="1">AVERAGE(OFFSET($DS$3,0,0,'Données projet'!$E$14+1,1))-AVERAGE(OFFSET($H$3,0,0,'Données projet'!$E$14+1,1))</f>
        <v>286.10360882057586</v>
      </c>
      <c r="DU59" s="59">
        <f t="shared" si="44"/>
        <v>109.24531387923128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387.84470769135464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262.42149466677068</v>
      </c>
      <c r="T60" s="59">
        <f t="shared" si="34"/>
        <v>232.7693253699756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-1.7053025658242404E-13</v>
      </c>
      <c r="AJ60" s="13">
        <f>AI60*VLOOKUP('Données projet'!$B$10,Paramètres!$A$1:$I$89,3,0)*VLOOKUP('Données projet'!$B$10,Paramètres!$A$1:$I$89,5,0)</f>
        <v>-1.0197709343628959E-13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249.37919739649828</v>
      </c>
      <c r="AO60" s="59">
        <f t="shared" si="36"/>
        <v>315.05045383693073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159.65457928986061</v>
      </c>
      <c r="AV60" s="21">
        <f>EXP(-LN(2)/25)*AV59+(1-EXP(-LN(2)/25))/(LN(2)/25)*Calculateur!AQ60*Calculateur!AS60*VLOOKUP('Données projet'!$B$10,Paramètres!$A$1:$I$89,3,0)*0.475*44/12</f>
        <v>42.991910474419761</v>
      </c>
      <c r="AW60" s="21">
        <f>EXP(-LN(2)/2)*AW59+(1-EXP(-LN(2)/2))/(LN(2)/2)*AQ60*AT60*VLOOKUP('Données projet'!$B$10,Paramètres!$A$1:$I$89,3,0)*0.475*44/12</f>
        <v>28.571618896799659</v>
      </c>
      <c r="AX60" s="21">
        <f t="shared" si="6"/>
        <v>231.21810866108004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</v>
      </c>
      <c r="BD60" s="12">
        <f>IF('Données projet'!$A$88&gt;35,BD59+BC60-BL59,IF(A60&lt;'Données projet'!$A$88,$BA$205^A60,IF(A60='Données projet'!$A$88,'Données projet'!$B$88,BD59+BC60-BL59)))</f>
        <v>173.99999999999997</v>
      </c>
      <c r="BE60" s="13">
        <f>BD60*VLOOKUP('Données projet'!$B$11,Paramètres!$A$1:$I$89,3,0)*VLOOKUP('Données projet'!$B$11,Paramètres!$A$1:$I$89,5,0)</f>
        <v>152.00640000000001</v>
      </c>
      <c r="BF60" s="13">
        <f t="shared" si="37"/>
        <v>39.03419401656145</v>
      </c>
      <c r="BG60" s="20">
        <f t="shared" si="7"/>
        <v>332.72903457884451</v>
      </c>
      <c r="BH60" s="59">
        <f t="shared" si="8"/>
        <v>626.06236791217782</v>
      </c>
      <c r="BI60" s="59">
        <f ca="1">AVERAGE(OFFSET($BH$3,0,0,'Données projet'!$E$11+1,1))-AVERAGE(OFFSET($H$3,0,0,'Données projet'!$E$11+1,1))</f>
        <v>186.80594222554424</v>
      </c>
      <c r="BJ60" s="59">
        <f t="shared" si="38"/>
        <v>179.02867751001872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2.7141596513852</v>
      </c>
      <c r="BQ60" s="21">
        <f>EXP(-LN(2)/25)*BQ59+(1-EXP(-LN(2)/25))/(LN(2)/25)*Calculateur!BL60*Calculateur!BN60*VLOOKUP('Données projet'!$B$11,Paramètres!$A$1:$I$89,3,0)*0.475*44/12</f>
        <v>11.126078235891123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13.840237887276324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7.2307692307692264</v>
      </c>
      <c r="BY60" s="12">
        <f>IF('Données projet'!$A$114&gt;35,BY59+BX60-CG59,IF(A60&lt;'Données projet'!$A$114,$BV$205^A60,IF(A60='Données projet'!$A$114,'Données projet'!$B$114,BY59+BX60-CG59)))</f>
        <v>180.75641025641036</v>
      </c>
      <c r="BZ60" s="13">
        <f>BY60*VLOOKUP('Données projet'!$B$12,Paramètres!$A$1:$I$89,3,0)*VLOOKUP('Données projet'!$B$12,Paramètres!$A$1:$I$89,5,0)</f>
        <v>163.54840000000007</v>
      </c>
      <c r="CA60" s="13">
        <f t="shared" si="39"/>
        <v>41.641842320311184</v>
      </c>
      <c r="CB60" s="20">
        <f t="shared" si="10"/>
        <v>357.37300537454212</v>
      </c>
      <c r="CC60" s="59">
        <f t="shared" si="11"/>
        <v>650.70633870787537</v>
      </c>
      <c r="CD60" s="59">
        <f ca="1">AVERAGE(OFFSET($CC$3,0,0,'Données projet'!$E$12+1,1))-AVERAGE(OFFSET($H$3,0,0,'Données projet'!$E$12+1,1))</f>
        <v>265.17389489035344</v>
      </c>
      <c r="CE60" s="59">
        <f t="shared" si="40"/>
        <v>101.57852403610769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10.433653846153845</v>
      </c>
      <c r="CT60" s="12">
        <f>IF('Données projet'!$A$140&gt;35,CT59+CS60-DB59,IF(A60&lt;'Données projet'!$A$140,$CQ$205^A60,IF(A60='Données projet'!$A$140,'Données projet'!$B$140,CT59+CS60-DB59)))</f>
        <v>322.19903846153829</v>
      </c>
      <c r="CU60" s="17">
        <f>CT60*VLOOKUP('Données projet'!$B$13,Paramètres!$A$1:$I$89,3,0)*VLOOKUP('Données projet'!$B$13,Paramètres!$A$1:$I$89,5,0)</f>
        <v>192.67502499999992</v>
      </c>
      <c r="CV60" s="13">
        <f t="shared" si="41"/>
        <v>48.130880815569739</v>
      </c>
      <c r="CW60" s="20">
        <f t="shared" si="13"/>
        <v>419.40361929545043</v>
      </c>
      <c r="CX60" s="59">
        <f t="shared" si="14"/>
        <v>712.73695262878368</v>
      </c>
      <c r="CY60" s="59">
        <f ca="1">AVERAGE(OFFSET($CX$3,0,0,'Données projet'!$E$13+1,1))-AVERAGE(OFFSET($H$3,0,0,'Données projet'!$E$13+1,1))</f>
        <v>182.34243693018033</v>
      </c>
      <c r="CZ60" s="59">
        <f t="shared" si="42"/>
        <v>182.65916563909786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43.921163871530027</v>
      </c>
      <c r="DG60" s="21">
        <f>EXP(-LN(2)/25)*DG59+(1-EXP(-LN(2)/25))/(LN(2)/25)*Calculateur!DB60*Calculateur!DD60*VLOOKUP('Données projet'!$B$13,Paramètres!$A$1:$I$89,3,0)*0.475*44/12</f>
        <v>16.32429816220597</v>
      </c>
      <c r="DH60" s="21">
        <f>EXP(-LN(2)/2)*DH59+(1-EXP(-LN(2)/2))/(LN(2)/2)*DB60*DE60*VLOOKUP('Données projet'!$B$13,Paramètres!$A$1:$I$89,3,0)*0.475*44/12</f>
        <v>1.0441954919031251</v>
      </c>
      <c r="DI60" s="22">
        <f t="shared" si="15"/>
        <v>61.289657525639122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7.2307692307692264</v>
      </c>
      <c r="DO60" s="12">
        <f>IF('Données projet'!$A$166&gt;35,DO59+DN60-DW59,IF(A60&lt;'Données projet'!$A$166,$DL$205^A60,IF(A60='Données projet'!$A$166,'Données projet'!$B$166,DO59+DN60-DW59)))</f>
        <v>180.75641025641036</v>
      </c>
      <c r="DP60" s="17">
        <f>DO60*VLOOKUP('Données projet'!$B$14,Paramètres!$A$1:$I$89,3,0)*VLOOKUP('Données projet'!$B$14,Paramètres!$A$1:$I$89,5,0)</f>
        <v>172.00780000000009</v>
      </c>
      <c r="DQ60" s="13">
        <f t="shared" si="43"/>
        <v>43.539396245019532</v>
      </c>
      <c r="DR60" s="20">
        <f t="shared" si="16"/>
        <v>375.41136679340917</v>
      </c>
      <c r="DS60" s="59">
        <f t="shared" si="17"/>
        <v>668.74470012674249</v>
      </c>
      <c r="DT60" s="59">
        <f ca="1">AVERAGE(OFFSET($DS$3,0,0,'Données projet'!$E$14+1,1))-AVERAGE(OFFSET($H$3,0,0,'Données projet'!$E$14+1,1))</f>
        <v>286.10360882057586</v>
      </c>
      <c r="DU60" s="59">
        <f t="shared" si="44"/>
        <v>109.24531387923128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389.4580998303984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262.42149466677068</v>
      </c>
      <c r="T61" s="59">
        <f t="shared" si="34"/>
        <v>232.7693253699756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-1.7053025658242404E-13</v>
      </c>
      <c r="AJ61" s="13">
        <f>AI61*VLOOKUP('Données projet'!$B$10,Paramètres!$A$1:$I$89,3,0)*VLOOKUP('Données projet'!$B$10,Paramètres!$A$1:$I$89,5,0)</f>
        <v>-1.0197709343628959E-13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249.37919739649828</v>
      </c>
      <c r="AO61" s="59">
        <f t="shared" si="36"/>
        <v>315.05045383693073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156.52385036966436</v>
      </c>
      <c r="AV61" s="21">
        <f>EXP(-LN(2)/25)*AV60+(1-EXP(-LN(2)/25))/(LN(2)/25)*Calculateur!AQ61*Calculateur!AS61*VLOOKUP('Données projet'!$B$10,Paramètres!$A$1:$I$89,3,0)*0.475*44/12</f>
        <v>41.81629442165044</v>
      </c>
      <c r="AW61" s="21">
        <f>EXP(-LN(2)/2)*AW60+(1-EXP(-LN(2)/2))/(LN(2)/2)*AQ61*AT61*VLOOKUP('Données projet'!$B$10,Paramètres!$A$1:$I$89,3,0)*0.475*44/12</f>
        <v>20.203185471404744</v>
      </c>
      <c r="AX61" s="21">
        <f t="shared" si="6"/>
        <v>218.54333026271954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</v>
      </c>
      <c r="BD61" s="12">
        <f>IF('Données projet'!$A$88&gt;35,BD60+BC61-BL60,IF(A61&lt;'Données projet'!$A$88,$BA$205^A61,IF(A61='Données projet'!$A$88,'Données projet'!$B$88,BD60+BC61-BL60)))</f>
        <v>178.99999999999997</v>
      </c>
      <c r="BE61" s="13">
        <f>BD61*VLOOKUP('Données projet'!$B$11,Paramètres!$A$1:$I$89,3,0)*VLOOKUP('Données projet'!$B$11,Paramètres!$A$1:$I$89,5,0)</f>
        <v>156.37440000000001</v>
      </c>
      <c r="BF61" s="13">
        <f t="shared" si="37"/>
        <v>40.023663524293205</v>
      </c>
      <c r="BG61" s="20">
        <f t="shared" si="7"/>
        <v>342.05996063814399</v>
      </c>
      <c r="BH61" s="59">
        <f t="shared" si="8"/>
        <v>635.39329397147731</v>
      </c>
      <c r="BI61" s="59">
        <f ca="1">AVERAGE(OFFSET($BH$3,0,0,'Données projet'!$E$11+1,1))-AVERAGE(OFFSET($H$3,0,0,'Données projet'!$E$11+1,1))</f>
        <v>186.80594222554424</v>
      </c>
      <c r="BJ61" s="59">
        <f t="shared" si="38"/>
        <v>179.02867751001872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2.6609366360954589</v>
      </c>
      <c r="BQ61" s="21">
        <f>EXP(-LN(2)/25)*BQ60+(1-EXP(-LN(2)/25))/(LN(2)/25)*Calculateur!BL61*Calculateur!BN61*VLOOKUP('Données projet'!$B$11,Paramètres!$A$1:$I$89,3,0)*0.475*44/12</f>
        <v>10.821835041435655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13.482771677531113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187.98717948717947</v>
      </c>
      <c r="BW61" s="12">
        <f>VLOOKUP(A61,'Données projet'!$A$113:$I$133,9,0)</f>
        <v>7.2307692307692264</v>
      </c>
      <c r="BX61" s="12">
        <f t="array" ref="BX61">INDEX(BW:BW,MIN(IF(ISNUMBER(BW61:BW257),ROW(BW61:BW257),"")))</f>
        <v>7.2307692307692264</v>
      </c>
      <c r="BY61" s="12">
        <f>IF('Données projet'!$A$114&gt;35,BY60+BX61-CG60,IF(A61&lt;'Données projet'!$A$114,$BV$205^A61,IF(A61='Données projet'!$A$114,'Données projet'!$B$114,BY60+BX61-CG60)))</f>
        <v>187.98717948717959</v>
      </c>
      <c r="BZ61" s="13">
        <f>BY61*VLOOKUP('Données projet'!$B$12,Paramètres!$A$1:$I$89,3,0)*VLOOKUP('Données projet'!$B$12,Paramètres!$A$1:$I$89,5,0)</f>
        <v>170.09080000000009</v>
      </c>
      <c r="CA61" s="13">
        <f t="shared" si="39"/>
        <v>43.1103591327537</v>
      </c>
      <c r="CB61" s="20">
        <f t="shared" si="10"/>
        <v>371.32535215621283</v>
      </c>
      <c r="CC61" s="59">
        <f t="shared" si="11"/>
        <v>664.65868548954609</v>
      </c>
      <c r="CD61" s="59">
        <f ca="1">AVERAGE(OFFSET($CC$3,0,0,'Données projet'!$E$12+1,1))-AVERAGE(OFFSET($H$3,0,0,'Données projet'!$E$12+1,1))</f>
        <v>265.17389489035344</v>
      </c>
      <c r="CE61" s="59">
        <f t="shared" si="40"/>
        <v>101.57852403610769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35.88461538461538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10.433653846153845</v>
      </c>
      <c r="CT61" s="12">
        <f>IF('Données projet'!$A$140&gt;35,CT60+CS61-DB60,IF(A61&lt;'Données projet'!$A$140,$CQ$205^A61,IF(A61='Données projet'!$A$140,'Données projet'!$B$140,CT60+CS61-DB60)))</f>
        <v>332.63269230769214</v>
      </c>
      <c r="CU61" s="17">
        <f>CT61*VLOOKUP('Données projet'!$B$13,Paramètres!$A$1:$I$89,3,0)*VLOOKUP('Données projet'!$B$13,Paramètres!$A$1:$I$89,5,0)</f>
        <v>198.91434999999993</v>
      </c>
      <c r="CV61" s="13">
        <f t="shared" si="41"/>
        <v>49.50549918474259</v>
      </c>
      <c r="CW61" s="20">
        <f t="shared" si="13"/>
        <v>432.66457066342656</v>
      </c>
      <c r="CX61" s="59">
        <f t="shared" si="14"/>
        <v>725.99790399675987</v>
      </c>
      <c r="CY61" s="59">
        <f ca="1">AVERAGE(OFFSET($CX$3,0,0,'Données projet'!$E$13+1,1))-AVERAGE(OFFSET($H$3,0,0,'Données projet'!$E$13+1,1))</f>
        <v>182.34243693018033</v>
      </c>
      <c r="CZ61" s="59">
        <f t="shared" si="42"/>
        <v>182.65916563909786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43.059896637274065</v>
      </c>
      <c r="DG61" s="21">
        <f>EXP(-LN(2)/25)*DG60+(1-EXP(-LN(2)/25))/(LN(2)/25)*Calculateur!DB61*Calculateur!DD61*VLOOKUP('Données projet'!$B$13,Paramètres!$A$1:$I$89,3,0)*0.475*44/12</f>
        <v>15.877909370502918</v>
      </c>
      <c r="DH61" s="21">
        <f>EXP(-LN(2)/2)*DH60+(1-EXP(-LN(2)/2))/(LN(2)/2)*DB61*DE61*VLOOKUP('Données projet'!$B$13,Paramètres!$A$1:$I$89,3,0)*0.475*44/12</f>
        <v>0.73835771320912247</v>
      </c>
      <c r="DI61" s="22">
        <f t="shared" si="15"/>
        <v>59.676163720986104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187.98717948717947</v>
      </c>
      <c r="DM61" s="12">
        <f>VLOOKUP(A61,'Données projet'!$A$165:$I$185,9,0)</f>
        <v>7.2307692307692264</v>
      </c>
      <c r="DN61" s="12">
        <f t="array" ref="DN61">INDEX(DM:DM,MIN(IF(ISNUMBER(DM61:DM257),ROW(DM61:DM257),"")))</f>
        <v>7.2307692307692264</v>
      </c>
      <c r="DO61" s="12">
        <f>IF('Données projet'!$A$166&gt;35,DO60+DN61-DW60,IF(A61&lt;'Données projet'!$A$166,$DL$205^A61,IF(A61='Données projet'!$A$166,'Données projet'!$B$166,DO60+DN61-DW60)))</f>
        <v>187.98717948717959</v>
      </c>
      <c r="DP61" s="17">
        <f>DO61*VLOOKUP('Données projet'!$B$14,Paramètres!$A$1:$I$89,3,0)*VLOOKUP('Données projet'!$B$14,Paramètres!$A$1:$I$89,5,0)</f>
        <v>178.88860000000011</v>
      </c>
      <c r="DQ61" s="13">
        <f t="shared" si="43"/>
        <v>45.074831082354279</v>
      </c>
      <c r="DR61" s="20">
        <f t="shared" si="16"/>
        <v>390.06964246843387</v>
      </c>
      <c r="DS61" s="59">
        <f t="shared" si="17"/>
        <v>683.40297580176718</v>
      </c>
      <c r="DT61" s="59">
        <f ca="1">AVERAGE(OFFSET($DS$3,0,0,'Données projet'!$E$14+1,1))-AVERAGE(OFFSET($H$3,0,0,'Données projet'!$E$14+1,1))</f>
        <v>286.10360882057586</v>
      </c>
      <c r="DU61" s="59">
        <f t="shared" si="44"/>
        <v>109.24531387923128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35.88461538461538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391.07081748682009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262.42149466677068</v>
      </c>
      <c r="T62" s="59">
        <f t="shared" si="34"/>
        <v>232.7693253699756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-1.7053025658242404E-13</v>
      </c>
      <c r="AJ62" s="13">
        <f>AI62*VLOOKUP('Données projet'!$B$10,Paramètres!$A$1:$I$89,3,0)*VLOOKUP('Données projet'!$B$10,Paramètres!$A$1:$I$89,5,0)</f>
        <v>-1.0197709343628959E-13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249.37919739649828</v>
      </c>
      <c r="AO62" s="59">
        <f t="shared" si="36"/>
        <v>315.05045383693073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153.45451313403709</v>
      </c>
      <c r="AV62" s="21">
        <f>EXP(-LN(2)/25)*AV61+(1-EXP(-LN(2)/25))/(LN(2)/25)*Calculateur!AQ62*Calculateur!AS62*VLOOKUP('Données projet'!$B$10,Paramètres!$A$1:$I$89,3,0)*0.475*44/12</f>
        <v>40.672825651667054</v>
      </c>
      <c r="AW62" s="21">
        <f>EXP(-LN(2)/2)*AW61+(1-EXP(-LN(2)/2))/(LN(2)/2)*AQ62*AT62*VLOOKUP('Données projet'!$B$10,Paramètres!$A$1:$I$89,3,0)*0.475*44/12</f>
        <v>14.285809448399831</v>
      </c>
      <c r="AX62" s="21">
        <f t="shared" si="6"/>
        <v>208.41314823410397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</v>
      </c>
      <c r="BD62" s="12">
        <f>IF('Données projet'!$A$88&gt;35,BD61+BC62-BL61,IF(A62&lt;'Données projet'!$A$88,$BA$205^A62,IF(A62='Données projet'!$A$88,'Données projet'!$B$88,BD61+BC62-BL61)))</f>
        <v>183.99999999999997</v>
      </c>
      <c r="BE62" s="13">
        <f>BD62*VLOOKUP('Données projet'!$B$11,Paramètres!$A$1:$I$89,3,0)*VLOOKUP('Données projet'!$B$11,Paramètres!$A$1:$I$89,5,0)</f>
        <v>160.7424</v>
      </c>
      <c r="BF62" s="13">
        <f t="shared" si="37"/>
        <v>41.009920657227809</v>
      </c>
      <c r="BG62" s="20">
        <f t="shared" si="7"/>
        <v>351.38529181133845</v>
      </c>
      <c r="BH62" s="59">
        <f t="shared" si="8"/>
        <v>644.71862514467171</v>
      </c>
      <c r="BI62" s="59">
        <f ca="1">AVERAGE(OFFSET($BH$3,0,0,'Données projet'!$E$11+1,1))-AVERAGE(OFFSET($H$3,0,0,'Données projet'!$E$11+1,1))</f>
        <v>186.80594222554424</v>
      </c>
      <c r="BJ62" s="59">
        <f t="shared" si="38"/>
        <v>179.02867751001872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2.608757291672716</v>
      </c>
      <c r="BQ62" s="21">
        <f>EXP(-LN(2)/25)*BQ61+(1-EXP(-LN(2)/25))/(LN(2)/25)*Calculateur!BL62*Calculateur!BN62*VLOOKUP('Données projet'!$B$11,Paramètres!$A$1:$I$89,3,0)*0.475*44/12</f>
        <v>10.525911393132025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13.13466868480474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6.9975961538461569</v>
      </c>
      <c r="BY62" s="12">
        <f>IF('Données projet'!$A$114&gt;35,BY61+BX62-CG61,IF(A62&lt;'Données projet'!$A$114,$BV$205^A62,IF(A62='Données projet'!$A$114,'Données projet'!$B$114,BY61+BX62-CG61)))</f>
        <v>159.10016025641036</v>
      </c>
      <c r="BZ62" s="13">
        <f>BY62*VLOOKUP('Données projet'!$B$12,Paramètres!$A$1:$I$89,3,0)*VLOOKUP('Données projet'!$B$12,Paramètres!$A$1:$I$89,5,0)</f>
        <v>143.95382500000008</v>
      </c>
      <c r="CA62" s="13">
        <f t="shared" si="39"/>
        <v>37.201297925394456</v>
      </c>
      <c r="CB62" s="20">
        <f t="shared" si="10"/>
        <v>315.51183909506216</v>
      </c>
      <c r="CC62" s="59">
        <f t="shared" si="11"/>
        <v>608.84517242839547</v>
      </c>
      <c r="CD62" s="59">
        <f ca="1">AVERAGE(OFFSET($CC$3,0,0,'Données projet'!$E$12+1,1))-AVERAGE(OFFSET($H$3,0,0,'Données projet'!$E$12+1,1))</f>
        <v>265.17389489035344</v>
      </c>
      <c r="CE62" s="59">
        <f t="shared" si="40"/>
        <v>101.57852403610769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10.433653846153845</v>
      </c>
      <c r="CT62" s="12">
        <f>IF('Données projet'!$A$140&gt;35,CT61+CS62-DB61,IF(A62&lt;'Données projet'!$A$140,$CQ$205^A62,IF(A62='Données projet'!$A$140,'Données projet'!$B$140,CT61+CS62-DB61)))</f>
        <v>343.06634615384598</v>
      </c>
      <c r="CU62" s="17">
        <f>CT62*VLOOKUP('Données projet'!$B$13,Paramètres!$A$1:$I$89,3,0)*VLOOKUP('Données projet'!$B$13,Paramètres!$A$1:$I$89,5,0)</f>
        <v>205.15367499999991</v>
      </c>
      <c r="CV62" s="13">
        <f t="shared" si="41"/>
        <v>50.875106959180371</v>
      </c>
      <c r="CW62" s="20">
        <f t="shared" si="13"/>
        <v>445.9167952455723</v>
      </c>
      <c r="CX62" s="59">
        <f t="shared" si="14"/>
        <v>739.25012857890556</v>
      </c>
      <c r="CY62" s="59">
        <f ca="1">AVERAGE(OFFSET($CX$3,0,0,'Données projet'!$E$13+1,1))-AVERAGE(OFFSET($H$3,0,0,'Données projet'!$E$13+1,1))</f>
        <v>182.34243693018033</v>
      </c>
      <c r="CZ62" s="59">
        <f t="shared" si="42"/>
        <v>182.65916563909786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42.215518328160719</v>
      </c>
      <c r="DG62" s="21">
        <f>EXP(-LN(2)/25)*DG61+(1-EXP(-LN(2)/25))/(LN(2)/25)*Calculateur!DB62*Calculateur!DD62*VLOOKUP('Données projet'!$B$13,Paramètres!$A$1:$I$89,3,0)*0.475*44/12</f>
        <v>15.443727103783552</v>
      </c>
      <c r="DH62" s="21">
        <f>EXP(-LN(2)/2)*DH61+(1-EXP(-LN(2)/2))/(LN(2)/2)*DB62*DE62*VLOOKUP('Données projet'!$B$13,Paramètres!$A$1:$I$89,3,0)*0.475*44/12</f>
        <v>0.52209774595156255</v>
      </c>
      <c r="DI62" s="22">
        <f t="shared" si="15"/>
        <v>58.181343177895833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6.9975961538461569</v>
      </c>
      <c r="DO62" s="12">
        <f>IF('Données projet'!$A$166&gt;35,DO61+DN62-DW61,IF(A62&lt;'Données projet'!$A$166,$DL$205^A62,IF(A62='Données projet'!$A$166,'Données projet'!$B$166,DO61+DN62-DW61)))</f>
        <v>159.10016025641036</v>
      </c>
      <c r="DP62" s="17">
        <f>DO62*VLOOKUP('Données projet'!$B$14,Paramètres!$A$1:$I$89,3,0)*VLOOKUP('Données projet'!$B$14,Paramètres!$A$1:$I$89,5,0)</f>
        <v>151.39971250000011</v>
      </c>
      <c r="DQ62" s="13">
        <f t="shared" si="43"/>
        <v>38.896503155258742</v>
      </c>
      <c r="DR62" s="20">
        <f t="shared" si="16"/>
        <v>331.43257559957584</v>
      </c>
      <c r="DS62" s="59">
        <f t="shared" si="17"/>
        <v>624.76590893290916</v>
      </c>
      <c r="DT62" s="59">
        <f ca="1">AVERAGE(OFFSET($DS$3,0,0,'Données projet'!$E$14+1,1))-AVERAGE(OFFSET($H$3,0,0,'Données projet'!$E$14+1,1))</f>
        <v>286.10360882057586</v>
      </c>
      <c r="DU62" s="59">
        <f t="shared" si="44"/>
        <v>109.24531387923128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392.6828734118518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262.42149466677068</v>
      </c>
      <c r="T63" s="59">
        <f t="shared" si="34"/>
        <v>232.7693253699756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-1.7053025658242404E-13</v>
      </c>
      <c r="AJ63" s="13">
        <f>AI63*VLOOKUP('Données projet'!$B$10,Paramètres!$A$1:$I$89,3,0)*VLOOKUP('Données projet'!$B$10,Paramètres!$A$1:$I$89,5,0)</f>
        <v>-1.0197709343628959E-13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249.37919739649828</v>
      </c>
      <c r="AO63" s="59">
        <f t="shared" si="36"/>
        <v>315.05045383693073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150.4453637294896</v>
      </c>
      <c r="AV63" s="21">
        <f>EXP(-LN(2)/25)*AV62+(1-EXP(-LN(2)/25))/(LN(2)/25)*Calculateur!AQ63*Calculateur!AS63*VLOOKUP('Données projet'!$B$10,Paramètres!$A$1:$I$89,3,0)*0.475*44/12</f>
        <v>39.560625095331275</v>
      </c>
      <c r="AW63" s="21">
        <f>EXP(-LN(2)/2)*AW62+(1-EXP(-LN(2)/2))/(LN(2)/2)*AQ63*AT63*VLOOKUP('Données projet'!$B$10,Paramètres!$A$1:$I$89,3,0)*0.475*44/12</f>
        <v>10.101592735702374</v>
      </c>
      <c r="AX63" s="21">
        <f t="shared" si="6"/>
        <v>200.10758156052324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189</v>
      </c>
      <c r="BB63" s="12">
        <f>VLOOKUP(A63,'Données projet'!$A$87:$I$107,9,0)</f>
        <v>5</v>
      </c>
      <c r="BC63" s="12">
        <f t="array" ref="BC63">INDEX(BB:BB,MIN(IF(ISNUMBER(BB63:BB259),ROW(BB63:BB259),"")))</f>
        <v>5</v>
      </c>
      <c r="BD63" s="12">
        <f>IF('Données projet'!$A$88&gt;35,BD62+BC63-BL62,IF(A63&lt;'Données projet'!$A$88,$BA$205^A63,IF(A63='Données projet'!$A$88,'Données projet'!$B$88,BD62+BC63-BL62)))</f>
        <v>188.99999999999997</v>
      </c>
      <c r="BE63" s="13">
        <f>BD63*VLOOKUP('Données projet'!$B$11,Paramètres!$A$1:$I$89,3,0)*VLOOKUP('Données projet'!$B$11,Paramètres!$A$1:$I$89,5,0)</f>
        <v>165.1104</v>
      </c>
      <c r="BF63" s="13">
        <f t="shared" si="37"/>
        <v>41.993062739333446</v>
      </c>
      <c r="BG63" s="20">
        <f t="shared" si="7"/>
        <v>360.70519760433905</v>
      </c>
      <c r="BH63" s="59">
        <f t="shared" si="8"/>
        <v>654.03853093767236</v>
      </c>
      <c r="BI63" s="59">
        <f ca="1">AVERAGE(OFFSET($BH$3,0,0,'Données projet'!$E$11+1,1))-AVERAGE(OFFSET($H$3,0,0,'Données projet'!$E$11+1,1))</f>
        <v>186.80594222554424</v>
      </c>
      <c r="BJ63" s="59">
        <f t="shared" si="38"/>
        <v>179.02867751001872</v>
      </c>
      <c r="BK63" s="15">
        <f>IF(ISNA(VLOOKUP(A63,'Données projet'!$A$87:$I$107,3,0)),0,VLOOKUP(A63,'Données projet'!$A$87:$I$107,3,0))</f>
        <v>9</v>
      </c>
      <c r="BL63" s="15" t="str">
        <f>IF(ISNA(VLOOKUP(A63,'Données projet'!$A$87:$I$107,4,0)),0,VLOOKUP(A63,'Données projet'!$A$87:$I$107,4,0))</f>
        <v>16</v>
      </c>
      <c r="BM63" s="16">
        <f>IF(ISNA(VLOOKUP(A63,'Données projet'!$A$87:$I$107,5,0)),0%,VLOOKUP(A63,'Données projet'!$A$87:$I$107,5,0)*VLOOKUP('Données projet'!$B$11,Paramètres!$A$1:$I$89,7,0))</f>
        <v>0.17200000000000001</v>
      </c>
      <c r="BN63" s="16">
        <f>IF(ISNA(VLOOKUP(A63,'Données projet'!$A$87:$I$107,6,0)),0%,VLOOKUP(A63,'Données projet'!$A$87:$I$107,6,0)*VLOOKUP('Données projet'!$B$11,Paramètres!$A$1:$I$89,7,0))</f>
        <v>0.17200000000000001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5.2153146700049255</v>
      </c>
      <c r="BQ63" s="21">
        <f>EXP(-LN(2)/25)*BQ62+(1-EXP(-LN(2)/25))/(LN(2)/25)*Calculateur!BL63*Calculateur!BN63*VLOOKUP('Données projet'!$B$11,Paramètres!$A$1:$I$89,3,0)*0.475*44/12</f>
        <v>12.885328879403108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18.100643549408034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6.9975961538461569</v>
      </c>
      <c r="BY63" s="12">
        <f>IF('Données projet'!$A$114&gt;35,BY62+BX63-CG62,IF(A63&lt;'Données projet'!$A$114,$BV$205^A63,IF(A63='Données projet'!$A$114,'Données projet'!$B$114,BY62+BX63-CG62)))</f>
        <v>166.09775641025652</v>
      </c>
      <c r="BZ63" s="13">
        <f>BY63*VLOOKUP('Données projet'!$B$12,Paramètres!$A$1:$I$89,3,0)*VLOOKUP('Données projet'!$B$12,Paramètres!$A$1:$I$89,5,0)</f>
        <v>150.2852500000001</v>
      </c>
      <c r="CA63" s="13">
        <f t="shared" si="39"/>
        <v>38.643402537471268</v>
      </c>
      <c r="CB63" s="20">
        <f t="shared" si="10"/>
        <v>329.05073650276262</v>
      </c>
      <c r="CC63" s="59">
        <f t="shared" si="11"/>
        <v>622.38406983609593</v>
      </c>
      <c r="CD63" s="59">
        <f ca="1">AVERAGE(OFFSET($CC$3,0,0,'Données projet'!$E$12+1,1))-AVERAGE(OFFSET($H$3,0,0,'Données projet'!$E$12+1,1))</f>
        <v>265.17389489035344</v>
      </c>
      <c r="CE63" s="59">
        <f t="shared" si="40"/>
        <v>101.57852403610769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353.5</v>
      </c>
      <c r="CR63" s="12">
        <f>VLOOKUP(A63,'Données projet'!$A$139:$I$159,9,0)</f>
        <v>10.433653846153845</v>
      </c>
      <c r="CS63" s="12">
        <f t="array" ref="CS63">INDEX(CR:CR,MIN(IF(ISNUMBER(CR63:CR259),ROW(CR63:CR259),"")))</f>
        <v>10.433653846153845</v>
      </c>
      <c r="CT63" s="12">
        <f>IF('Données projet'!$A$140&gt;35,CT62+CS63-DB62,IF(A63&lt;'Données projet'!$A$140,$CQ$205^A63,IF(A63='Données projet'!$A$140,'Données projet'!$B$140,CT62+CS63-DB62)))</f>
        <v>353.49999999999983</v>
      </c>
      <c r="CU63" s="17">
        <f>CT63*VLOOKUP('Données projet'!$B$13,Paramètres!$A$1:$I$89,3,0)*VLOOKUP('Données projet'!$B$13,Paramètres!$A$1:$I$89,5,0)</f>
        <v>211.39299999999992</v>
      </c>
      <c r="CV63" s="13">
        <f t="shared" si="41"/>
        <v>52.239874015944039</v>
      </c>
      <c r="CW63" s="20">
        <f t="shared" si="13"/>
        <v>459.16058891110237</v>
      </c>
      <c r="CX63" s="59">
        <f t="shared" si="14"/>
        <v>752.49392224443568</v>
      </c>
      <c r="CY63" s="59">
        <f ca="1">AVERAGE(OFFSET($CX$3,0,0,'Données projet'!$E$13+1,1))-AVERAGE(OFFSET($H$3,0,0,'Données projet'!$E$13+1,1))</f>
        <v>182.34243693018033</v>
      </c>
      <c r="CZ63" s="59">
        <f t="shared" si="42"/>
        <v>182.65916563909786</v>
      </c>
      <c r="DA63" s="15">
        <f>IF(ISNA(VLOOKUP(A63,'Données projet'!$A$139:$I$159,3,0)),0,VLOOKUP(A63,'Données projet'!$A$139:$I$159,3,0))</f>
        <v>7</v>
      </c>
      <c r="DB63" s="15">
        <f>IF(ISNA(VLOOKUP(A63,'Données projet'!$A$139:$I$159,4,0)),0,VLOOKUP(A63,'Données projet'!$A$139:$I$159,4,0))</f>
        <v>353.5</v>
      </c>
      <c r="DC63" s="16">
        <f>IF(ISNA(VLOOKUP(A63,'Données projet'!$A$139:$I$159,5,0)),0%,VLOOKUP(A63,'Données projet'!$A$139:$I$159,5,0)*VLOOKUP('Données projet'!$B$13,Paramètres!$A$1:$I$89,7,0))</f>
        <v>0.315</v>
      </c>
      <c r="DD63" s="16">
        <f>IF(ISNA(VLOOKUP(A63,'Données projet'!$A$139:$I$159,6,0)),0%,VLOOKUP(A63,'Données projet'!$A$139:$I$159,6,0)*VLOOKUP('Données projet'!$B$13,Paramètres!$A$1:$I$89,7,0))</f>
        <v>7.5600000000000001E-2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129.72202634021937</v>
      </c>
      <c r="DG63" s="21">
        <f>EXP(-LN(2)/25)*DG62+(1-EXP(-LN(2)/25))/(LN(2)/25)*Calculateur!DB63*Calculateur!DD63*VLOOKUP('Données projet'!$B$13,Paramètres!$A$1:$I$89,3,0)*0.475*44/12</f>
        <v>36.138183014281665</v>
      </c>
      <c r="DH63" s="21">
        <f>EXP(-LN(2)/2)*DH62+(1-EXP(-LN(2)/2))/(LN(2)/2)*DB63*DE63*VLOOKUP('Données projet'!$B$13,Paramètres!$A$1:$I$89,3,0)*0.475*44/12</f>
        <v>31.962848489978171</v>
      </c>
      <c r="DI63" s="22">
        <f t="shared" si="15"/>
        <v>197.82305784447919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6.9975961538461569</v>
      </c>
      <c r="DO63" s="12">
        <f>IF('Données projet'!$A$166&gt;35,DO62+DN63-DW62,IF(A63&lt;'Données projet'!$A$166,$DL$205^A63,IF(A63='Données projet'!$A$166,'Données projet'!$B$166,DO62+DN63-DW62)))</f>
        <v>166.09775641025652</v>
      </c>
      <c r="DP63" s="17">
        <f>DO63*VLOOKUP('Données projet'!$B$14,Paramètres!$A$1:$I$89,3,0)*VLOOKUP('Données projet'!$B$14,Paramètres!$A$1:$I$89,5,0)</f>
        <v>158.05862500000012</v>
      </c>
      <c r="DQ63" s="13">
        <f t="shared" si="43"/>
        <v>40.40432222937681</v>
      </c>
      <c r="DR63" s="20">
        <f t="shared" si="16"/>
        <v>345.65629975783145</v>
      </c>
      <c r="DS63" s="59">
        <f t="shared" si="17"/>
        <v>638.98963309116471</v>
      </c>
      <c r="DT63" s="59">
        <f ca="1">AVERAGE(OFFSET($DS$3,0,0,'Données projet'!$E$14+1,1))-AVERAGE(OFFSET($H$3,0,0,'Données projet'!$E$14+1,1))</f>
        <v>286.10360882057586</v>
      </c>
      <c r="DU63" s="59">
        <f t="shared" si="44"/>
        <v>109.24531387923128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394.2942799073212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262.42149466677068</v>
      </c>
      <c r="T64" s="59">
        <f t="shared" si="34"/>
        <v>232.7693253699756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-1.0197709343628959E-13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249.37919739649828</v>
      </c>
      <c r="AO64" s="59">
        <f t="shared" si="36"/>
        <v>315.05045383693073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147.49522190936537</v>
      </c>
      <c r="AV64" s="21">
        <f>EXP(-LN(2)/25)*AV63+(1-EXP(-LN(2)/25))/(LN(2)/25)*Calculateur!AQ64*Calculateur!AS64*VLOOKUP('Données projet'!$B$10,Paramètres!$A$1:$I$89,3,0)*0.475*44/12</f>
        <v>38.478837721696586</v>
      </c>
      <c r="AW64" s="21">
        <f>EXP(-LN(2)/2)*AW63+(1-EXP(-LN(2)/2))/(LN(2)/2)*AQ64*AT64*VLOOKUP('Données projet'!$B$10,Paramètres!$A$1:$I$89,3,0)*0.475*44/12</f>
        <v>7.1429047241999166</v>
      </c>
      <c r="AX64" s="21">
        <f t="shared" si="6"/>
        <v>193.11696435526187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177.39999999999998</v>
      </c>
      <c r="BE64" s="13">
        <f>BD64*VLOOKUP('Données projet'!$B$11,Paramètres!$A$1:$I$89,3,0)*VLOOKUP('Données projet'!$B$11,Paramètres!$A$1:$I$89,5,0)</f>
        <v>154.97664</v>
      </c>
      <c r="BF64" s="13">
        <f t="shared" si="37"/>
        <v>39.707387607123913</v>
      </c>
      <c r="BG64" s="20">
        <f t="shared" si="7"/>
        <v>339.07468141574077</v>
      </c>
      <c r="BH64" s="59">
        <f t="shared" si="8"/>
        <v>632.40801474907403</v>
      </c>
      <c r="BI64" s="59">
        <f ca="1">AVERAGE(OFFSET($BH$3,0,0,'Données projet'!$E$11+1,1))-AVERAGE(OFFSET($H$3,0,0,'Données projet'!$E$11+1,1))</f>
        <v>186.80594222554424</v>
      </c>
      <c r="BJ64" s="59">
        <f t="shared" si="38"/>
        <v>179.02867751001872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5.1130455303539772</v>
      </c>
      <c r="BQ64" s="21">
        <f>EXP(-LN(2)/25)*BQ63+(1-EXP(-LN(2)/25))/(LN(2)/25)*Calculateur!BL64*Calculateur!BN64*VLOOKUP('Données projet'!$B$11,Paramètres!$A$1:$I$89,3,0)*0.475*44/12</f>
        <v>12.532978883585834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17.646024413939813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6.9975961538461569</v>
      </c>
      <c r="BY64" s="12">
        <f>IF('Données projet'!$A$114&gt;35,BY63+BX64-CG63,IF(A64&lt;'Données projet'!$A$114,$BV$205^A64,IF(A64='Données projet'!$A$114,'Données projet'!$B$114,BY63+BX64-CG63)))</f>
        <v>173.09535256410268</v>
      </c>
      <c r="BZ64" s="13">
        <f>BY64*VLOOKUP('Données projet'!$B$12,Paramètres!$A$1:$I$89,3,0)*VLOOKUP('Données projet'!$B$12,Paramètres!$A$1:$I$89,5,0)</f>
        <v>156.6166750000001</v>
      </c>
      <c r="CA64" s="13">
        <f t="shared" si="39"/>
        <v>40.078450376926597</v>
      </c>
      <c r="CB64" s="20">
        <f t="shared" si="10"/>
        <v>342.57734336481394</v>
      </c>
      <c r="CC64" s="59">
        <f t="shared" si="11"/>
        <v>635.9106766981472</v>
      </c>
      <c r="CD64" s="59">
        <f ca="1">AVERAGE(OFFSET($CC$3,0,0,'Données projet'!$E$12+1,1))-AVERAGE(OFFSET($H$3,0,0,'Données projet'!$E$12+1,1))</f>
        <v>265.17389489035344</v>
      </c>
      <c r="CE64" s="59">
        <f t="shared" si="40"/>
        <v>101.57852403610769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-1.7053025658242404E-13</v>
      </c>
      <c r="CU64" s="17">
        <f>CT64*VLOOKUP('Données projet'!$B$13,Paramètres!$A$1:$I$89,3,0)*VLOOKUP('Données projet'!$B$13,Paramètres!$A$1:$I$89,5,0)</f>
        <v>-1.0197709343628959E-13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182.34243693018033</v>
      </c>
      <c r="CZ64" s="59">
        <f t="shared" si="42"/>
        <v>182.65916563909786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127.17825652631103</v>
      </c>
      <c r="DG64" s="21">
        <f>EXP(-LN(2)/25)*DG63+(1-EXP(-LN(2)/25))/(LN(2)/25)*Calculateur!DB64*Calculateur!DD64*VLOOKUP('Données projet'!$B$13,Paramètres!$A$1:$I$89,3,0)*0.475*44/12</f>
        <v>35.149982499331685</v>
      </c>
      <c r="DH64" s="21">
        <f>EXP(-LN(2)/2)*DH63+(1-EXP(-LN(2)/2))/(LN(2)/2)*DB64*DE64*VLOOKUP('Données projet'!$B$13,Paramètres!$A$1:$I$89,3,0)*0.475*44/12</f>
        <v>22.601146913301768</v>
      </c>
      <c r="DI64" s="22">
        <f t="shared" si="15"/>
        <v>184.92938593894448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6.9975961538461569</v>
      </c>
      <c r="DO64" s="12">
        <f>IF('Données projet'!$A$166&gt;35,DO63+DN64-DW63,IF(A64&lt;'Données projet'!$A$166,$DL$205^A64,IF(A64='Données projet'!$A$166,'Données projet'!$B$166,DO63+DN64-DW63)))</f>
        <v>173.09535256410268</v>
      </c>
      <c r="DP64" s="17">
        <f>DO64*VLOOKUP('Données projet'!$B$14,Paramètres!$A$1:$I$89,3,0)*VLOOKUP('Données projet'!$B$14,Paramètres!$A$1:$I$89,5,0)</f>
        <v>164.71753750000013</v>
      </c>
      <c r="DQ64" s="13">
        <f t="shared" si="43"/>
        <v>41.904762964731368</v>
      </c>
      <c r="DR64" s="20">
        <f t="shared" si="16"/>
        <v>359.86717330940729</v>
      </c>
      <c r="DS64" s="59">
        <f t="shared" si="17"/>
        <v>653.20050664274061</v>
      </c>
      <c r="DT64" s="59">
        <f ca="1">AVERAGE(OFFSET($DS$3,0,0,'Données projet'!$E$14+1,1))-AVERAGE(OFFSET($H$3,0,0,'Données projet'!$E$14+1,1))</f>
        <v>286.10360882057586</v>
      </c>
      <c r="DU64" s="59">
        <f t="shared" si="44"/>
        <v>109.24531387923128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395.90504884859268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262.42149466677068</v>
      </c>
      <c r="T65" s="59">
        <f t="shared" si="34"/>
        <v>232.7693253699756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-1.0197709343628959E-13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249.37919739649828</v>
      </c>
      <c r="AO65" s="59">
        <f t="shared" si="36"/>
        <v>315.05045383693073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144.60293057092494</v>
      </c>
      <c r="AV65" s="21">
        <f>EXP(-LN(2)/25)*AV64+(1-EXP(-LN(2)/25))/(LN(2)/25)*Calculateur!AQ65*Calculateur!AS65*VLOOKUP('Données projet'!$B$10,Paramètres!$A$1:$I$89,3,0)*0.475*44/12</f>
        <v>37.426631880682663</v>
      </c>
      <c r="AW65" s="21">
        <f>EXP(-LN(2)/2)*AW64+(1-EXP(-LN(2)/2))/(LN(2)/2)*AQ65*AT65*VLOOKUP('Données projet'!$B$10,Paramètres!$A$1:$I$89,3,0)*0.475*44/12</f>
        <v>5.0507963678511878</v>
      </c>
      <c r="AX65" s="21">
        <f t="shared" si="6"/>
        <v>187.08035881945878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181.79999999999998</v>
      </c>
      <c r="BE65" s="13">
        <f>BD65*VLOOKUP('Données projet'!$B$11,Paramètres!$A$1:$I$89,3,0)*VLOOKUP('Données projet'!$B$11,Paramètres!$A$1:$I$89,5,0)</f>
        <v>158.82048</v>
      </c>
      <c r="BF65" s="13">
        <f t="shared" si="37"/>
        <v>40.57635691759311</v>
      </c>
      <c r="BG65" s="20">
        <f t="shared" si="7"/>
        <v>347.28282429814129</v>
      </c>
      <c r="BH65" s="59">
        <f t="shared" si="8"/>
        <v>640.61615763147461</v>
      </c>
      <c r="BI65" s="59">
        <f ca="1">AVERAGE(OFFSET($BH$3,0,0,'Données projet'!$E$11+1,1))-AVERAGE(OFFSET($H$3,0,0,'Données projet'!$E$11+1,1))</f>
        <v>186.80594222554424</v>
      </c>
      <c r="BJ65" s="59">
        <f t="shared" si="38"/>
        <v>179.02867751001872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5.0127818261535682</v>
      </c>
      <c r="BQ65" s="21">
        <f>EXP(-LN(2)/25)*BQ64+(1-EXP(-LN(2)/25))/(LN(2)/25)*Calculateur!BL65*Calculateur!BN65*VLOOKUP('Données projet'!$B$11,Paramètres!$A$1:$I$89,3,0)*0.475*44/12</f>
        <v>12.190263916933464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17.203045743087031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6.9975961538461569</v>
      </c>
      <c r="BY65" s="12">
        <f>IF('Données projet'!$A$114&gt;35,BY64+BX65-CG64,IF(A65&lt;'Données projet'!$A$114,$BV$205^A65,IF(A65='Données projet'!$A$114,'Données projet'!$B$114,BY64+BX65-CG64)))</f>
        <v>180.09294871794884</v>
      </c>
      <c r="BZ65" s="13">
        <f>BY65*VLOOKUP('Données projet'!$B$12,Paramètres!$A$1:$I$89,3,0)*VLOOKUP('Données projet'!$B$12,Paramètres!$A$1:$I$89,5,0)</f>
        <v>162.94810000000012</v>
      </c>
      <c r="CA65" s="13">
        <f t="shared" si="39"/>
        <v>41.506759357421522</v>
      </c>
      <c r="CB65" s="20">
        <f t="shared" si="10"/>
        <v>356.09221338084268</v>
      </c>
      <c r="CC65" s="59">
        <f t="shared" si="11"/>
        <v>649.42554671417599</v>
      </c>
      <c r="CD65" s="59">
        <f ca="1">AVERAGE(OFFSET($CC$3,0,0,'Données projet'!$E$12+1,1))-AVERAGE(OFFSET($H$3,0,0,'Données projet'!$E$12+1,1))</f>
        <v>265.17389489035344</v>
      </c>
      <c r="CE65" s="59">
        <f t="shared" si="40"/>
        <v>101.57852403610769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-1.7053025658242404E-13</v>
      </c>
      <c r="CU65" s="17">
        <f>CT65*VLOOKUP('Données projet'!$B$13,Paramètres!$A$1:$I$89,3,0)*VLOOKUP('Données projet'!$B$13,Paramètres!$A$1:$I$89,5,0)</f>
        <v>-1.0197709343628959E-13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182.34243693018033</v>
      </c>
      <c r="CZ65" s="59">
        <f t="shared" si="42"/>
        <v>182.65916563909786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124.68436848690705</v>
      </c>
      <c r="DG65" s="21">
        <f>EXP(-LN(2)/25)*DG64+(1-EXP(-LN(2)/25))/(LN(2)/25)*Calculateur!DB65*Calculateur!DD65*VLOOKUP('Données projet'!$B$13,Paramètres!$A$1:$I$89,3,0)*0.475*44/12</f>
        <v>34.188804379430216</v>
      </c>
      <c r="DH65" s="21">
        <f>EXP(-LN(2)/2)*DH64+(1-EXP(-LN(2)/2))/(LN(2)/2)*DB65*DE65*VLOOKUP('Données projet'!$B$13,Paramètres!$A$1:$I$89,3,0)*0.475*44/12</f>
        <v>15.981424244989089</v>
      </c>
      <c r="DI65" s="22">
        <f t="shared" si="15"/>
        <v>174.85459711132634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6.9975961538461569</v>
      </c>
      <c r="DO65" s="12">
        <f>IF('Données projet'!$A$166&gt;35,DO64+DN65-DW64,IF(A65&lt;'Données projet'!$A$166,$DL$205^A65,IF(A65='Données projet'!$A$166,'Données projet'!$B$166,DO64+DN65-DW64)))</f>
        <v>180.09294871794884</v>
      </c>
      <c r="DP65" s="17">
        <f>DO65*VLOOKUP('Données projet'!$B$14,Paramètres!$A$1:$I$89,3,0)*VLOOKUP('Données projet'!$B$14,Paramètres!$A$1:$I$89,5,0)</f>
        <v>171.37645000000012</v>
      </c>
      <c r="DQ65" s="13">
        <f t="shared" si="43"/>
        <v>43.398157761814012</v>
      </c>
      <c r="DR65" s="20">
        <f t="shared" si="16"/>
        <v>374.06577518515957</v>
      </c>
      <c r="DS65" s="59">
        <f t="shared" si="17"/>
        <v>667.39910851849288</v>
      </c>
      <c r="DT65" s="59">
        <f ca="1">AVERAGE(OFFSET($DS$3,0,0,'Données projet'!$E$14+1,1))-AVERAGE(OFFSET($H$3,0,0,'Données projet'!$E$14+1,1))</f>
        <v>286.10360882057586</v>
      </c>
      <c r="DU65" s="59">
        <f t="shared" si="44"/>
        <v>109.24531387923128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397.51519170598732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262.42149466677068</v>
      </c>
      <c r="T66" s="59">
        <f t="shared" si="34"/>
        <v>232.7693253699756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-1.0197709343628959E-13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249.37919739649828</v>
      </c>
      <c r="AO66" s="59">
        <f t="shared" si="36"/>
        <v>315.05045383693073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141.76735530150782</v>
      </c>
      <c r="AV66" s="21">
        <f>EXP(-LN(2)/25)*AV65+(1-EXP(-LN(2)/25))/(LN(2)/25)*Calculateur!AQ66*Calculateur!AS66*VLOOKUP('Données projet'!$B$10,Paramètres!$A$1:$I$89,3,0)*0.475*44/12</f>
        <v>36.403198663724368</v>
      </c>
      <c r="AW66" s="21">
        <f>EXP(-LN(2)/2)*AW65+(1-EXP(-LN(2)/2))/(LN(2)/2)*AQ66*AT66*VLOOKUP('Données projet'!$B$10,Paramètres!$A$1:$I$89,3,0)*0.475*44/12</f>
        <v>3.5714523620999592</v>
      </c>
      <c r="AX66" s="21">
        <f t="shared" si="6"/>
        <v>181.74200632733215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186.2</v>
      </c>
      <c r="BE66" s="13">
        <f>BD66*VLOOKUP('Données projet'!$B$11,Paramètres!$A$1:$I$89,3,0)*VLOOKUP('Données projet'!$B$11,Paramètres!$A$1:$I$89,5,0)</f>
        <v>162.66432</v>
      </c>
      <c r="BF66" s="13">
        <f t="shared" si="37"/>
        <v>41.442881393745317</v>
      </c>
      <c r="BG66" s="20">
        <f t="shared" si="7"/>
        <v>355.4867090941064</v>
      </c>
      <c r="BH66" s="59">
        <f t="shared" si="8"/>
        <v>648.82004242743972</v>
      </c>
      <c r="BI66" s="59">
        <f ca="1">AVERAGE(OFFSET($BH$3,0,0,'Données projet'!$E$11+1,1))-AVERAGE(OFFSET($H$3,0,0,'Données projet'!$E$11+1,1))</f>
        <v>186.80594222554424</v>
      </c>
      <c r="BJ66" s="59">
        <f t="shared" si="38"/>
        <v>179.02867751001872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4.914484232037708</v>
      </c>
      <c r="BQ66" s="21">
        <f>EXP(-LN(2)/25)*BQ65+(1-EXP(-LN(2)/25))/(LN(2)/25)*Calculateur!BL66*Calculateur!BN66*VLOOKUP('Données projet'!$B$11,Paramètres!$A$1:$I$89,3,0)*0.475*44/12</f>
        <v>11.8569205090668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16.771404741104508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6.9975961538461569</v>
      </c>
      <c r="BY66" s="12">
        <f>IF('Données projet'!$A$114&gt;35,BY65+BX66-CG65,IF(A66&lt;'Données projet'!$A$114,$BV$205^A66,IF(A66='Données projet'!$A$114,'Données projet'!$B$114,BY65+BX66-CG65)))</f>
        <v>187.090544871795</v>
      </c>
      <c r="BZ66" s="13">
        <f>BY66*VLOOKUP('Données projet'!$B$12,Paramètres!$A$1:$I$89,3,0)*VLOOKUP('Données projet'!$B$12,Paramètres!$A$1:$I$89,5,0)</f>
        <v>169.27952500000012</v>
      </c>
      <c r="CA66" s="13">
        <f t="shared" si="39"/>
        <v>42.928621288335528</v>
      </c>
      <c r="CB66" s="20">
        <f t="shared" si="10"/>
        <v>369.59585478551793</v>
      </c>
      <c r="CC66" s="59">
        <f t="shared" si="11"/>
        <v>662.92918811885124</v>
      </c>
      <c r="CD66" s="59">
        <f ca="1">AVERAGE(OFFSET($CC$3,0,0,'Données projet'!$E$12+1,1))-AVERAGE(OFFSET($H$3,0,0,'Données projet'!$E$12+1,1))</f>
        <v>265.17389489035344</v>
      </c>
      <c r="CE66" s="59">
        <f t="shared" si="40"/>
        <v>101.57852403610769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-1.7053025658242404E-13</v>
      </c>
      <c r="CU66" s="17">
        <f>CT66*VLOOKUP('Données projet'!$B$13,Paramètres!$A$1:$I$89,3,0)*VLOOKUP('Données projet'!$B$13,Paramètres!$A$1:$I$89,5,0)</f>
        <v>-1.0197709343628959E-13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182.34243693018033</v>
      </c>
      <c r="CZ66" s="59">
        <f t="shared" si="42"/>
        <v>182.65916563909786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122.23938407083426</v>
      </c>
      <c r="DG66" s="21">
        <f>EXP(-LN(2)/25)*DG65+(1-EXP(-LN(2)/25))/(LN(2)/25)*Calculateur!DB66*Calculateur!DD66*VLOOKUP('Données projet'!$B$13,Paramètres!$A$1:$I$89,3,0)*0.475*44/12</f>
        <v>33.253909725763613</v>
      </c>
      <c r="DH66" s="21">
        <f>EXP(-LN(2)/2)*DH65+(1-EXP(-LN(2)/2))/(LN(2)/2)*DB66*DE66*VLOOKUP('Données projet'!$B$13,Paramètres!$A$1:$I$89,3,0)*0.475*44/12</f>
        <v>11.300573456650886</v>
      </c>
      <c r="DI66" s="22">
        <f t="shared" si="15"/>
        <v>166.79386725324875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6.9975961538461569</v>
      </c>
      <c r="DO66" s="12">
        <f>IF('Données projet'!$A$166&gt;35,DO65+DN66-DW65,IF(A66&lt;'Données projet'!$A$166,$DL$205^A66,IF(A66='Données projet'!$A$166,'Données projet'!$B$166,DO65+DN66-DW65)))</f>
        <v>187.090544871795</v>
      </c>
      <c r="DP66" s="17">
        <f>DO66*VLOOKUP('Données projet'!$B$14,Paramètres!$A$1:$I$89,3,0)*VLOOKUP('Données projet'!$B$14,Paramètres!$A$1:$I$89,5,0)</f>
        <v>178.03536250000013</v>
      </c>
      <c r="DQ66" s="13">
        <f t="shared" si="43"/>
        <v>44.884811727303379</v>
      </c>
      <c r="DR66" s="20">
        <f t="shared" si="16"/>
        <v>388.25263677922021</v>
      </c>
      <c r="DS66" s="59">
        <f t="shared" si="17"/>
        <v>681.58597011255347</v>
      </c>
      <c r="DT66" s="59">
        <f ca="1">AVERAGE(OFFSET($DS$3,0,0,'Données projet'!$E$14+1,1))-AVERAGE(OFFSET($H$3,0,0,'Données projet'!$E$14+1,1))</f>
        <v>286.10360882057586</v>
      </c>
      <c r="DU66" s="59">
        <f t="shared" si="44"/>
        <v>109.24531387923128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399.12471956480363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262.42149466677068</v>
      </c>
      <c r="T67" s="59">
        <f t="shared" si="34"/>
        <v>232.7693253699756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-1.0197709343628959E-13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249.37919739649828</v>
      </c>
      <c r="AO67" s="59">
        <f t="shared" si="36"/>
        <v>315.05045383693073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138.98738393359383</v>
      </c>
      <c r="AV67" s="21">
        <f>EXP(-LN(2)/25)*AV66+(1-EXP(-LN(2)/25))/(LN(2)/25)*Calculateur!AQ67*Calculateur!AS67*VLOOKUP('Données projet'!$B$10,Paramètres!$A$1:$I$89,3,0)*0.475*44/12</f>
        <v>35.407751281903806</v>
      </c>
      <c r="AW67" s="21">
        <f>EXP(-LN(2)/2)*AW66+(1-EXP(-LN(2)/2))/(LN(2)/2)*AQ67*AT67*VLOOKUP('Données projet'!$B$10,Paramètres!$A$1:$I$89,3,0)*0.475*44/12</f>
        <v>2.5253981839255943</v>
      </c>
      <c r="AX67" s="21">
        <f t="shared" si="6"/>
        <v>176.92053339942325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190.6</v>
      </c>
      <c r="BE67" s="13">
        <f>BD67*VLOOKUP('Données projet'!$B$11,Paramètres!$A$1:$I$89,3,0)*VLOOKUP('Données projet'!$B$11,Paramètres!$A$1:$I$89,5,0)</f>
        <v>166.50816</v>
      </c>
      <c r="BF67" s="13">
        <f t="shared" si="37"/>
        <v>42.307025456487715</v>
      </c>
      <c r="BG67" s="20">
        <f t="shared" si="7"/>
        <v>363.68644800338274</v>
      </c>
      <c r="BH67" s="59">
        <f t="shared" si="8"/>
        <v>657.01978133671605</v>
      </c>
      <c r="BI67" s="59">
        <f ca="1">AVERAGE(OFFSET($BH$3,0,0,'Données projet'!$E$11+1,1))-AVERAGE(OFFSET($H$3,0,0,'Données projet'!$E$11+1,1))</f>
        <v>186.80594222554424</v>
      </c>
      <c r="BJ67" s="59">
        <f t="shared" si="38"/>
        <v>179.02867751001872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4.8181141937868475</v>
      </c>
      <c r="BQ67" s="21">
        <f>EXP(-LN(2)/25)*BQ66+(1-EXP(-LN(2)/25))/(LN(2)/25)*Calculateur!BL67*Calculateur!BN67*VLOOKUP('Données projet'!$B$11,Paramètres!$A$1:$I$89,3,0)*0.475*44/12</f>
        <v>11.532692394218017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16.350806588004865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6.9975961538461569</v>
      </c>
      <c r="BY67" s="12">
        <f>IF('Données projet'!$A$114&gt;35,BY66+BX67-CG66,IF(A67&lt;'Données projet'!$A$114,$BV$205^A67,IF(A67='Données projet'!$A$114,'Données projet'!$B$114,BY66+BX67-CG66)))</f>
        <v>194.08814102564116</v>
      </c>
      <c r="BZ67" s="13">
        <f>BY67*VLOOKUP('Données projet'!$B$12,Paramètres!$A$1:$I$89,3,0)*VLOOKUP('Données projet'!$B$12,Paramètres!$A$1:$I$89,5,0)</f>
        <v>175.61095000000012</v>
      </c>
      <c r="CA67" s="13">
        <f t="shared" si="39"/>
        <v>44.344304913788697</v>
      </c>
      <c r="CB67" s="20">
        <f t="shared" si="10"/>
        <v>383.08873564151554</v>
      </c>
      <c r="CC67" s="59">
        <f t="shared" si="11"/>
        <v>676.4220689748488</v>
      </c>
      <c r="CD67" s="59">
        <f ca="1">AVERAGE(OFFSET($CC$3,0,0,'Données projet'!$E$12+1,1))-AVERAGE(OFFSET($H$3,0,0,'Données projet'!$E$12+1,1))</f>
        <v>265.17389489035344</v>
      </c>
      <c r="CE67" s="59">
        <f t="shared" si="40"/>
        <v>101.57852403610769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-1.7053025658242404E-13</v>
      </c>
      <c r="CU67" s="17">
        <f>CT67*VLOOKUP('Données projet'!$B$13,Paramètres!$A$1:$I$89,3,0)*VLOOKUP('Données projet'!$B$13,Paramètres!$A$1:$I$89,5,0)</f>
        <v>-1.0197709343628959E-13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182.34243693018033</v>
      </c>
      <c r="CZ67" s="59">
        <f t="shared" si="42"/>
        <v>182.65916563909786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119.84234430786744</v>
      </c>
      <c r="DG67" s="21">
        <f>EXP(-LN(2)/25)*DG66+(1-EXP(-LN(2)/25))/(LN(2)/25)*Calculateur!DB67*Calculateur!DD67*VLOOKUP('Données projet'!$B$13,Paramètres!$A$1:$I$89,3,0)*0.475*44/12</f>
        <v>32.344579815565496</v>
      </c>
      <c r="DH67" s="21">
        <f>EXP(-LN(2)/2)*DH66+(1-EXP(-LN(2)/2))/(LN(2)/2)*DB67*DE67*VLOOKUP('Données projet'!$B$13,Paramètres!$A$1:$I$89,3,0)*0.475*44/12</f>
        <v>7.9907121224945454</v>
      </c>
      <c r="DI67" s="22">
        <f t="shared" si="15"/>
        <v>160.17763624592749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6.9975961538461569</v>
      </c>
      <c r="DO67" s="12">
        <f>IF('Données projet'!$A$166&gt;35,DO66+DN67-DW66,IF(A67&lt;'Données projet'!$A$166,$DL$205^A67,IF(A67='Données projet'!$A$166,'Données projet'!$B$166,DO66+DN67-DW66)))</f>
        <v>194.08814102564116</v>
      </c>
      <c r="DP67" s="17">
        <f>DO67*VLOOKUP('Données projet'!$B$14,Paramètres!$A$1:$I$89,3,0)*VLOOKUP('Données projet'!$B$14,Paramètres!$A$1:$I$89,5,0)</f>
        <v>184.69427500000015</v>
      </c>
      <c r="DQ67" s="13">
        <f t="shared" si="43"/>
        <v>46.365005851570707</v>
      </c>
      <c r="DR67" s="20">
        <f t="shared" si="16"/>
        <v>402.42824748315252</v>
      </c>
      <c r="DS67" s="59">
        <f t="shared" si="17"/>
        <v>695.76158081648578</v>
      </c>
      <c r="DT67" s="59">
        <f ca="1">AVERAGE(OFFSET($DS$3,0,0,'Données projet'!$E$14+1,1))-AVERAGE(OFFSET($H$3,0,0,'Données projet'!$E$14+1,1))</f>
        <v>286.10360882057586</v>
      </c>
      <c r="DU67" s="59">
        <f t="shared" si="44"/>
        <v>109.24531387923128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400.73364314405171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262.42149466677068</v>
      </c>
      <c r="T68" s="59">
        <f t="shared" si="34"/>
        <v>232.7693253699756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-1.0197709343628959E-13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249.37919739649828</v>
      </c>
      <c r="AO68" s="59">
        <f t="shared" si="36"/>
        <v>315.05045383693073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136.26192610858953</v>
      </c>
      <c r="AV68" s="21">
        <f>EXP(-LN(2)/25)*AV67+(1-EXP(-LN(2)/25))/(LN(2)/25)*Calculateur!AQ68*Calculateur!AS68*VLOOKUP('Données projet'!$B$10,Paramètres!$A$1:$I$89,3,0)*0.475*44/12</f>
        <v>34.43952446108743</v>
      </c>
      <c r="AW68" s="21">
        <f>EXP(-LN(2)/2)*AW67+(1-EXP(-LN(2)/2))/(LN(2)/2)*AQ68*AT68*VLOOKUP('Données projet'!$B$10,Paramètres!$A$1:$I$89,3,0)*0.475*44/12</f>
        <v>1.7857261810499798</v>
      </c>
      <c r="AX68" s="21">
        <f t="shared" ref="AX68:AX131" si="60">SUM(AU68:AW68)</f>
        <v>172.48717675072695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195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195</v>
      </c>
      <c r="BE68" s="13">
        <f>BD68*VLOOKUP('Données projet'!$B$11,Paramètres!$A$1:$I$89,3,0)*VLOOKUP('Données projet'!$B$11,Paramètres!$A$1:$I$89,5,0)</f>
        <v>170.35200000000003</v>
      </c>
      <c r="BF68" s="13">
        <f t="shared" si="37"/>
        <v>43.168850382694487</v>
      </c>
      <c r="BG68" s="20">
        <f t="shared" ref="BG68:BG131" si="61">(BE68+BF68)*0.475*44/12</f>
        <v>371.88214774985954</v>
      </c>
      <c r="BH68" s="59">
        <f t="shared" ref="BH68:BH131" si="62">BG68+(AY68+AZ68)*44/12</f>
        <v>665.2154810831928</v>
      </c>
      <c r="BI68" s="59">
        <f ca="1">AVERAGE(OFFSET($BH$3,0,0,'Données projet'!$E$11+1,1))-AVERAGE(OFFSET($H$3,0,0,'Données projet'!$E$11+1,1))</f>
        <v>186.80594222554424</v>
      </c>
      <c r="BJ68" s="59">
        <f t="shared" si="38"/>
        <v>179.02867751001872</v>
      </c>
      <c r="BK68" s="15">
        <f>IF(ISNA(VLOOKUP(A68,'Données projet'!$A$87:$I$107,3,0)),0,VLOOKUP(A68,'Données projet'!$A$87:$I$107,3,0))</f>
        <v>10</v>
      </c>
      <c r="BL68" s="15" t="str">
        <f>IF(ISNA(VLOOKUP(A68,'Données projet'!$A$87:$I$107,4,0)),0,VLOOKUP(A68,'Données projet'!$A$87:$I$107,4,0))</f>
        <v>15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7.215240335990929</v>
      </c>
      <c r="BQ68" s="21">
        <f>EXP(-LN(2)/25)*BQ67+(1-EXP(-LN(2)/25))/(LN(2)/25)*Calculateur!BL68*Calculateur!BN68*VLOOKUP('Données projet'!$B$11,Paramètres!$A$1:$I$89,3,0)*0.475*44/12</f>
        <v>13.699126333141974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20.914366669132903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6.9975961538461569</v>
      </c>
      <c r="BY68" s="12">
        <f>IF('Données projet'!$A$114&gt;35,BY67+BX68-CG67,IF(A68&lt;'Données projet'!$A$114,$BV$205^A68,IF(A68='Données projet'!$A$114,'Données projet'!$B$114,BY67+BX68-CG67)))</f>
        <v>201.08573717948732</v>
      </c>
      <c r="BZ68" s="13">
        <f>BY68*VLOOKUP('Données projet'!$B$12,Paramètres!$A$1:$I$89,3,0)*VLOOKUP('Données projet'!$B$12,Paramètres!$A$1:$I$89,5,0)</f>
        <v>181.94237500000011</v>
      </c>
      <c r="CA68" s="13">
        <f t="shared" si="39"/>
        <v>45.754058501074866</v>
      </c>
      <c r="CB68" s="20">
        <f t="shared" ref="CB68:CB131" si="64">(BZ68+CA68)*0.475*44/12</f>
        <v>396.5712883477056</v>
      </c>
      <c r="CC68" s="59">
        <f t="shared" ref="CC68:CC131" si="65">CB68+(BT68+BU68)*44/12</f>
        <v>689.90462168103886</v>
      </c>
      <c r="CD68" s="59">
        <f ca="1">AVERAGE(OFFSET($CC$3,0,0,'Données projet'!$E$12+1,1))-AVERAGE(OFFSET($H$3,0,0,'Données projet'!$E$12+1,1))</f>
        <v>265.17389489035344</v>
      </c>
      <c r="CE68" s="59">
        <f t="shared" si="40"/>
        <v>101.57852403610769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-1.7053025658242404E-13</v>
      </c>
      <c r="CU68" s="17">
        <f>CT68*VLOOKUP('Données projet'!$B$13,Paramètres!$A$1:$I$89,3,0)*VLOOKUP('Données projet'!$B$13,Paramètres!$A$1:$I$89,5,0)</f>
        <v>-1.0197709343628959E-13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182.34243693018033</v>
      </c>
      <c r="CZ68" s="59">
        <f t="shared" si="42"/>
        <v>182.65916563909786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117.49230903260249</v>
      </c>
      <c r="DG68" s="21">
        <f>EXP(-LN(2)/25)*DG67+(1-EXP(-LN(2)/25))/(LN(2)/25)*Calculateur!DB68*Calculateur!DD68*VLOOKUP('Données projet'!$B$13,Paramètres!$A$1:$I$89,3,0)*0.475*44/12</f>
        <v>31.460115579581331</v>
      </c>
      <c r="DH68" s="21">
        <f>EXP(-LN(2)/2)*DH67+(1-EXP(-LN(2)/2))/(LN(2)/2)*DB68*DE68*VLOOKUP('Données projet'!$B$13,Paramètres!$A$1:$I$89,3,0)*0.475*44/12</f>
        <v>5.6502867283254439</v>
      </c>
      <c r="DI68" s="22">
        <f t="shared" ref="DI68:DI131" si="69">SUM(DF68:DH68)</f>
        <v>154.60271134050927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6.9975961538461569</v>
      </c>
      <c r="DO68" s="12">
        <f>IF('Données projet'!$A$166&gt;35,DO67+DN68-DW67,IF(A68&lt;'Données projet'!$A$166,$DL$205^A68,IF(A68='Données projet'!$A$166,'Données projet'!$B$166,DO67+DN68-DW67)))</f>
        <v>201.08573717948732</v>
      </c>
      <c r="DP68" s="17">
        <f>DO68*VLOOKUP('Données projet'!$B$14,Paramètres!$A$1:$I$89,3,0)*VLOOKUP('Données projet'!$B$14,Paramètres!$A$1:$I$89,5,0)</f>
        <v>191.35318750000013</v>
      </c>
      <c r="DQ68" s="13">
        <f t="shared" si="43"/>
        <v>47.838999715063906</v>
      </c>
      <c r="DR68" s="20">
        <f t="shared" ref="DR68:DR131" si="70">(DP68+DQ68)*0.475*44/12</f>
        <v>416.59305939956988</v>
      </c>
      <c r="DS68" s="59">
        <f t="shared" ref="DS68:DS131" si="71">DR68+(DJ68+DK68)*44/12</f>
        <v>709.9263927329032</v>
      </c>
      <c r="DT68" s="59">
        <f ca="1">AVERAGE(OFFSET($DS$3,0,0,'Données projet'!$E$14+1,1))-AVERAGE(OFFSET($H$3,0,0,'Données projet'!$E$14+1,1))</f>
        <v>286.10360882057586</v>
      </c>
      <c r="DU68" s="59">
        <f t="shared" si="44"/>
        <v>109.24531387923128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402.34197281400208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262.42149466677068</v>
      </c>
      <c r="T69" s="59">
        <f t="shared" ref="T69:T132" si="88">$T$3</f>
        <v>232.7693253699756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-1.0197709343628959E-13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249.37919739649828</v>
      </c>
      <c r="AO69" s="59">
        <f t="shared" ref="AO69:AO132" si="90">$AO$3</f>
        <v>315.05045383693073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133.58991284916843</v>
      </c>
      <c r="AV69" s="21">
        <f>EXP(-LN(2)/25)*AV68+(1-EXP(-LN(2)/25))/(LN(2)/25)*Calculateur!AQ69*Calculateur!AS69*VLOOKUP('Données projet'!$B$10,Paramètres!$A$1:$I$89,3,0)*0.475*44/12</f>
        <v>33.497773853603114</v>
      </c>
      <c r="AW69" s="21">
        <f>EXP(-LN(2)/2)*AW68+(1-EXP(-LN(2)/2))/(LN(2)/2)*AQ69*AT69*VLOOKUP('Données projet'!$B$10,Paramètres!$A$1:$I$89,3,0)*0.475*44/12</f>
        <v>1.2626990919627974</v>
      </c>
      <c r="AX69" s="21">
        <f t="shared" si="60"/>
        <v>168.35038579473434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4.2</v>
      </c>
      <c r="BD69" s="12">
        <f>IF('Données projet'!$A$88&gt;35,BD68+BC69-BL68,IF(A69&lt;'Données projet'!$A$88,$BA$205^A69,IF(A69='Données projet'!$A$88,'Données projet'!$B$88,BD68+BC69-BL68)))</f>
        <v>184.2</v>
      </c>
      <c r="BE69" s="13">
        <f>BD69*VLOOKUP('Données projet'!$B$11,Paramètres!$A$1:$I$89,3,0)*VLOOKUP('Données projet'!$B$11,Paramètres!$A$1:$I$89,5,0)</f>
        <v>160.91712000000001</v>
      </c>
      <c r="BF69" s="13">
        <f t="shared" ref="BF69:BF132" si="91">EXP(-1.0587+0.8836*LN(BE69)+0.284)</f>
        <v>41.049305520788089</v>
      </c>
      <c r="BG69" s="20">
        <f t="shared" si="61"/>
        <v>351.75819111537254</v>
      </c>
      <c r="BH69" s="59">
        <f t="shared" si="62"/>
        <v>645.09152444870585</v>
      </c>
      <c r="BI69" s="59">
        <f ca="1">AVERAGE(OFFSET($BH$3,0,0,'Données projet'!$E$11+1,1))-AVERAGE(OFFSET($H$3,0,0,'Données projet'!$E$11+1,1))</f>
        <v>186.80594222554424</v>
      </c>
      <c r="BJ69" s="59">
        <f t="shared" ref="BJ69:BJ132" si="92">$BJ$3</f>
        <v>179.02867751001872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7.0737538738642032</v>
      </c>
      <c r="BQ69" s="21">
        <f>EXP(-LN(2)/25)*BQ68+(1-EXP(-LN(2)/25))/(LN(2)/25)*Calculateur!BL69*Calculateur!BN69*VLOOKUP('Données projet'!$B$11,Paramètres!$A$1:$I$89,3,0)*0.475*44/12</f>
        <v>13.324523003156463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20.398276877020667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208.08333333333334</v>
      </c>
      <c r="BW69" s="12">
        <f>VLOOKUP(A69,'Données projet'!$A$113:$I$133,9,0)</f>
        <v>6.9975961538461569</v>
      </c>
      <c r="BX69" s="12">
        <f t="array" ref="BX69">INDEX(BW:BW,MIN(IF(ISNUMBER(BW69:BW265),ROW(BW69:BW265),"")))</f>
        <v>6.9975961538461569</v>
      </c>
      <c r="BY69" s="12">
        <f>IF('Données projet'!$A$114&gt;35,BY68+BX69-CG68,IF(A69&lt;'Données projet'!$A$114,$BV$205^A69,IF(A69='Données projet'!$A$114,'Données projet'!$B$114,BY68+BX69-CG68)))</f>
        <v>208.08333333333348</v>
      </c>
      <c r="BZ69" s="13">
        <f>BY69*VLOOKUP('Données projet'!$B$12,Paramètres!$A$1:$I$89,3,0)*VLOOKUP('Données projet'!$B$12,Paramètres!$A$1:$I$89,5,0)</f>
        <v>188.27380000000014</v>
      </c>
      <c r="CA69" s="13">
        <f t="shared" ref="CA69:CA132" si="93">EXP(-1.0587+0.8836*LN(BZ69)+0.284)</f>
        <v>47.158112058671726</v>
      </c>
      <c r="CB69" s="20">
        <f t="shared" si="64"/>
        <v>410.0439135021868</v>
      </c>
      <c r="CC69" s="59">
        <f t="shared" si="65"/>
        <v>703.37724683552005</v>
      </c>
      <c r="CD69" s="59">
        <f ca="1">AVERAGE(OFFSET($CC$3,0,0,'Données projet'!$E$12+1,1))-AVERAGE(OFFSET($H$3,0,0,'Données projet'!$E$12+1,1))</f>
        <v>265.17389489035344</v>
      </c>
      <c r="CE69" s="59">
        <f t="shared" ref="CE69:CE132" si="94">$CE$3</f>
        <v>101.57852403610769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39.166666666666664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-1.7053025658242404E-13</v>
      </c>
      <c r="CU69" s="17">
        <f>CT69*VLOOKUP('Données projet'!$B$13,Paramètres!$A$1:$I$89,3,0)*VLOOKUP('Données projet'!$B$13,Paramètres!$A$1:$I$89,5,0)</f>
        <v>-1.0197709343628959E-13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182.34243693018033</v>
      </c>
      <c r="CZ69" s="59">
        <f t="shared" ref="CZ69:CZ132" si="96">$CZ$3</f>
        <v>182.65916563909786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115.18835651570551</v>
      </c>
      <c r="DG69" s="21">
        <f>EXP(-LN(2)/25)*DG68+(1-EXP(-LN(2)/25))/(LN(2)/25)*Calculateur!DB69*Calculateur!DD69*VLOOKUP('Données projet'!$B$13,Paramètres!$A$1:$I$89,3,0)*0.475*44/12</f>
        <v>30.599837064642102</v>
      </c>
      <c r="DH69" s="21">
        <f>EXP(-LN(2)/2)*DH68+(1-EXP(-LN(2)/2))/(LN(2)/2)*DB69*DE69*VLOOKUP('Données projet'!$B$13,Paramètres!$A$1:$I$89,3,0)*0.475*44/12</f>
        <v>3.9953560612472736</v>
      </c>
      <c r="DI69" s="22">
        <f t="shared" si="69"/>
        <v>149.78354964159487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208.08333333333334</v>
      </c>
      <c r="DM69" s="12">
        <f>VLOOKUP(A69,'Données projet'!$A$165:$I$185,9,0)</f>
        <v>6.9975961538461569</v>
      </c>
      <c r="DN69" s="12">
        <f t="array" ref="DN69">INDEX(DM:DM,MIN(IF(ISNUMBER(DM69:DM265),ROW(DM69:DM265),"")))</f>
        <v>6.9975961538461569</v>
      </c>
      <c r="DO69" s="12">
        <f>IF('Données projet'!$A$166&gt;35,DO68+DN69-DW68,IF(A69&lt;'Données projet'!$A$166,$DL$205^A69,IF(A69='Données projet'!$A$166,'Données projet'!$B$166,DO68+DN69-DW68)))</f>
        <v>208.08333333333348</v>
      </c>
      <c r="DP69" s="17">
        <f>DO69*VLOOKUP('Données projet'!$B$14,Paramètres!$A$1:$I$89,3,0)*VLOOKUP('Données projet'!$B$14,Paramètres!$A$1:$I$89,5,0)</f>
        <v>198.01210000000015</v>
      </c>
      <c r="DQ69" s="13">
        <f t="shared" ref="DQ69:DQ132" si="97">EXP(-1.0587+0.8836*LN(DP69)+0.284)</f>
        <v>49.307033807388876</v>
      </c>
      <c r="DR69" s="20">
        <f t="shared" si="70"/>
        <v>430.74749138120251</v>
      </c>
      <c r="DS69" s="59">
        <f t="shared" si="71"/>
        <v>724.08082471453577</v>
      </c>
      <c r="DT69" s="59">
        <f ca="1">AVERAGE(OFFSET($DS$3,0,0,'Données projet'!$E$14+1,1))-AVERAGE(OFFSET($H$3,0,0,'Données projet'!$E$14+1,1))</f>
        <v>286.10360882057586</v>
      </c>
      <c r="DU69" s="59">
        <f t="shared" ref="DU69:DU132" si="98">$DU$3</f>
        <v>109.24531387923128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39.166666666666664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403.94971861264025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262.42149466677068</v>
      </c>
      <c r="T70" s="59">
        <f t="shared" si="88"/>
        <v>232.7693253699756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-1.0197709343628959E-13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249.37919739649828</v>
      </c>
      <c r="AO70" s="59">
        <f t="shared" si="90"/>
        <v>315.05045383693073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130.9702961399974</v>
      </c>
      <c r="AV70" s="21">
        <f>EXP(-LN(2)/25)*AV69+(1-EXP(-LN(2)/25))/(LN(2)/25)*Calculateur!AQ70*Calculateur!AS70*VLOOKUP('Données projet'!$B$10,Paramètres!$A$1:$I$89,3,0)*0.475*44/12</f>
        <v>32.58177546600497</v>
      </c>
      <c r="AW70" s="21">
        <f>EXP(-LN(2)/2)*AW69+(1-EXP(-LN(2)/2))/(LN(2)/2)*AQ70*AT70*VLOOKUP('Données projet'!$B$10,Paramètres!$A$1:$I$89,3,0)*0.475*44/12</f>
        <v>0.89286309052499013</v>
      </c>
      <c r="AX70" s="21">
        <f t="shared" si="60"/>
        <v>164.44493469652735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4.2</v>
      </c>
      <c r="BD70" s="12">
        <f>IF('Données projet'!$A$88&gt;35,BD69+BC70-BL69,IF(A70&lt;'Données projet'!$A$88,$BA$205^A70,IF(A70='Données projet'!$A$88,'Données projet'!$B$88,BD69+BC70-BL69)))</f>
        <v>188.39999999999998</v>
      </c>
      <c r="BE70" s="13">
        <f>BD70*VLOOKUP('Données projet'!$B$11,Paramètres!$A$1:$I$89,3,0)*VLOOKUP('Données projet'!$B$11,Paramètres!$A$1:$I$89,5,0)</f>
        <v>164.58624</v>
      </c>
      <c r="BF70" s="13">
        <f t="shared" si="91"/>
        <v>41.875247075991886</v>
      </c>
      <c r="BG70" s="20">
        <f t="shared" si="61"/>
        <v>359.58708999068585</v>
      </c>
      <c r="BH70" s="59">
        <f t="shared" si="62"/>
        <v>652.92042332401911</v>
      </c>
      <c r="BI70" s="59">
        <f ca="1">AVERAGE(OFFSET($BH$3,0,0,'Données projet'!$E$11+1,1))-AVERAGE(OFFSET($H$3,0,0,'Données projet'!$E$11+1,1))</f>
        <v>186.80594222554424</v>
      </c>
      <c r="BJ70" s="59">
        <f t="shared" si="92"/>
        <v>179.02867751001872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6.935041874961561</v>
      </c>
      <c r="BQ70" s="21">
        <f>EXP(-LN(2)/25)*BQ69+(1-EXP(-LN(2)/25))/(LN(2)/25)*Calculateur!BL70*Calculateur!BN70*VLOOKUP('Données projet'!$B$11,Paramètres!$A$1:$I$89,3,0)*0.475*44/12</f>
        <v>12.960163220928939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19.8952050958905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6.6995192307692264</v>
      </c>
      <c r="BY70" s="12">
        <f>IF('Données projet'!$A$114&gt;35,BY69+BX70-CG69,IF(A70&lt;'Données projet'!$A$114,$BV$205^A70,IF(A70='Données projet'!$A$114,'Données projet'!$B$114,BY69+BX70-CG69)))</f>
        <v>175.61618589743605</v>
      </c>
      <c r="BZ70" s="13">
        <f>BY70*VLOOKUP('Données projet'!$B$12,Paramètres!$A$1:$I$89,3,0)*VLOOKUP('Données projet'!$B$12,Paramètres!$A$1:$I$89,5,0)</f>
        <v>158.89752500000012</v>
      </c>
      <c r="CA70" s="13">
        <f t="shared" si="93"/>
        <v>40.593749114952736</v>
      </c>
      <c r="CB70" s="20">
        <f t="shared" si="64"/>
        <v>347.44730241687625</v>
      </c>
      <c r="CC70" s="59">
        <f t="shared" si="65"/>
        <v>640.78063575020951</v>
      </c>
      <c r="CD70" s="59">
        <f ca="1">AVERAGE(OFFSET($CC$3,0,0,'Données projet'!$E$12+1,1))-AVERAGE(OFFSET($H$3,0,0,'Données projet'!$E$12+1,1))</f>
        <v>265.17389489035344</v>
      </c>
      <c r="CE70" s="59">
        <f t="shared" si="94"/>
        <v>101.57852403610769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-1.7053025658242404E-13</v>
      </c>
      <c r="CU70" s="17">
        <f>CT70*VLOOKUP('Données projet'!$B$13,Paramètres!$A$1:$I$89,3,0)*VLOOKUP('Données projet'!$B$13,Paramètres!$A$1:$I$89,5,0)</f>
        <v>-1.0197709343628959E-13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182.34243693018033</v>
      </c>
      <c r="CZ70" s="59">
        <f t="shared" si="96"/>
        <v>182.65916563909786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112.9295831023926</v>
      </c>
      <c r="DG70" s="21">
        <f>EXP(-LN(2)/25)*DG69+(1-EXP(-LN(2)/25))/(LN(2)/25)*Calculateur!DB70*Calculateur!DD70*VLOOKUP('Données projet'!$B$13,Paramètres!$A$1:$I$89,3,0)*0.475*44/12</f>
        <v>29.763082910933971</v>
      </c>
      <c r="DH70" s="21">
        <f>EXP(-LN(2)/2)*DH69+(1-EXP(-LN(2)/2))/(LN(2)/2)*DB70*DE70*VLOOKUP('Données projet'!$B$13,Paramètres!$A$1:$I$89,3,0)*0.475*44/12</f>
        <v>2.8251433641627224</v>
      </c>
      <c r="DI70" s="22">
        <f t="shared" si="69"/>
        <v>145.5178093774893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6.6995192307692264</v>
      </c>
      <c r="DO70" s="12">
        <f>IF('Données projet'!$A$166&gt;35,DO69+DN70-DW69,IF(A70&lt;'Données projet'!$A$166,$DL$205^A70,IF(A70='Données projet'!$A$166,'Données projet'!$B$166,DO69+DN70-DW69)))</f>
        <v>175.61618589743605</v>
      </c>
      <c r="DP70" s="17">
        <f>DO70*VLOOKUP('Données projet'!$B$14,Paramètres!$A$1:$I$89,3,0)*VLOOKUP('Données projet'!$B$14,Paramètres!$A$1:$I$89,5,0)</f>
        <v>167.11636250000015</v>
      </c>
      <c r="DQ70" s="13">
        <f t="shared" si="97"/>
        <v>42.443543064009873</v>
      </c>
      <c r="DR70" s="20">
        <f t="shared" si="70"/>
        <v>364.98350219065077</v>
      </c>
      <c r="DS70" s="59">
        <f t="shared" si="71"/>
        <v>658.31683552398408</v>
      </c>
      <c r="DT70" s="59">
        <f ca="1">AVERAGE(OFFSET($DS$3,0,0,'Données projet'!$E$14+1,1))-AVERAGE(OFFSET($H$3,0,0,'Données projet'!$E$14+1,1))</f>
        <v>286.10360882057586</v>
      </c>
      <c r="DU70" s="59">
        <f t="shared" si="98"/>
        <v>109.24531387923128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405.5568902611115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262.42149466677068</v>
      </c>
      <c r="T71" s="59">
        <f t="shared" si="88"/>
        <v>232.7693253699756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-1.0197709343628959E-13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249.37919739649828</v>
      </c>
      <c r="AO71" s="59">
        <f t="shared" si="90"/>
        <v>315.05045383693073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128.4020485166848</v>
      </c>
      <c r="AV71" s="21">
        <f>EXP(-LN(2)/25)*AV70+(1-EXP(-LN(2)/25))/(LN(2)/25)*Calculateur!AQ71*Calculateur!AS71*VLOOKUP('Données projet'!$B$10,Paramètres!$A$1:$I$89,3,0)*0.475*44/12</f>
        <v>31.69082510248596</v>
      </c>
      <c r="AW71" s="21">
        <f>EXP(-LN(2)/2)*AW70+(1-EXP(-LN(2)/2))/(LN(2)/2)*AQ71*AT71*VLOOKUP('Données projet'!$B$10,Paramètres!$A$1:$I$89,3,0)*0.475*44/12</f>
        <v>0.63134954598139881</v>
      </c>
      <c r="AX71" s="21">
        <f t="shared" si="60"/>
        <v>160.72422316515215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4.2</v>
      </c>
      <c r="BD71" s="12">
        <f>IF('Données projet'!$A$88&gt;35,BD70+BC71-BL70,IF(A71&lt;'Données projet'!$A$88,$BA$205^A71,IF(A71='Données projet'!$A$88,'Données projet'!$B$88,BD70+BC71-BL70)))</f>
        <v>192.59999999999997</v>
      </c>
      <c r="BE71" s="13">
        <f>BD71*VLOOKUP('Données projet'!$B$11,Paramètres!$A$1:$I$89,3,0)*VLOOKUP('Données projet'!$B$11,Paramètres!$A$1:$I$89,5,0)</f>
        <v>168.25536</v>
      </c>
      <c r="BF71" s="13">
        <f t="shared" si="91"/>
        <v>42.699047982710887</v>
      </c>
      <c r="BG71" s="20">
        <f t="shared" si="61"/>
        <v>367.41226056988808</v>
      </c>
      <c r="BH71" s="59">
        <f t="shared" si="62"/>
        <v>660.74559390322133</v>
      </c>
      <c r="BI71" s="59">
        <f ca="1">AVERAGE(OFFSET($BH$3,0,0,'Données projet'!$E$11+1,1))-AVERAGE(OFFSET($H$3,0,0,'Données projet'!$E$11+1,1))</f>
        <v>186.80594222554424</v>
      </c>
      <c r="BJ71" s="59">
        <f t="shared" si="92"/>
        <v>179.02867751001872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6.7990499337514345</v>
      </c>
      <c r="BQ71" s="21">
        <f>EXP(-LN(2)/25)*BQ70+(1-EXP(-LN(2)/25))/(LN(2)/25)*Calculateur!BL71*Calculateur!BN71*VLOOKUP('Données projet'!$B$11,Paramètres!$A$1:$I$89,3,0)*0.475*44/12</f>
        <v>12.605766876107275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19.404816809858708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6.6995192307692264</v>
      </c>
      <c r="BY71" s="12">
        <f>IF('Données projet'!$A$114&gt;35,BY70+BX71-CG70,IF(A71&lt;'Données projet'!$A$114,$BV$205^A71,IF(A71='Données projet'!$A$114,'Données projet'!$B$114,BY70+BX71-CG70)))</f>
        <v>182.31570512820528</v>
      </c>
      <c r="BZ71" s="13">
        <f>BY71*VLOOKUP('Données projet'!$B$12,Paramètres!$A$1:$I$89,3,0)*VLOOKUP('Données projet'!$B$12,Paramètres!$A$1:$I$89,5,0)</f>
        <v>164.95925000000014</v>
      </c>
      <c r="CA71" s="13">
        <f t="shared" si="93"/>
        <v>41.959093163339809</v>
      </c>
      <c r="CB71" s="20">
        <f t="shared" si="64"/>
        <v>360.38278100948378</v>
      </c>
      <c r="CC71" s="59">
        <f t="shared" si="65"/>
        <v>653.71611434281704</v>
      </c>
      <c r="CD71" s="59">
        <f ca="1">AVERAGE(OFFSET($CC$3,0,0,'Données projet'!$E$12+1,1))-AVERAGE(OFFSET($H$3,0,0,'Données projet'!$E$12+1,1))</f>
        <v>265.17389489035344</v>
      </c>
      <c r="CE71" s="59">
        <f t="shared" si="94"/>
        <v>101.57852403610769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-1.7053025658242404E-13</v>
      </c>
      <c r="CU71" s="17">
        <f>CT71*VLOOKUP('Données projet'!$B$13,Paramètres!$A$1:$I$89,3,0)*VLOOKUP('Données projet'!$B$13,Paramètres!$A$1:$I$89,5,0)</f>
        <v>-1.0197709343628959E-13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182.34243693018033</v>
      </c>
      <c r="CZ71" s="59">
        <f t="shared" si="96"/>
        <v>182.65916563909786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110.71510285799901</v>
      </c>
      <c r="DG71" s="21">
        <f>EXP(-LN(2)/25)*DG70+(1-EXP(-LN(2)/25))/(LN(2)/25)*Calculateur!DB71*Calculateur!DD71*VLOOKUP('Données projet'!$B$13,Paramètres!$A$1:$I$89,3,0)*0.475*44/12</f>
        <v>28.949209843561974</v>
      </c>
      <c r="DH71" s="21">
        <f>EXP(-LN(2)/2)*DH70+(1-EXP(-LN(2)/2))/(LN(2)/2)*DB71*DE71*VLOOKUP('Données projet'!$B$13,Paramètres!$A$1:$I$89,3,0)*0.475*44/12</f>
        <v>1.997678030623637</v>
      </c>
      <c r="DI71" s="22">
        <f t="shared" si="69"/>
        <v>141.66199073218462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6.6995192307692264</v>
      </c>
      <c r="DO71" s="12">
        <f>IF('Données projet'!$A$166&gt;35,DO70+DN71-DW70,IF(A71&lt;'Données projet'!$A$166,$DL$205^A71,IF(A71='Données projet'!$A$166,'Données projet'!$B$166,DO70+DN71-DW70)))</f>
        <v>182.31570512820528</v>
      </c>
      <c r="DP71" s="17">
        <f>DO71*VLOOKUP('Données projet'!$B$14,Paramètres!$A$1:$I$89,3,0)*VLOOKUP('Données projet'!$B$14,Paramètres!$A$1:$I$89,5,0)</f>
        <v>173.49162500000014</v>
      </c>
      <c r="DQ71" s="13">
        <f t="shared" si="97"/>
        <v>43.871103715055042</v>
      </c>
      <c r="DR71" s="20">
        <f t="shared" si="70"/>
        <v>378.57341917872117</v>
      </c>
      <c r="DS71" s="59">
        <f t="shared" si="71"/>
        <v>671.90675251205448</v>
      </c>
      <c r="DT71" s="59">
        <f ca="1">AVERAGE(OFFSET($DS$3,0,0,'Données projet'!$E$14+1,1))-AVERAGE(OFFSET($H$3,0,0,'Données projet'!$E$14+1,1))</f>
        <v>286.10360882057586</v>
      </c>
      <c r="DU71" s="59">
        <f t="shared" si="98"/>
        <v>109.24531387923128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407.16349717823095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262.42149466677068</v>
      </c>
      <c r="T72" s="59">
        <f t="shared" si="88"/>
        <v>232.7693253699756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-1.0197709343628959E-13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249.37919739649828</v>
      </c>
      <c r="AO72" s="59">
        <f t="shared" si="90"/>
        <v>315.05045383693073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125.884162662789</v>
      </c>
      <c r="AV72" s="21">
        <f>EXP(-LN(2)/25)*AV71+(1-EXP(-LN(2)/25))/(LN(2)/25)*Calculateur!AQ72*Calculateur!AS72*VLOOKUP('Données projet'!$B$10,Paramètres!$A$1:$I$89,3,0)*0.475*44/12</f>
        <v>30.824237823510419</v>
      </c>
      <c r="AW72" s="21">
        <f>EXP(-LN(2)/2)*AW71+(1-EXP(-LN(2)/2))/(LN(2)/2)*AQ72*AT72*VLOOKUP('Données projet'!$B$10,Paramètres!$A$1:$I$89,3,0)*0.475*44/12</f>
        <v>0.44643154526249512</v>
      </c>
      <c r="AX72" s="21">
        <f t="shared" si="60"/>
        <v>157.15483203156191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4.2</v>
      </c>
      <c r="BD72" s="12">
        <f>IF('Données projet'!$A$88&gt;35,BD71+BC72-BL71,IF(A72&lt;'Données projet'!$A$88,$BA$205^A72,IF(A72='Données projet'!$A$88,'Données projet'!$B$88,BD71+BC72-BL71)))</f>
        <v>196.79999999999995</v>
      </c>
      <c r="BE72" s="13">
        <f>BD72*VLOOKUP('Données projet'!$B$11,Paramètres!$A$1:$I$89,3,0)*VLOOKUP('Données projet'!$B$11,Paramètres!$A$1:$I$89,5,0)</f>
        <v>171.92447999999999</v>
      </c>
      <c r="BF72" s="13">
        <f t="shared" si="91"/>
        <v>43.520760297647755</v>
      </c>
      <c r="BG72" s="20">
        <f t="shared" si="61"/>
        <v>375.23379351840316</v>
      </c>
      <c r="BH72" s="59">
        <f t="shared" si="62"/>
        <v>668.56712685173648</v>
      </c>
      <c r="BI72" s="59">
        <f ca="1">AVERAGE(OFFSET($BH$3,0,0,'Données projet'!$E$11+1,1))-AVERAGE(OFFSET($H$3,0,0,'Données projet'!$E$11+1,1))</f>
        <v>186.80594222554424</v>
      </c>
      <c r="BJ72" s="59">
        <f t="shared" si="92"/>
        <v>179.02867751001872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6.6657247115615448</v>
      </c>
      <c r="BQ72" s="21">
        <f>EXP(-LN(2)/25)*BQ71+(1-EXP(-LN(2)/25))/(LN(2)/25)*Calculateur!BL72*Calculateur!BN72*VLOOKUP('Données projet'!$B$11,Paramètres!$A$1:$I$89,3,0)*0.475*44/12</f>
        <v>12.261061517971653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18.926786229533199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6.6995192307692264</v>
      </c>
      <c r="BY72" s="12">
        <f>IF('Données projet'!$A$114&gt;35,BY71+BX72-CG71,IF(A72&lt;'Données projet'!$A$114,$BV$205^A72,IF(A72='Données projet'!$A$114,'Données projet'!$B$114,BY71+BX72-CG71)))</f>
        <v>189.01522435897451</v>
      </c>
      <c r="BZ72" s="13">
        <f>BY72*VLOOKUP('Données projet'!$B$12,Paramètres!$A$1:$I$89,3,0)*VLOOKUP('Données projet'!$B$12,Paramètres!$A$1:$I$89,5,0)</f>
        <v>171.02097500000013</v>
      </c>
      <c r="CA72" s="13">
        <f t="shared" si="93"/>
        <v>43.318608274033679</v>
      </c>
      <c r="CB72" s="20">
        <f t="shared" si="64"/>
        <v>373.30810753560894</v>
      </c>
      <c r="CC72" s="59">
        <f t="shared" si="65"/>
        <v>666.64144086894225</v>
      </c>
      <c r="CD72" s="59">
        <f ca="1">AVERAGE(OFFSET($CC$3,0,0,'Données projet'!$E$12+1,1))-AVERAGE(OFFSET($H$3,0,0,'Données projet'!$E$12+1,1))</f>
        <v>265.17389489035344</v>
      </c>
      <c r="CE72" s="59">
        <f t="shared" si="94"/>
        <v>101.57852403610769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-1.7053025658242404E-13</v>
      </c>
      <c r="CU72" s="17">
        <f>CT72*VLOOKUP('Données projet'!$B$13,Paramètres!$A$1:$I$89,3,0)*VLOOKUP('Données projet'!$B$13,Paramètres!$A$1:$I$89,5,0)</f>
        <v>-1.0197709343628959E-13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182.34243693018033</v>
      </c>
      <c r="CZ72" s="59">
        <f t="shared" si="96"/>
        <v>182.65916563909786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108.54404722049841</v>
      </c>
      <c r="DG72" s="21">
        <f>EXP(-LN(2)/25)*DG71+(1-EXP(-LN(2)/25))/(LN(2)/25)*Calculateur!DB72*Calculateur!DD72*VLOOKUP('Données projet'!$B$13,Paramètres!$A$1:$I$89,3,0)*0.475*44/12</f>
        <v>28.157592178016991</v>
      </c>
      <c r="DH72" s="21">
        <f>EXP(-LN(2)/2)*DH71+(1-EXP(-LN(2)/2))/(LN(2)/2)*DB72*DE72*VLOOKUP('Données projet'!$B$13,Paramètres!$A$1:$I$89,3,0)*0.475*44/12</f>
        <v>1.4125716820813614</v>
      </c>
      <c r="DI72" s="22">
        <f t="shared" si="69"/>
        <v>138.11421108059676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6.6995192307692264</v>
      </c>
      <c r="DO72" s="12">
        <f>IF('Données projet'!$A$166&gt;35,DO71+DN72-DW71,IF(A72&lt;'Données projet'!$A$166,$DL$205^A72,IF(A72='Données projet'!$A$166,'Données projet'!$B$166,DO71+DN72-DW71)))</f>
        <v>189.01522435897451</v>
      </c>
      <c r="DP72" s="17">
        <f>DO72*VLOOKUP('Données projet'!$B$14,Paramètres!$A$1:$I$89,3,0)*VLOOKUP('Données projet'!$B$14,Paramètres!$A$1:$I$89,5,0)</f>
        <v>179.86688750000013</v>
      </c>
      <c r="DQ72" s="13">
        <f t="shared" si="97"/>
        <v>45.292569812791079</v>
      </c>
      <c r="DR72" s="20">
        <f t="shared" si="70"/>
        <v>392.1527214864447</v>
      </c>
      <c r="DS72" s="59">
        <f t="shared" si="71"/>
        <v>685.48605481977802</v>
      </c>
      <c r="DT72" s="59">
        <f ca="1">AVERAGE(OFFSET($DS$3,0,0,'Données projet'!$E$14+1,1))-AVERAGE(OFFSET($H$3,0,0,'Données projet'!$E$14+1,1))</f>
        <v>286.10360882057586</v>
      </c>
      <c r="DU72" s="59">
        <f t="shared" si="98"/>
        <v>109.24531387923128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408.76954849412897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262.42149466677068</v>
      </c>
      <c r="T73" s="59">
        <f t="shared" si="88"/>
        <v>232.7693253699756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-1.0197709343628959E-13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249.37919739649828</v>
      </c>
      <c r="AO73" s="59">
        <f t="shared" si="90"/>
        <v>315.05045383693073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123.41565101472936</v>
      </c>
      <c r="AV73" s="21">
        <f>EXP(-LN(2)/25)*AV72+(1-EXP(-LN(2)/25))/(LN(2)/25)*Calculateur!AQ73*Calculateur!AS73*VLOOKUP('Données projet'!$B$10,Paramètres!$A$1:$I$89,3,0)*0.475*44/12</f>
        <v>29.981347419250309</v>
      </c>
      <c r="AW73" s="21">
        <f>EXP(-LN(2)/2)*AW72+(1-EXP(-LN(2)/2))/(LN(2)/2)*AQ73*AT73*VLOOKUP('Données projet'!$B$10,Paramètres!$A$1:$I$89,3,0)*0.475*44/12</f>
        <v>0.31567477299069946</v>
      </c>
      <c r="AX73" s="21">
        <f t="shared" si="60"/>
        <v>153.71267320697035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201</v>
      </c>
      <c r="BB73" s="12">
        <f>VLOOKUP(A73,'Données projet'!$A$87:$I$107,9,0)</f>
        <v>4.2</v>
      </c>
      <c r="BC73" s="12">
        <f t="array" ref="BC73">INDEX(BB:BB,MIN(IF(ISNUMBER(BB73:BB269),ROW(BB73:BB269),"")))</f>
        <v>4.2</v>
      </c>
      <c r="BD73" s="12">
        <f>IF('Données projet'!$A$88&gt;35,BD72+BC73-BL72,IF(A73&lt;'Données projet'!$A$88,$BA$205^A73,IF(A73='Données projet'!$A$88,'Données projet'!$B$88,BD72+BC73-BL72)))</f>
        <v>200.99999999999994</v>
      </c>
      <c r="BE73" s="13">
        <f>BD73*VLOOKUP('Données projet'!$B$11,Paramètres!$A$1:$I$89,3,0)*VLOOKUP('Données projet'!$B$11,Paramètres!$A$1:$I$89,5,0)</f>
        <v>175.59359999999995</v>
      </c>
      <c r="BF73" s="13">
        <f t="shared" si="91"/>
        <v>44.340433728638573</v>
      </c>
      <c r="BG73" s="20">
        <f t="shared" si="61"/>
        <v>383.05177541071203</v>
      </c>
      <c r="BH73" s="59">
        <f t="shared" si="62"/>
        <v>676.38510874404528</v>
      </c>
      <c r="BI73" s="59">
        <f ca="1">AVERAGE(OFFSET($BH$3,0,0,'Données projet'!$E$11+1,1))-AVERAGE(OFFSET($H$3,0,0,'Données projet'!$E$11+1,1))</f>
        <v>186.80594222554424</v>
      </c>
      <c r="BJ73" s="59">
        <f t="shared" si="92"/>
        <v>179.02867751001872</v>
      </c>
      <c r="BK73" s="15">
        <f>IF(ISNA(VLOOKUP(A73,'Données projet'!$A$87:$I$107,3,0)),0,VLOOKUP(A73,'Données projet'!$A$87:$I$107,3,0))</f>
        <v>11</v>
      </c>
      <c r="BL73" s="15" t="str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0.17200000000000001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8.8605132435908889</v>
      </c>
      <c r="BQ73" s="21">
        <f>EXP(-LN(2)/25)*BQ72+(1-EXP(-LN(2)/25))/(LN(2)/25)*Calculateur!BL73*Calculateur!BN73*VLOOKUP('Données projet'!$B$11,Paramètres!$A$1:$I$89,3,0)*0.475*44/12</f>
        <v>14.24212509697518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23.102638340566067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6.6995192307692264</v>
      </c>
      <c r="BY73" s="12">
        <f>IF('Données projet'!$A$114&gt;35,BY72+BX73-CG72,IF(A73&lt;'Données projet'!$A$114,$BV$205^A73,IF(A73='Données projet'!$A$114,'Données projet'!$B$114,BY72+BX73-CG72)))</f>
        <v>195.71474358974373</v>
      </c>
      <c r="BZ73" s="13">
        <f>BY73*VLOOKUP('Données projet'!$B$12,Paramètres!$A$1:$I$89,3,0)*VLOOKUP('Données projet'!$B$12,Paramètres!$A$1:$I$89,5,0)</f>
        <v>177.08270000000013</v>
      </c>
      <c r="CA73" s="13">
        <f t="shared" si="93"/>
        <v>44.672524721320137</v>
      </c>
      <c r="CB73" s="20">
        <f t="shared" si="64"/>
        <v>386.22368305629948</v>
      </c>
      <c r="CC73" s="59">
        <f t="shared" si="65"/>
        <v>679.55701638963274</v>
      </c>
      <c r="CD73" s="59">
        <f ca="1">AVERAGE(OFFSET($CC$3,0,0,'Données projet'!$E$12+1,1))-AVERAGE(OFFSET($H$3,0,0,'Données projet'!$E$12+1,1))</f>
        <v>265.17389489035344</v>
      </c>
      <c r="CE73" s="59">
        <f t="shared" si="94"/>
        <v>101.57852403610769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-1.7053025658242404E-13</v>
      </c>
      <c r="CU73" s="17">
        <f>CT73*VLOOKUP('Données projet'!$B$13,Paramètres!$A$1:$I$89,3,0)*VLOOKUP('Données projet'!$B$13,Paramètres!$A$1:$I$89,5,0)</f>
        <v>-1.0197709343628959E-13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182.34243693018033</v>
      </c>
      <c r="CZ73" s="59">
        <f t="shared" si="96"/>
        <v>182.65916563909786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106.41556465983601</v>
      </c>
      <c r="DG73" s="21">
        <f>EXP(-LN(2)/25)*DG72+(1-EXP(-LN(2)/25))/(LN(2)/25)*Calculateur!DB73*Calculateur!DD73*VLOOKUP('Données projet'!$B$13,Paramètres!$A$1:$I$89,3,0)*0.475*44/12</f>
        <v>27.387621339165698</v>
      </c>
      <c r="DH73" s="21">
        <f>EXP(-LN(2)/2)*DH72+(1-EXP(-LN(2)/2))/(LN(2)/2)*DB73*DE73*VLOOKUP('Données projet'!$B$13,Paramètres!$A$1:$I$89,3,0)*0.475*44/12</f>
        <v>0.99883901531181862</v>
      </c>
      <c r="DI73" s="22">
        <f t="shared" si="69"/>
        <v>134.80202501431353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6.6995192307692264</v>
      </c>
      <c r="DO73" s="12">
        <f>IF('Données projet'!$A$166&gt;35,DO72+DN73-DW72,IF(A73&lt;'Données projet'!$A$166,$DL$205^A73,IF(A73='Données projet'!$A$166,'Données projet'!$B$166,DO72+DN73-DW72)))</f>
        <v>195.71474358974373</v>
      </c>
      <c r="DP73" s="17">
        <f>DO73*VLOOKUP('Données projet'!$B$14,Paramètres!$A$1:$I$89,3,0)*VLOOKUP('Données projet'!$B$14,Paramètres!$A$1:$I$89,5,0)</f>
        <v>186.24215000000015</v>
      </c>
      <c r="DQ73" s="13">
        <f t="shared" si="97"/>
        <v>46.708182124744511</v>
      </c>
      <c r="DR73" s="20">
        <f t="shared" si="70"/>
        <v>405.72182845059689</v>
      </c>
      <c r="DS73" s="59">
        <f t="shared" si="71"/>
        <v>699.0551617839302</v>
      </c>
      <c r="DT73" s="59">
        <f ca="1">AVERAGE(OFFSET($DS$3,0,0,'Données projet'!$E$14+1,1))-AVERAGE(OFFSET($H$3,0,0,'Données projet'!$E$14+1,1))</f>
        <v>286.10360882057586</v>
      </c>
      <c r="DU73" s="59">
        <f t="shared" si="98"/>
        <v>109.24531387923128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410.3750530630943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262.42149466677068</v>
      </c>
      <c r="T74" s="59">
        <f t="shared" si="88"/>
        <v>232.7693253699756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-1.0197709343628959E-13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249.37919739649828</v>
      </c>
      <c r="AO74" s="59">
        <f t="shared" si="90"/>
        <v>315.05045383693073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120.99554537444475</v>
      </c>
      <c r="AV74" s="21">
        <f>EXP(-LN(2)/25)*AV73+(1-EXP(-LN(2)/25))/(LN(2)/25)*Calculateur!AQ74*Calculateur!AS74*VLOOKUP('Données projet'!$B$10,Paramètres!$A$1:$I$89,3,0)*0.475*44/12</f>
        <v>29.161505897420373</v>
      </c>
      <c r="AW74" s="21">
        <f>EXP(-LN(2)/2)*AW73+(1-EXP(-LN(2)/2))/(LN(2)/2)*AQ74*AT74*VLOOKUP('Données projet'!$B$10,Paramètres!$A$1:$I$89,3,0)*0.475*44/12</f>
        <v>0.22321577263124759</v>
      </c>
      <c r="AX74" s="21">
        <f t="shared" si="60"/>
        <v>150.38026704449638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190.39999999999995</v>
      </c>
      <c r="BE74" s="13">
        <f>BD74*VLOOKUP('Données projet'!$B$11,Paramètres!$A$1:$I$89,3,0)*VLOOKUP('Données projet'!$B$11,Paramètres!$A$1:$I$89,5,0)</f>
        <v>166.33343999999997</v>
      </c>
      <c r="BF74" s="13">
        <f t="shared" si="91"/>
        <v>42.267796944897761</v>
      </c>
      <c r="BG74" s="20">
        <f t="shared" si="61"/>
        <v>363.31382101236346</v>
      </c>
      <c r="BH74" s="59">
        <f t="shared" si="62"/>
        <v>656.64715434569678</v>
      </c>
      <c r="BI74" s="59">
        <f ca="1">AVERAGE(OFFSET($BH$3,0,0,'Données projet'!$E$11+1,1))-AVERAGE(OFFSET($H$3,0,0,'Données projet'!$E$11+1,1))</f>
        <v>186.80594222554424</v>
      </c>
      <c r="BJ74" s="59">
        <f t="shared" si="92"/>
        <v>179.02867751001872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8.6867639832635124</v>
      </c>
      <c r="BQ74" s="21">
        <f>EXP(-LN(2)/25)*BQ73+(1-EXP(-LN(2)/25))/(LN(2)/25)*Calculateur!BL74*Calculateur!BN74*VLOOKUP('Données projet'!$B$11,Paramètres!$A$1:$I$89,3,0)*0.475*44/12</f>
        <v>13.852673437237586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22.539437420501098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6.6995192307692264</v>
      </c>
      <c r="BY74" s="12">
        <f>IF('Données projet'!$A$114&gt;35,BY73+BX74-CG73,IF(A74&lt;'Données projet'!$A$114,$BV$205^A74,IF(A74='Données projet'!$A$114,'Données projet'!$B$114,BY73+BX74-CG73)))</f>
        <v>202.41426282051296</v>
      </c>
      <c r="BZ74" s="13">
        <f>BY74*VLOOKUP('Données projet'!$B$12,Paramètres!$A$1:$I$89,3,0)*VLOOKUP('Données projet'!$B$12,Paramètres!$A$1:$I$89,5,0)</f>
        <v>183.14442500000013</v>
      </c>
      <c r="CA74" s="13">
        <f t="shared" si="93"/>
        <v>46.02105612019141</v>
      </c>
      <c r="CB74" s="20">
        <f t="shared" si="64"/>
        <v>399.12987961766686</v>
      </c>
      <c r="CC74" s="59">
        <f t="shared" si="65"/>
        <v>692.46321295100017</v>
      </c>
      <c r="CD74" s="59">
        <f ca="1">AVERAGE(OFFSET($CC$3,0,0,'Données projet'!$E$12+1,1))-AVERAGE(OFFSET($H$3,0,0,'Données projet'!$E$12+1,1))</f>
        <v>265.17389489035344</v>
      </c>
      <c r="CE74" s="59">
        <f t="shared" si="94"/>
        <v>101.57852403610769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-1.7053025658242404E-13</v>
      </c>
      <c r="CU74" s="17">
        <f>CT74*VLOOKUP('Données projet'!$B$13,Paramètres!$A$1:$I$89,3,0)*VLOOKUP('Données projet'!$B$13,Paramètres!$A$1:$I$89,5,0)</f>
        <v>-1.0197709343628959E-13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182.34243693018033</v>
      </c>
      <c r="CZ74" s="59">
        <f t="shared" si="96"/>
        <v>182.65916563909786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104.32882034394203</v>
      </c>
      <c r="DG74" s="21">
        <f>EXP(-LN(2)/25)*DG73+(1-EXP(-LN(2)/25))/(LN(2)/25)*Calculateur!DB74*Calculateur!DD74*VLOOKUP('Données projet'!$B$13,Paramètres!$A$1:$I$89,3,0)*0.475*44/12</f>
        <v>26.638705393393799</v>
      </c>
      <c r="DH74" s="21">
        <f>EXP(-LN(2)/2)*DH73+(1-EXP(-LN(2)/2))/(LN(2)/2)*DB74*DE74*VLOOKUP('Données projet'!$B$13,Paramètres!$A$1:$I$89,3,0)*0.475*44/12</f>
        <v>0.70628584104068082</v>
      </c>
      <c r="DI74" s="22">
        <f t="shared" si="69"/>
        <v>131.6738115783765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6.6995192307692264</v>
      </c>
      <c r="DO74" s="12">
        <f>IF('Données projet'!$A$166&gt;35,DO73+DN74-DW73,IF(A74&lt;'Données projet'!$A$166,$DL$205^A74,IF(A74='Données projet'!$A$166,'Données projet'!$B$166,DO73+DN74-DW73)))</f>
        <v>202.41426282051296</v>
      </c>
      <c r="DP74" s="17">
        <f>DO74*VLOOKUP('Données projet'!$B$14,Paramètres!$A$1:$I$89,3,0)*VLOOKUP('Données projet'!$B$14,Paramètres!$A$1:$I$89,5,0)</f>
        <v>192.61741250000014</v>
      </c>
      <c r="DQ74" s="13">
        <f t="shared" si="97"/>
        <v>48.118164000010069</v>
      </c>
      <c r="DR74" s="20">
        <f t="shared" si="70"/>
        <v>419.28112907085114</v>
      </c>
      <c r="DS74" s="59">
        <f t="shared" si="71"/>
        <v>712.61446240418445</v>
      </c>
      <c r="DT74" s="59">
        <f ca="1">AVERAGE(OFFSET($DS$3,0,0,'Données projet'!$E$14+1,1))-AVERAGE(OFFSET($H$3,0,0,'Données projet'!$E$14+1,1))</f>
        <v>286.10360882057586</v>
      </c>
      <c r="DU74" s="59">
        <f t="shared" si="98"/>
        <v>109.24531387923128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411.98001947567326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262.42149466677068</v>
      </c>
      <c r="T75" s="59">
        <f t="shared" si="88"/>
        <v>232.7693253699756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-1.0197709343628959E-13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249.37919739649828</v>
      </c>
      <c r="AO75" s="59">
        <f t="shared" si="90"/>
        <v>315.05045383693073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118.62289652964742</v>
      </c>
      <c r="AV75" s="21">
        <f>EXP(-LN(2)/25)*AV74+(1-EXP(-LN(2)/25))/(LN(2)/25)*Calculateur!AQ75*Calculateur!AS75*VLOOKUP('Données projet'!$B$10,Paramètres!$A$1:$I$89,3,0)*0.475*44/12</f>
        <v>28.364082985118468</v>
      </c>
      <c r="AW75" s="21">
        <f>EXP(-LN(2)/2)*AW74+(1-EXP(-LN(2)/2))/(LN(2)/2)*AQ75*AT75*VLOOKUP('Données projet'!$B$10,Paramètres!$A$1:$I$89,3,0)*0.475*44/12</f>
        <v>0.15783738649534973</v>
      </c>
      <c r="AX75" s="21">
        <f t="shared" si="60"/>
        <v>147.14481690126124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193.79999999999995</v>
      </c>
      <c r="BE75" s="13">
        <f>BD75*VLOOKUP('Données projet'!$B$11,Paramètres!$A$1:$I$89,3,0)*VLOOKUP('Données projet'!$B$11,Paramètres!$A$1:$I$89,5,0)</f>
        <v>169.30367999999999</v>
      </c>
      <c r="BF75" s="13">
        <f t="shared" si="91"/>
        <v>42.934033834973214</v>
      </c>
      <c r="BG75" s="20">
        <f t="shared" si="61"/>
        <v>369.64735159591163</v>
      </c>
      <c r="BH75" s="59">
        <f t="shared" si="62"/>
        <v>662.98068492924494</v>
      </c>
      <c r="BI75" s="59">
        <f ca="1">AVERAGE(OFFSET($BH$3,0,0,'Données projet'!$E$11+1,1))-AVERAGE(OFFSET($H$3,0,0,'Données projet'!$E$11+1,1))</f>
        <v>186.80594222554424</v>
      </c>
      <c r="BJ75" s="59">
        <f t="shared" si="92"/>
        <v>179.02867751001872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8.516421839954571</v>
      </c>
      <c r="BQ75" s="21">
        <f>EXP(-LN(2)/25)*BQ74+(1-EXP(-LN(2)/25))/(LN(2)/25)*Calculateur!BL75*Calculateur!BN75*VLOOKUP('Données projet'!$B$11,Paramètres!$A$1:$I$89,3,0)*0.475*44/12</f>
        <v>13.473871353615889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21.990293193570459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6.6995192307692264</v>
      </c>
      <c r="BY75" s="12">
        <f>IF('Données projet'!$A$114&gt;35,BY74+BX75-CG74,IF(A75&lt;'Données projet'!$A$114,$BV$205^A75,IF(A75='Données projet'!$A$114,'Données projet'!$B$114,BY74+BX75-CG74)))</f>
        <v>209.11378205128219</v>
      </c>
      <c r="BZ75" s="13">
        <f>BY75*VLOOKUP('Données projet'!$B$12,Paramètres!$A$1:$I$89,3,0)*VLOOKUP('Données projet'!$B$12,Paramètres!$A$1:$I$89,5,0)</f>
        <v>189.20615000000009</v>
      </c>
      <c r="CA75" s="13">
        <f t="shared" si="93"/>
        <v>47.364401142673302</v>
      </c>
      <c r="CB75" s="20">
        <f t="shared" si="64"/>
        <v>412.02704324015616</v>
      </c>
      <c r="CC75" s="59">
        <f t="shared" si="65"/>
        <v>705.36037657348948</v>
      </c>
      <c r="CD75" s="59">
        <f ca="1">AVERAGE(OFFSET($CC$3,0,0,'Données projet'!$E$12+1,1))-AVERAGE(OFFSET($H$3,0,0,'Données projet'!$E$12+1,1))</f>
        <v>265.17389489035344</v>
      </c>
      <c r="CE75" s="59">
        <f t="shared" si="94"/>
        <v>101.57852403610769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-1.7053025658242404E-13</v>
      </c>
      <c r="CU75" s="17">
        <f>CT75*VLOOKUP('Données projet'!$B$13,Paramètres!$A$1:$I$89,3,0)*VLOOKUP('Données projet'!$B$13,Paramètres!$A$1:$I$89,5,0)</f>
        <v>-1.0197709343628959E-13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182.34243693018033</v>
      </c>
      <c r="CZ75" s="59">
        <f t="shared" si="96"/>
        <v>182.65916563909786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102.28299581129437</v>
      </c>
      <c r="DG75" s="21">
        <f>EXP(-LN(2)/25)*DG74+(1-EXP(-LN(2)/25))/(LN(2)/25)*Calculateur!DB75*Calculateur!DD75*VLOOKUP('Données projet'!$B$13,Paramètres!$A$1:$I$89,3,0)*0.475*44/12</f>
        <v>25.910268593542813</v>
      </c>
      <c r="DH75" s="21">
        <f>EXP(-LN(2)/2)*DH74+(1-EXP(-LN(2)/2))/(LN(2)/2)*DB75*DE75*VLOOKUP('Données projet'!$B$13,Paramètres!$A$1:$I$89,3,0)*0.475*44/12</f>
        <v>0.49941950765590942</v>
      </c>
      <c r="DI75" s="22">
        <f t="shared" si="69"/>
        <v>128.6926839124931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6.6995192307692264</v>
      </c>
      <c r="DO75" s="12">
        <f>IF('Données projet'!$A$166&gt;35,DO74+DN75-DW74,IF(A75&lt;'Données projet'!$A$166,$DL$205^A75,IF(A75='Données projet'!$A$166,'Données projet'!$B$166,DO74+DN75-DW74)))</f>
        <v>209.11378205128219</v>
      </c>
      <c r="DP75" s="17">
        <f>DO75*VLOOKUP('Données projet'!$B$14,Paramètres!$A$1:$I$89,3,0)*VLOOKUP('Données projet'!$B$14,Paramètres!$A$1:$I$89,5,0)</f>
        <v>198.99267500000013</v>
      </c>
      <c r="DQ75" s="13">
        <f t="shared" si="97"/>
        <v>49.522723163788598</v>
      </c>
      <c r="DR75" s="20">
        <f t="shared" si="70"/>
        <v>432.83098513526539</v>
      </c>
      <c r="DS75" s="59">
        <f t="shared" si="71"/>
        <v>726.16431846859871</v>
      </c>
      <c r="DT75" s="59">
        <f ca="1">AVERAGE(OFFSET($DS$3,0,0,'Données projet'!$E$14+1,1))-AVERAGE(OFFSET($H$3,0,0,'Données projet'!$E$14+1,1))</f>
        <v>286.10360882057586</v>
      </c>
      <c r="DU75" s="59">
        <f t="shared" si="98"/>
        <v>109.24531387923128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413.58445607007764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262.42149466677068</v>
      </c>
      <c r="T76" s="59">
        <f t="shared" si="88"/>
        <v>232.7693253699756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-1.0197709343628959E-13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249.37919739649828</v>
      </c>
      <c r="AO76" s="59">
        <f t="shared" si="90"/>
        <v>315.05045383693073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116.29677388152366</v>
      </c>
      <c r="AV76" s="21">
        <f>EXP(-LN(2)/25)*AV75+(1-EXP(-LN(2)/25))/(LN(2)/25)*Calculateur!AQ76*Calculateur!AS76*VLOOKUP('Données projet'!$B$10,Paramètres!$A$1:$I$89,3,0)*0.475*44/12</f>
        <v>27.588465644288107</v>
      </c>
      <c r="AW76" s="21">
        <f>EXP(-LN(2)/2)*AW75+(1-EXP(-LN(2)/2))/(LN(2)/2)*AQ76*AT76*VLOOKUP('Données projet'!$B$10,Paramètres!$A$1:$I$89,3,0)*0.475*44/12</f>
        <v>0.11160788631562379</v>
      </c>
      <c r="AX76" s="21">
        <f t="shared" si="60"/>
        <v>143.99684741212738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197.19999999999996</v>
      </c>
      <c r="BE76" s="13">
        <f>BD76*VLOOKUP('Données projet'!$B$11,Paramètres!$A$1:$I$89,3,0)*VLOOKUP('Données projet'!$B$11,Paramètres!$A$1:$I$89,5,0)</f>
        <v>172.27391999999998</v>
      </c>
      <c r="BF76" s="13">
        <f t="shared" si="91"/>
        <v>43.598911513699605</v>
      </c>
      <c r="BG76" s="20">
        <f t="shared" si="61"/>
        <v>375.97851488636002</v>
      </c>
      <c r="BH76" s="59">
        <f t="shared" si="62"/>
        <v>669.31184821969327</v>
      </c>
      <c r="BI76" s="59">
        <f ca="1">AVERAGE(OFFSET($BH$3,0,0,'Données projet'!$E$11+1,1))-AVERAGE(OFFSET($H$3,0,0,'Données projet'!$E$11+1,1))</f>
        <v>186.80594222554424</v>
      </c>
      <c r="BJ76" s="59">
        <f t="shared" si="92"/>
        <v>179.02867751001872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8.3494200021774692</v>
      </c>
      <c r="BQ76" s="21">
        <f>EXP(-LN(2)/25)*BQ75+(1-EXP(-LN(2)/25))/(LN(2)/25)*Calculateur!BL76*Calculateur!BN76*VLOOKUP('Données projet'!$B$11,Paramètres!$A$1:$I$89,3,0)*0.475*44/12</f>
        <v>13.105427632891164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21.454847635068631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6.6995192307692264</v>
      </c>
      <c r="BY76" s="12">
        <f>IF('Données projet'!$A$114&gt;35,BY75+BX76-CG75,IF(A76&lt;'Données projet'!$A$114,$BV$205^A76,IF(A76='Données projet'!$A$114,'Données projet'!$B$114,BY75+BX76-CG75)))</f>
        <v>215.81330128205141</v>
      </c>
      <c r="BZ76" s="13">
        <f>BY76*VLOOKUP('Données projet'!$B$12,Paramètres!$A$1:$I$89,3,0)*VLOOKUP('Données projet'!$B$12,Paramètres!$A$1:$I$89,5,0)</f>
        <v>195.26787500000012</v>
      </c>
      <c r="CA76" s="13">
        <f t="shared" si="93"/>
        <v>48.702745008025673</v>
      </c>
      <c r="CB76" s="20">
        <f t="shared" si="64"/>
        <v>424.91549651397821</v>
      </c>
      <c r="CC76" s="59">
        <f t="shared" si="65"/>
        <v>718.24882984731153</v>
      </c>
      <c r="CD76" s="59">
        <f ca="1">AVERAGE(OFFSET($CC$3,0,0,'Données projet'!$E$12+1,1))-AVERAGE(OFFSET($H$3,0,0,'Données projet'!$E$12+1,1))</f>
        <v>265.17389489035344</v>
      </c>
      <c r="CE76" s="59">
        <f t="shared" si="94"/>
        <v>101.57852403610769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-1.7053025658242404E-13</v>
      </c>
      <c r="CU76" s="17">
        <f>CT76*VLOOKUP('Données projet'!$B$13,Paramètres!$A$1:$I$89,3,0)*VLOOKUP('Données projet'!$B$13,Paramètres!$A$1:$I$89,5,0)</f>
        <v>-1.0197709343628959E-13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182.34243693018033</v>
      </c>
      <c r="CZ76" s="59">
        <f t="shared" si="96"/>
        <v>182.65916563909786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100.27728864990218</v>
      </c>
      <c r="DG76" s="21">
        <f>EXP(-LN(2)/25)*DG75+(1-EXP(-LN(2)/25))/(LN(2)/25)*Calculateur!DB76*Calculateur!DD76*VLOOKUP('Données projet'!$B$13,Paramètres!$A$1:$I$89,3,0)*0.475*44/12</f>
        <v>25.20175093629058</v>
      </c>
      <c r="DH76" s="21">
        <f>EXP(-LN(2)/2)*DH75+(1-EXP(-LN(2)/2))/(LN(2)/2)*DB76*DE76*VLOOKUP('Données projet'!$B$13,Paramètres!$A$1:$I$89,3,0)*0.475*44/12</f>
        <v>0.35314292052034046</v>
      </c>
      <c r="DI76" s="22">
        <f t="shared" si="69"/>
        <v>125.8321825067131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6.6995192307692264</v>
      </c>
      <c r="DO76" s="12">
        <f>IF('Données projet'!$A$166&gt;35,DO75+DN76-DW75,IF(A76&lt;'Données projet'!$A$166,$DL$205^A76,IF(A76='Données projet'!$A$166,'Données projet'!$B$166,DO75+DN76-DW75)))</f>
        <v>215.81330128205141</v>
      </c>
      <c r="DP76" s="17">
        <f>DO76*VLOOKUP('Données projet'!$B$14,Paramètres!$A$1:$I$89,3,0)*VLOOKUP('Données projet'!$B$14,Paramètres!$A$1:$I$89,5,0)</f>
        <v>205.36793750000015</v>
      </c>
      <c r="DQ76" s="13">
        <f t="shared" si="97"/>
        <v>50.922053275493234</v>
      </c>
      <c r="DR76" s="20">
        <f t="shared" si="70"/>
        <v>446.37173393398433</v>
      </c>
      <c r="DS76" s="59">
        <f t="shared" si="71"/>
        <v>739.70506726731765</v>
      </c>
      <c r="DT76" s="59">
        <f ca="1">AVERAGE(OFFSET($DS$3,0,0,'Données projet'!$E$14+1,1))-AVERAGE(OFFSET($H$3,0,0,'Données projet'!$E$14+1,1))</f>
        <v>286.10360882057586</v>
      </c>
      <c r="DU76" s="59">
        <f t="shared" si="98"/>
        <v>109.24531387923128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415.1883709429498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262.42149466677068</v>
      </c>
      <c r="T77" s="59">
        <f t="shared" si="88"/>
        <v>232.7693253699756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-1.0197709343628959E-13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249.37919739649828</v>
      </c>
      <c r="AO77" s="59">
        <f t="shared" si="90"/>
        <v>315.05045383693073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114.01626507973489</v>
      </c>
      <c r="AV77" s="21">
        <f>EXP(-LN(2)/25)*AV76+(1-EXP(-LN(2)/25))/(LN(2)/25)*Calculateur!AQ77*Calculateur!AS77*VLOOKUP('Données projet'!$B$10,Paramètres!$A$1:$I$89,3,0)*0.475*44/12</f>
        <v>26.834057600430693</v>
      </c>
      <c r="AW77" s="21">
        <f>EXP(-LN(2)/2)*AW76+(1-EXP(-LN(2)/2))/(LN(2)/2)*AQ77*AT77*VLOOKUP('Données projet'!$B$10,Paramètres!$A$1:$I$89,3,0)*0.475*44/12</f>
        <v>7.8918693247674865E-2</v>
      </c>
      <c r="AX77" s="21">
        <f t="shared" si="60"/>
        <v>140.92924137341328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200.59999999999997</v>
      </c>
      <c r="BE77" s="13">
        <f>BD77*VLOOKUP('Données projet'!$B$11,Paramètres!$A$1:$I$89,3,0)*VLOOKUP('Données projet'!$B$11,Paramètres!$A$1:$I$89,5,0)</f>
        <v>175.24415999999999</v>
      </c>
      <c r="BF77" s="13">
        <f t="shared" si="91"/>
        <v>44.262456119927037</v>
      </c>
      <c r="BG77" s="20">
        <f t="shared" si="61"/>
        <v>382.30735640887292</v>
      </c>
      <c r="BH77" s="59">
        <f t="shared" si="62"/>
        <v>675.64068974220618</v>
      </c>
      <c r="BI77" s="59">
        <f ca="1">AVERAGE(OFFSET($BH$3,0,0,'Données projet'!$E$11+1,1))-AVERAGE(OFFSET($H$3,0,0,'Données projet'!$E$11+1,1))</f>
        <v>186.80594222554424</v>
      </c>
      <c r="BJ77" s="59">
        <f t="shared" si="92"/>
        <v>179.02867751001872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8.1856929685781132</v>
      </c>
      <c r="BQ77" s="21">
        <f>EXP(-LN(2)/25)*BQ76+(1-EXP(-LN(2)/25))/(LN(2)/25)*Calculateur!BL77*Calculateur!BN77*VLOOKUP('Données projet'!$B$11,Paramètres!$A$1:$I$89,3,0)*0.475*44/12</f>
        <v>12.747059025085269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20.932751993663381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222.5128205128205</v>
      </c>
      <c r="BW77" s="12">
        <f>VLOOKUP(A77,'Données projet'!$A$113:$I$133,9,0)</f>
        <v>6.6995192307692264</v>
      </c>
      <c r="BX77" s="12">
        <f t="array" ref="BX77">INDEX(BW:BW,MIN(IF(ISNUMBER(BW77:BW273),ROW(BW77:BW273),"")))</f>
        <v>6.6995192307692264</v>
      </c>
      <c r="BY77" s="12">
        <f>IF('Données projet'!$A$114&gt;35,BY76+BX77-CG76,IF(A77&lt;'Données projet'!$A$114,$BV$205^A77,IF(A77='Données projet'!$A$114,'Données projet'!$B$114,BY76+BX77-CG76)))</f>
        <v>222.51282051282064</v>
      </c>
      <c r="BZ77" s="13">
        <f>BY77*VLOOKUP('Données projet'!$B$12,Paramètres!$A$1:$I$89,3,0)*VLOOKUP('Données projet'!$B$12,Paramètres!$A$1:$I$89,5,0)</f>
        <v>201.32960000000011</v>
      </c>
      <c r="CA77" s="13">
        <f t="shared" si="93"/>
        <v>50.0362607827022</v>
      </c>
      <c r="CB77" s="20">
        <f t="shared" si="64"/>
        <v>437.79554086320655</v>
      </c>
      <c r="CC77" s="59">
        <f t="shared" si="65"/>
        <v>731.12887419653987</v>
      </c>
      <c r="CD77" s="59">
        <f ca="1">AVERAGE(OFFSET($CC$3,0,0,'Données projet'!$E$12+1,1))-AVERAGE(OFFSET($H$3,0,0,'Données projet'!$E$12+1,1))</f>
        <v>265.17389489035344</v>
      </c>
      <c r="CE77" s="59">
        <f t="shared" si="94"/>
        <v>101.57852403610769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36.865384615384613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-1.7053025658242404E-13</v>
      </c>
      <c r="CU77" s="17">
        <f>CT77*VLOOKUP('Données projet'!$B$13,Paramètres!$A$1:$I$89,3,0)*VLOOKUP('Données projet'!$B$13,Paramètres!$A$1:$I$89,5,0)</f>
        <v>-1.0197709343628959E-13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182.34243693018033</v>
      </c>
      <c r="CZ77" s="59">
        <f t="shared" si="96"/>
        <v>182.65916563909786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98.310912182584318</v>
      </c>
      <c r="DG77" s="21">
        <f>EXP(-LN(2)/25)*DG76+(1-EXP(-LN(2)/25))/(LN(2)/25)*Calculateur!DB77*Calculateur!DD77*VLOOKUP('Données projet'!$B$13,Paramètres!$A$1:$I$89,3,0)*0.475*44/12</f>
        <v>24.512607731635232</v>
      </c>
      <c r="DH77" s="21">
        <f>EXP(-LN(2)/2)*DH76+(1-EXP(-LN(2)/2))/(LN(2)/2)*DB77*DE77*VLOOKUP('Données projet'!$B$13,Paramètres!$A$1:$I$89,3,0)*0.475*44/12</f>
        <v>0.24970975382795474</v>
      </c>
      <c r="DI77" s="22">
        <f t="shared" si="69"/>
        <v>123.0732296680475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222.5128205128205</v>
      </c>
      <c r="DM77" s="12">
        <f>VLOOKUP(A77,'Données projet'!$A$165:$I$185,9,0)</f>
        <v>6.6995192307692264</v>
      </c>
      <c r="DN77" s="12">
        <f t="array" ref="DN77">INDEX(DM:DM,MIN(IF(ISNUMBER(DM77:DM273),ROW(DM77:DM273),"")))</f>
        <v>6.6995192307692264</v>
      </c>
      <c r="DO77" s="12">
        <f>IF('Données projet'!$A$166&gt;35,DO76+DN77-DW76,IF(A77&lt;'Données projet'!$A$166,$DL$205^A77,IF(A77='Données projet'!$A$166,'Données projet'!$B$166,DO76+DN77-DW76)))</f>
        <v>222.51282051282064</v>
      </c>
      <c r="DP77" s="17">
        <f>DO77*VLOOKUP('Données projet'!$B$14,Paramètres!$A$1:$I$89,3,0)*VLOOKUP('Données projet'!$B$14,Paramètres!$A$1:$I$89,5,0)</f>
        <v>211.74320000000012</v>
      </c>
      <c r="DQ77" s="13">
        <f t="shared" si="97"/>
        <v>52.316335287946458</v>
      </c>
      <c r="DR77" s="20">
        <f t="shared" si="70"/>
        <v>459.90369062650694</v>
      </c>
      <c r="DS77" s="59">
        <f t="shared" si="71"/>
        <v>753.23702395984026</v>
      </c>
      <c r="DT77" s="59">
        <f ca="1">AVERAGE(OFFSET($DS$3,0,0,'Données projet'!$E$14+1,1))-AVERAGE(OFFSET($H$3,0,0,'Données projet'!$E$14+1,1))</f>
        <v>286.10360882057586</v>
      </c>
      <c r="DU77" s="59">
        <f t="shared" si="98"/>
        <v>109.24531387923128</v>
      </c>
      <c r="DV77" s="15">
        <f>IF(ISNA(VLOOKUP(A77,'Données projet'!$A$165:$I$185,3,0)),0,VLOOKUP(A77,'Données projet'!$A$165:$I$185,3,0))</f>
        <v>5</v>
      </c>
      <c r="DW77" s="15">
        <f>IF(ISNA(VLOOKUP(A77,'Données projet'!$A$165:$I$185,4,0)),0,VLOOKUP(A77,'Données projet'!$A$165:$I$185,4,0))</f>
        <v>36.865384615384613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416.79177195952911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262.42149466677068</v>
      </c>
      <c r="T78" s="59">
        <f t="shared" si="88"/>
        <v>232.7693253699756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-1.0197709343628959E-13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249.37919739649828</v>
      </c>
      <c r="AO78" s="59">
        <f t="shared" si="90"/>
        <v>315.05045383693073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111.78047566457619</v>
      </c>
      <c r="AV78" s="21">
        <f>EXP(-LN(2)/25)*AV77+(1-EXP(-LN(2)/25))/(LN(2)/25)*Calculateur!AQ78*Calculateur!AS78*VLOOKUP('Données projet'!$B$10,Paramètres!$A$1:$I$89,3,0)*0.475*44/12</f>
        <v>26.100278884205157</v>
      </c>
      <c r="AW78" s="21">
        <f>EXP(-LN(2)/2)*AW77+(1-EXP(-LN(2)/2))/(LN(2)/2)*AQ78*AT78*VLOOKUP('Données projet'!$B$10,Paramètres!$A$1:$I$89,3,0)*0.475*44/12</f>
        <v>5.5803943157811897E-2</v>
      </c>
      <c r="AX78" s="21">
        <f t="shared" si="60"/>
        <v>137.93655849193914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204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203.99999999999997</v>
      </c>
      <c r="BE78" s="13">
        <f>BD78*VLOOKUP('Données projet'!$B$11,Paramètres!$A$1:$I$89,3,0)*VLOOKUP('Données projet'!$B$11,Paramètres!$A$1:$I$89,5,0)</f>
        <v>178.21440000000001</v>
      </c>
      <c r="BF78" s="13">
        <f t="shared" si="91"/>
        <v>44.924692855664368</v>
      </c>
      <c r="BG78" s="20">
        <f t="shared" si="61"/>
        <v>388.63392005694874</v>
      </c>
      <c r="BH78" s="59">
        <f t="shared" si="62"/>
        <v>681.96725339028205</v>
      </c>
      <c r="BI78" s="59">
        <f ca="1">AVERAGE(OFFSET($BH$3,0,0,'Données projet'!$E$11+1,1))-AVERAGE(OFFSET($H$3,0,0,'Données projet'!$E$11+1,1))</f>
        <v>186.80594222554424</v>
      </c>
      <c r="BJ78" s="59">
        <f t="shared" si="92"/>
        <v>179.02867751001872</v>
      </c>
      <c r="BK78" s="15">
        <f>IF(ISNA(VLOOKUP(A78,'Données projet'!$A$87:$I$107,3,0)),0,VLOOKUP(A78,'Données projet'!$A$87:$I$107,3,0))</f>
        <v>12</v>
      </c>
      <c r="BL78" s="15" t="str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0.17200000000000001</v>
      </c>
      <c r="BN78" s="16">
        <f>IF(ISNA(VLOOKUP(A78,'Données projet'!$A$87:$I$107,6,0)),0%,VLOOKUP(A78,'Données projet'!$A$87:$I$107,6,0)*VLOOKUP('Données projet'!$B$11,Paramètres!$A$1:$I$89,7,0))</f>
        <v>0.17200000000000001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10.018461660471822</v>
      </c>
      <c r="BQ78" s="21">
        <f>EXP(-LN(2)/25)*BQ77+(1-EXP(-LN(2)/25))/(LN(2)/25)*Calculateur!BL78*Calculateur!BN78*VLOOKUP('Données projet'!$B$11,Paramètres!$A$1:$I$89,3,0)*0.475*44/12</f>
        <v>14.383926840843039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24.40238850131486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6.5339743589743566</v>
      </c>
      <c r="BY78" s="12">
        <f>IF('Données projet'!$A$114&gt;35,BY77+BX78-CG77,IF(A78&lt;'Données projet'!$A$114,$BV$205^A78,IF(A78='Données projet'!$A$114,'Données projet'!$B$114,BY77+BX78-CG77)))</f>
        <v>192.18141025641037</v>
      </c>
      <c r="BZ78" s="13">
        <f>BY78*VLOOKUP('Données projet'!$B$12,Paramètres!$A$1:$I$89,3,0)*VLOOKUP('Données projet'!$B$12,Paramètres!$A$1:$I$89,5,0)</f>
        <v>173.88574000000008</v>
      </c>
      <c r="CA78" s="13">
        <f t="shared" si="93"/>
        <v>43.959152089733649</v>
      </c>
      <c r="CB78" s="20">
        <f t="shared" si="64"/>
        <v>379.41318705628618</v>
      </c>
      <c r="CC78" s="59">
        <f t="shared" si="65"/>
        <v>672.74652038961949</v>
      </c>
      <c r="CD78" s="59">
        <f ca="1">AVERAGE(OFFSET($CC$3,0,0,'Données projet'!$E$12+1,1))-AVERAGE(OFFSET($H$3,0,0,'Données projet'!$E$12+1,1))</f>
        <v>265.17389489035344</v>
      </c>
      <c r="CE78" s="59">
        <f t="shared" si="94"/>
        <v>101.57852403610769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-1.7053025658242404E-13</v>
      </c>
      <c r="CU78" s="17">
        <f>CT78*VLOOKUP('Données projet'!$B$13,Paramètres!$A$1:$I$89,3,0)*VLOOKUP('Données projet'!$B$13,Paramètres!$A$1:$I$89,5,0)</f>
        <v>-1.0197709343628959E-13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182.34243693018033</v>
      </c>
      <c r="CZ78" s="59">
        <f t="shared" si="96"/>
        <v>182.65916563909786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96.383095158419337</v>
      </c>
      <c r="DG78" s="21">
        <f>EXP(-LN(2)/25)*DG77+(1-EXP(-LN(2)/25))/(LN(2)/25)*Calculateur!DB78*Calculateur!DD78*VLOOKUP('Données projet'!$B$13,Paramètres!$A$1:$I$89,3,0)*0.475*44/12</f>
        <v>23.842309184151649</v>
      </c>
      <c r="DH78" s="21">
        <f>EXP(-LN(2)/2)*DH77+(1-EXP(-LN(2)/2))/(LN(2)/2)*DB78*DE78*VLOOKUP('Données projet'!$B$13,Paramètres!$A$1:$I$89,3,0)*0.475*44/12</f>
        <v>0.17657146026017026</v>
      </c>
      <c r="DI78" s="22">
        <f t="shared" si="69"/>
        <v>120.40197580283115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6.5339743589743566</v>
      </c>
      <c r="DO78" s="12">
        <f>IF('Données projet'!$A$166&gt;35,DO77+DN78-DW77,IF(A78&lt;'Données projet'!$A$166,$DL$205^A78,IF(A78='Données projet'!$A$166,'Données projet'!$B$166,DO77+DN78-DW77)))</f>
        <v>192.18141025641037</v>
      </c>
      <c r="DP78" s="17">
        <f>DO78*VLOOKUP('Données projet'!$B$14,Paramètres!$A$1:$I$89,3,0)*VLOOKUP('Données projet'!$B$14,Paramètres!$A$1:$I$89,5,0)</f>
        <v>182.87983000000011</v>
      </c>
      <c r="DQ78" s="13">
        <f t="shared" si="97"/>
        <v>45.962302212946113</v>
      </c>
      <c r="DR78" s="20">
        <f t="shared" si="70"/>
        <v>398.56671360421461</v>
      </c>
      <c r="DS78" s="59">
        <f t="shared" si="71"/>
        <v>691.90004693754793</v>
      </c>
      <c r="DT78" s="59">
        <f ca="1">AVERAGE(OFFSET($DS$3,0,0,'Données projet'!$E$14+1,1))-AVERAGE(OFFSET($H$3,0,0,'Données projet'!$E$14+1,1))</f>
        <v>286.10360882057586</v>
      </c>
      <c r="DU78" s="59">
        <f t="shared" si="98"/>
        <v>109.24531387923128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418.394666763261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262.42149466677068</v>
      </c>
      <c r="T79" s="59">
        <f t="shared" si="88"/>
        <v>232.7693253699756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-1.0197709343628959E-13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249.37919739649828</v>
      </c>
      <c r="AO79" s="59">
        <f t="shared" si="90"/>
        <v>315.05045383693073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109.58852871615186</v>
      </c>
      <c r="AV79" s="21">
        <f>EXP(-LN(2)/25)*AV78+(1-EXP(-LN(2)/25))/(LN(2)/25)*Calculateur!AQ79*Calculateur!AS79*VLOOKUP('Données projet'!$B$10,Paramètres!$A$1:$I$89,3,0)*0.475*44/12</f>
        <v>25.386565385562552</v>
      </c>
      <c r="AW79" s="21">
        <f>EXP(-LN(2)/2)*AW78+(1-EXP(-LN(2)/2))/(LN(2)/2)*AQ79*AT79*VLOOKUP('Données projet'!$B$10,Paramètres!$A$1:$I$89,3,0)*0.475*44/12</f>
        <v>3.9459346623837432E-2</v>
      </c>
      <c r="AX79" s="21">
        <f t="shared" si="60"/>
        <v>135.01455344833823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3.2</v>
      </c>
      <c r="BD79" s="12">
        <f>IF('Données projet'!$A$88&gt;35,BD78+BC79-BL78,IF(A79&lt;'Données projet'!$A$88,$BA$205^A79,IF(A79='Données projet'!$A$88,'Données projet'!$B$88,BD78+BC79-BL78)))</f>
        <v>195.19999999999996</v>
      </c>
      <c r="BE79" s="13">
        <f>BD79*VLOOKUP('Données projet'!$B$11,Paramètres!$A$1:$I$89,3,0)*VLOOKUP('Données projet'!$B$11,Paramètres!$A$1:$I$89,5,0)</f>
        <v>170.52671999999998</v>
      </c>
      <c r="BF79" s="13">
        <f t="shared" si="91"/>
        <v>43.207970095682747</v>
      </c>
      <c r="BG79" s="20">
        <f t="shared" si="61"/>
        <v>372.25458524998072</v>
      </c>
      <c r="BH79" s="59">
        <f t="shared" si="62"/>
        <v>665.58791858331404</v>
      </c>
      <c r="BI79" s="59">
        <f ca="1">AVERAGE(OFFSET($BH$3,0,0,'Données projet'!$E$11+1,1))-AVERAGE(OFFSET($H$3,0,0,'Données projet'!$E$11+1,1))</f>
        <v>186.80594222554424</v>
      </c>
      <c r="BJ79" s="59">
        <f t="shared" si="92"/>
        <v>179.02867751001872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9.8220057379682046</v>
      </c>
      <c r="BQ79" s="21">
        <f>EXP(-LN(2)/25)*BQ78+(1-EXP(-LN(2)/25))/(LN(2)/25)*Calculateur!BL79*Calculateur!BN79*VLOOKUP('Données projet'!$B$11,Paramètres!$A$1:$I$89,3,0)*0.475*44/12</f>
        <v>13.990597604962348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23.812603342930551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6.5339743589743566</v>
      </c>
      <c r="BY79" s="12">
        <f>IF('Données projet'!$A$114&gt;35,BY78+BX79-CG78,IF(A79&lt;'Données projet'!$A$114,$BV$205^A79,IF(A79='Données projet'!$A$114,'Données projet'!$B$114,BY78+BX79-CG78)))</f>
        <v>198.71538461538472</v>
      </c>
      <c r="BZ79" s="13">
        <f>BY79*VLOOKUP('Données projet'!$B$12,Paramètres!$A$1:$I$89,3,0)*VLOOKUP('Données projet'!$B$12,Paramètres!$A$1:$I$89,5,0)</f>
        <v>179.7976800000001</v>
      </c>
      <c r="CA79" s="13">
        <f t="shared" si="93"/>
        <v>45.277170748284568</v>
      </c>
      <c r="CB79" s="20">
        <f t="shared" si="64"/>
        <v>392.00536505326244</v>
      </c>
      <c r="CC79" s="59">
        <f t="shared" si="65"/>
        <v>685.33869838659575</v>
      </c>
      <c r="CD79" s="59">
        <f ca="1">AVERAGE(OFFSET($CC$3,0,0,'Données projet'!$E$12+1,1))-AVERAGE(OFFSET($H$3,0,0,'Données projet'!$E$12+1,1))</f>
        <v>265.17389489035344</v>
      </c>
      <c r="CE79" s="59">
        <f t="shared" si="94"/>
        <v>101.57852403610769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-1.7053025658242404E-13</v>
      </c>
      <c r="CU79" s="17">
        <f>CT79*VLOOKUP('Données projet'!$B$13,Paramètres!$A$1:$I$89,3,0)*VLOOKUP('Données projet'!$B$13,Paramètres!$A$1:$I$89,5,0)</f>
        <v>-1.0197709343628959E-13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182.34243693018033</v>
      </c>
      <c r="CZ79" s="59">
        <f t="shared" si="96"/>
        <v>182.65916563909786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94.493081450245953</v>
      </c>
      <c r="DG79" s="21">
        <f>EXP(-LN(2)/25)*DG78+(1-EXP(-LN(2)/25))/(LN(2)/25)*Calculateur!DB79*Calculateur!DD79*VLOOKUP('Données projet'!$B$13,Paramètres!$A$1:$I$89,3,0)*0.475*44/12</f>
        <v>23.190339985698476</v>
      </c>
      <c r="DH79" s="21">
        <f>EXP(-LN(2)/2)*DH78+(1-EXP(-LN(2)/2))/(LN(2)/2)*DB79*DE79*VLOOKUP('Données projet'!$B$13,Paramètres!$A$1:$I$89,3,0)*0.475*44/12</f>
        <v>0.1248548769139774</v>
      </c>
      <c r="DI79" s="22">
        <f t="shared" si="69"/>
        <v>117.8082763128584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6.5339743589743566</v>
      </c>
      <c r="DO79" s="12">
        <f>IF('Données projet'!$A$166&gt;35,DO78+DN79-DW78,IF(A79&lt;'Données projet'!$A$166,$DL$205^A79,IF(A79='Données projet'!$A$166,'Données projet'!$B$166,DO78+DN79-DW78)))</f>
        <v>198.71538461538472</v>
      </c>
      <c r="DP79" s="17">
        <f>DO79*VLOOKUP('Données projet'!$B$14,Paramètres!$A$1:$I$89,3,0)*VLOOKUP('Données projet'!$B$14,Paramètres!$A$1:$I$89,5,0)</f>
        <v>189.0975600000001</v>
      </c>
      <c r="DQ79" s="13">
        <f t="shared" si="97"/>
        <v>47.34038092981848</v>
      </c>
      <c r="DR79" s="20">
        <f t="shared" si="70"/>
        <v>411.7960804527674</v>
      </c>
      <c r="DS79" s="59">
        <f t="shared" si="71"/>
        <v>705.12941378610071</v>
      </c>
      <c r="DT79" s="59">
        <f ca="1">AVERAGE(OFFSET($DS$3,0,0,'Données projet'!$E$14+1,1))-AVERAGE(OFFSET($H$3,0,0,'Données projet'!$E$14+1,1))</f>
        <v>286.10360882057586</v>
      </c>
      <c r="DU79" s="59">
        <f t="shared" si="98"/>
        <v>109.24531387923128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419.99706278488549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262.42149466677068</v>
      </c>
      <c r="T80" s="59">
        <f t="shared" si="88"/>
        <v>232.7693253699756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-1.0197709343628959E-13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249.37919739649828</v>
      </c>
      <c r="AO80" s="59">
        <f t="shared" si="90"/>
        <v>315.05045383693073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107.4395645104305</v>
      </c>
      <c r="AV80" s="21">
        <f>EXP(-LN(2)/25)*AV79+(1-EXP(-LN(2)/25))/(LN(2)/25)*Calculateur!AQ80*Calculateur!AS80*VLOOKUP('Données projet'!$B$10,Paramètres!$A$1:$I$89,3,0)*0.475*44/12</f>
        <v>24.692368420072892</v>
      </c>
      <c r="AW80" s="21">
        <f>EXP(-LN(2)/2)*AW79+(1-EXP(-LN(2)/2))/(LN(2)/2)*AQ80*AT80*VLOOKUP('Données projet'!$B$10,Paramètres!$A$1:$I$89,3,0)*0.475*44/12</f>
        <v>2.7901971578905949E-2</v>
      </c>
      <c r="AX80" s="21">
        <f t="shared" si="60"/>
        <v>132.15983490208228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3.2</v>
      </c>
      <c r="BD80" s="12">
        <f>IF('Données projet'!$A$88&gt;35,BD79+BC80-BL79,IF(A80&lt;'Données projet'!$A$88,$BA$205^A80,IF(A80='Données projet'!$A$88,'Données projet'!$B$88,BD79+BC80-BL79)))</f>
        <v>198.39999999999995</v>
      </c>
      <c r="BE80" s="13">
        <f>BD80*VLOOKUP('Données projet'!$B$11,Paramètres!$A$1:$I$89,3,0)*VLOOKUP('Données projet'!$B$11,Paramètres!$A$1:$I$89,5,0)</f>
        <v>173.32223999999999</v>
      </c>
      <c r="BF80" s="13">
        <f t="shared" si="91"/>
        <v>43.833254629845122</v>
      </c>
      <c r="BG80" s="20">
        <f t="shared" si="61"/>
        <v>378.2124864803136</v>
      </c>
      <c r="BH80" s="59">
        <f t="shared" si="62"/>
        <v>671.54581981364686</v>
      </c>
      <c r="BI80" s="59">
        <f ca="1">AVERAGE(OFFSET($BH$3,0,0,'Données projet'!$E$11+1,1))-AVERAGE(OFFSET($H$3,0,0,'Données projet'!$E$11+1,1))</f>
        <v>186.80594222554424</v>
      </c>
      <c r="BJ80" s="59">
        <f t="shared" si="92"/>
        <v>179.02867751001872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9.6294021962786029</v>
      </c>
      <c r="BQ80" s="21">
        <f>EXP(-LN(2)/25)*BQ79+(1-EXP(-LN(2)/25))/(LN(2)/25)*Calculateur!BL80*Calculateur!BN80*VLOOKUP('Données projet'!$B$11,Paramètres!$A$1:$I$89,3,0)*0.475*44/12</f>
        <v>13.6080239777211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23.237426173999701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6.5339743589743566</v>
      </c>
      <c r="BY80" s="12">
        <f>IF('Données projet'!$A$114&gt;35,BY79+BX80-CG79,IF(A80&lt;'Données projet'!$A$114,$BV$205^A80,IF(A80='Données projet'!$A$114,'Données projet'!$B$114,BY79+BX80-CG79)))</f>
        <v>205.24935897435907</v>
      </c>
      <c r="BZ80" s="13">
        <f>BY80*VLOOKUP('Données projet'!$B$12,Paramètres!$A$1:$I$89,3,0)*VLOOKUP('Données projet'!$B$12,Paramètres!$A$1:$I$89,5,0)</f>
        <v>185.70962000000009</v>
      </c>
      <c r="CA80" s="13">
        <f t="shared" si="93"/>
        <v>46.590153562220287</v>
      </c>
      <c r="CB80" s="20">
        <f t="shared" si="64"/>
        <v>404.5887722875338</v>
      </c>
      <c r="CC80" s="59">
        <f t="shared" si="65"/>
        <v>697.92210562086711</v>
      </c>
      <c r="CD80" s="59">
        <f ca="1">AVERAGE(OFFSET($CC$3,0,0,'Données projet'!$E$12+1,1))-AVERAGE(OFFSET($H$3,0,0,'Données projet'!$E$12+1,1))</f>
        <v>265.17389489035344</v>
      </c>
      <c r="CE80" s="59">
        <f t="shared" si="94"/>
        <v>101.57852403610769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-1.7053025658242404E-13</v>
      </c>
      <c r="CU80" s="17">
        <f>CT80*VLOOKUP('Données projet'!$B$13,Paramètres!$A$1:$I$89,3,0)*VLOOKUP('Données projet'!$B$13,Paramètres!$A$1:$I$89,5,0)</f>
        <v>-1.0197709343628959E-13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182.34243693018033</v>
      </c>
      <c r="CZ80" s="59">
        <f t="shared" si="96"/>
        <v>182.65916563909786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92.640129758095327</v>
      </c>
      <c r="DG80" s="21">
        <f>EXP(-LN(2)/25)*DG79+(1-EXP(-LN(2)/25))/(LN(2)/25)*Calculateur!DB80*Calculateur!DD80*VLOOKUP('Données projet'!$B$13,Paramètres!$A$1:$I$89,3,0)*0.475*44/12</f>
        <v>22.556198919262574</v>
      </c>
      <c r="DH80" s="21">
        <f>EXP(-LN(2)/2)*DH79+(1-EXP(-LN(2)/2))/(LN(2)/2)*DB80*DE80*VLOOKUP('Données projet'!$B$13,Paramètres!$A$1:$I$89,3,0)*0.475*44/12</f>
        <v>8.8285730130085144E-2</v>
      </c>
      <c r="DI80" s="22">
        <f t="shared" si="69"/>
        <v>115.28461440748798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6.5339743589743566</v>
      </c>
      <c r="DO80" s="12">
        <f>IF('Données projet'!$A$166&gt;35,DO79+DN80-DW79,IF(A80&lt;'Données projet'!$A$166,$DL$205^A80,IF(A80='Données projet'!$A$166,'Données projet'!$B$166,DO79+DN80-DW79)))</f>
        <v>205.24935897435907</v>
      </c>
      <c r="DP80" s="17">
        <f>DO80*VLOOKUP('Données projet'!$B$14,Paramètres!$A$1:$I$89,3,0)*VLOOKUP('Données projet'!$B$14,Paramètres!$A$1:$I$89,5,0)</f>
        <v>195.31529000000009</v>
      </c>
      <c r="DQ80" s="13">
        <f t="shared" si="97"/>
        <v>48.713194326476639</v>
      </c>
      <c r="DR80" s="20">
        <f t="shared" si="70"/>
        <v>425.0162768686136</v>
      </c>
      <c r="DS80" s="59">
        <f t="shared" si="71"/>
        <v>718.34961020194692</v>
      </c>
      <c r="DT80" s="59">
        <f ca="1">AVERAGE(OFFSET($DS$3,0,0,'Données projet'!$E$14+1,1))-AVERAGE(OFFSET($H$3,0,0,'Données projet'!$E$14+1,1))</f>
        <v>286.10360882057586</v>
      </c>
      <c r="DU80" s="59">
        <f t="shared" si="98"/>
        <v>109.24531387923128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421.5989672510409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262.42149466677068</v>
      </c>
      <c r="T81" s="59">
        <f t="shared" si="88"/>
        <v>232.7693253699756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-1.0197709343628959E-13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249.37919739649828</v>
      </c>
      <c r="AO81" s="59">
        <f t="shared" si="90"/>
        <v>315.05045383693073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105.33274018204459</v>
      </c>
      <c r="AV81" s="21">
        <f>EXP(-LN(2)/25)*AV80+(1-EXP(-LN(2)/25))/(LN(2)/25)*Calculateur!AQ81*Calculateur!AS81*VLOOKUP('Données projet'!$B$10,Paramètres!$A$1:$I$89,3,0)*0.475*44/12</f>
        <v>24.017154307110779</v>
      </c>
      <c r="AW81" s="21">
        <f>EXP(-LN(2)/2)*AW80+(1-EXP(-LN(2)/2))/(LN(2)/2)*AQ81*AT81*VLOOKUP('Données projet'!$B$10,Paramètres!$A$1:$I$89,3,0)*0.475*44/12</f>
        <v>1.9729673311918716E-2</v>
      </c>
      <c r="AX81" s="21">
        <f t="shared" si="60"/>
        <v>129.36962416246729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3.2</v>
      </c>
      <c r="BD81" s="12">
        <f>IF('Données projet'!$A$88&gt;35,BD80+BC81-BL80,IF(A81&lt;'Données projet'!$A$88,$BA$205^A81,IF(A81='Données projet'!$A$88,'Données projet'!$B$88,BD80+BC81-BL80)))</f>
        <v>201.59999999999994</v>
      </c>
      <c r="BE81" s="13">
        <f>BD81*VLOOKUP('Données projet'!$B$11,Paramètres!$A$1:$I$89,3,0)*VLOOKUP('Données projet'!$B$11,Paramètres!$A$1:$I$89,5,0)</f>
        <v>176.11775999999998</v>
      </c>
      <c r="BF81" s="13">
        <f t="shared" si="91"/>
        <v>44.457366290237204</v>
      </c>
      <c r="BG81" s="20">
        <f t="shared" si="61"/>
        <v>384.16834495549637</v>
      </c>
      <c r="BH81" s="59">
        <f t="shared" si="62"/>
        <v>677.50167828882968</v>
      </c>
      <c r="BI81" s="59">
        <f ca="1">AVERAGE(OFFSET($BH$3,0,0,'Données projet'!$E$11+1,1))-AVERAGE(OFFSET($H$3,0,0,'Données projet'!$E$11+1,1))</f>
        <v>186.80594222554424</v>
      </c>
      <c r="BJ81" s="59">
        <f t="shared" si="92"/>
        <v>179.02867751001872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9.4405754925649727</v>
      </c>
      <c r="BQ81" s="21">
        <f>EXP(-LN(2)/25)*BQ80+(1-EXP(-LN(2)/25))/(LN(2)/25)*Calculateur!BL81*Calculateur!BN81*VLOOKUP('Données projet'!$B$11,Paramètres!$A$1:$I$89,3,0)*0.475*44/12</f>
        <v>13.235911846435437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22.67648733900041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6.5339743589743566</v>
      </c>
      <c r="BY81" s="12">
        <f>IF('Données projet'!$A$114&gt;35,BY80+BX81-CG80,IF(A81&lt;'Données projet'!$A$114,$BV$205^A81,IF(A81='Données projet'!$A$114,'Données projet'!$B$114,BY80+BX81-CG80)))</f>
        <v>211.78333333333342</v>
      </c>
      <c r="BZ81" s="13">
        <f>BY81*VLOOKUP('Données projet'!$B$12,Paramètres!$A$1:$I$89,3,0)*VLOOKUP('Données projet'!$B$12,Paramètres!$A$1:$I$89,5,0)</f>
        <v>191.62156000000007</v>
      </c>
      <c r="CA81" s="13">
        <f t="shared" si="93"/>
        <v>47.898279234721343</v>
      </c>
      <c r="CB81" s="20">
        <f t="shared" si="64"/>
        <v>417.16372000047312</v>
      </c>
      <c r="CC81" s="59">
        <f t="shared" si="65"/>
        <v>710.49705333380643</v>
      </c>
      <c r="CD81" s="59">
        <f ca="1">AVERAGE(OFFSET($CC$3,0,0,'Données projet'!$E$12+1,1))-AVERAGE(OFFSET($H$3,0,0,'Données projet'!$E$12+1,1))</f>
        <v>265.17389489035344</v>
      </c>
      <c r="CE81" s="59">
        <f t="shared" si="94"/>
        <v>101.57852403610769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-1.7053025658242404E-13</v>
      </c>
      <c r="CU81" s="17">
        <f>CT81*VLOOKUP('Données projet'!$B$13,Paramètres!$A$1:$I$89,3,0)*VLOOKUP('Données projet'!$B$13,Paramètres!$A$1:$I$89,5,0)</f>
        <v>-1.0197709343628959E-13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182.34243693018033</v>
      </c>
      <c r="CZ81" s="59">
        <f t="shared" si="96"/>
        <v>182.65916563909786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90.823513318438827</v>
      </c>
      <c r="DG81" s="21">
        <f>EXP(-LN(2)/25)*DG80+(1-EXP(-LN(2)/25))/(LN(2)/25)*Calculateur!DB81*Calculateur!DD81*VLOOKUP('Données projet'!$B$13,Paramètres!$A$1:$I$89,3,0)*0.475*44/12</f>
        <v>21.939398473636391</v>
      </c>
      <c r="DH81" s="21">
        <f>EXP(-LN(2)/2)*DH80+(1-EXP(-LN(2)/2))/(LN(2)/2)*DB81*DE81*VLOOKUP('Données projet'!$B$13,Paramètres!$A$1:$I$89,3,0)*0.475*44/12</f>
        <v>6.2427438456988706E-2</v>
      </c>
      <c r="DI81" s="22">
        <f t="shared" si="69"/>
        <v>112.82533923053221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6.5339743589743566</v>
      </c>
      <c r="DO81" s="12">
        <f>IF('Données projet'!$A$166&gt;35,DO80+DN81-DW80,IF(A81&lt;'Données projet'!$A$166,$DL$205^A81,IF(A81='Données projet'!$A$166,'Données projet'!$B$166,DO80+DN81-DW80)))</f>
        <v>211.78333333333342</v>
      </c>
      <c r="DP81" s="17">
        <f>DO81*VLOOKUP('Données projet'!$B$14,Paramètres!$A$1:$I$89,3,0)*VLOOKUP('Données projet'!$B$14,Paramètres!$A$1:$I$89,5,0)</f>
        <v>201.53302000000008</v>
      </c>
      <c r="DQ81" s="13">
        <f t="shared" si="97"/>
        <v>50.080929249326672</v>
      </c>
      <c r="DR81" s="20">
        <f t="shared" si="70"/>
        <v>438.22762827591077</v>
      </c>
      <c r="DS81" s="59">
        <f t="shared" si="71"/>
        <v>731.56096160924403</v>
      </c>
      <c r="DT81" s="59">
        <f ca="1">AVERAGE(OFFSET($DS$3,0,0,'Données projet'!$E$14+1,1))-AVERAGE(OFFSET($H$3,0,0,'Données projet'!$E$14+1,1))</f>
        <v>286.10360882057586</v>
      </c>
      <c r="DU81" s="59">
        <f t="shared" si="98"/>
        <v>109.24531387923128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423.2003871924129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262.42149466677068</v>
      </c>
      <c r="T82" s="59">
        <f t="shared" si="88"/>
        <v>232.7693253699756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-1.0197709343628959E-13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249.37919739649828</v>
      </c>
      <c r="AO82" s="59">
        <f t="shared" si="90"/>
        <v>315.05045383693073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103.26722939370238</v>
      </c>
      <c r="AV82" s="21">
        <f>EXP(-LN(2)/25)*AV81+(1-EXP(-LN(2)/25))/(LN(2)/25)*Calculateur!AQ82*Calculateur!AS82*VLOOKUP('Données projet'!$B$10,Paramètres!$A$1:$I$89,3,0)*0.475*44/12</f>
        <v>23.360403959575581</v>
      </c>
      <c r="AW82" s="21">
        <f>EXP(-LN(2)/2)*AW81+(1-EXP(-LN(2)/2))/(LN(2)/2)*AQ82*AT82*VLOOKUP('Données projet'!$B$10,Paramètres!$A$1:$I$89,3,0)*0.475*44/12</f>
        <v>1.3950985789452974E-2</v>
      </c>
      <c r="AX82" s="21">
        <f t="shared" si="60"/>
        <v>126.64158433906741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3.2</v>
      </c>
      <c r="BD82" s="12">
        <f>IF('Données projet'!$A$88&gt;35,BD81+BC82-BL81,IF(A82&lt;'Données projet'!$A$88,$BA$205^A82,IF(A82='Données projet'!$A$88,'Données projet'!$B$88,BD81+BC82-BL81)))</f>
        <v>204.79999999999993</v>
      </c>
      <c r="BE82" s="13">
        <f>BD82*VLOOKUP('Données projet'!$B$11,Paramètres!$A$1:$I$89,3,0)*VLOOKUP('Données projet'!$B$11,Paramètres!$A$1:$I$89,5,0)</f>
        <v>178.91327999999996</v>
      </c>
      <c r="BF82" s="13">
        <f t="shared" si="91"/>
        <v>45.080325843494805</v>
      </c>
      <c r="BG82" s="20">
        <f t="shared" si="61"/>
        <v>390.12219684408677</v>
      </c>
      <c r="BH82" s="59">
        <f t="shared" si="62"/>
        <v>683.45553017742009</v>
      </c>
      <c r="BI82" s="59">
        <f ca="1">AVERAGE(OFFSET($BH$3,0,0,'Données projet'!$E$11+1,1))-AVERAGE(OFFSET($H$3,0,0,'Données projet'!$E$11+1,1))</f>
        <v>186.80594222554424</v>
      </c>
      <c r="BJ82" s="59">
        <f t="shared" si="92"/>
        <v>179.02867751001872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9.2554515653382516</v>
      </c>
      <c r="BQ82" s="21">
        <f>EXP(-LN(2)/25)*BQ81+(1-EXP(-LN(2)/25))/(LN(2)/25)*Calculateur!BL82*Calculateur!BN82*VLOOKUP('Données projet'!$B$11,Paramètres!$A$1:$I$89,3,0)*0.475*44/12</f>
        <v>12.873975140948307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22.129426706286559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6.5339743589743566</v>
      </c>
      <c r="BY82" s="12">
        <f>IF('Données projet'!$A$114&gt;35,BY81+BX82-CG81,IF(A82&lt;'Données projet'!$A$114,$BV$205^A82,IF(A82='Données projet'!$A$114,'Données projet'!$B$114,BY81+BX82-CG81)))</f>
        <v>218.31730769230776</v>
      </c>
      <c r="BZ82" s="13">
        <f>BY82*VLOOKUP('Données projet'!$B$12,Paramètres!$A$1:$I$89,3,0)*VLOOKUP('Données projet'!$B$12,Paramètres!$A$1:$I$89,5,0)</f>
        <v>197.53350000000006</v>
      </c>
      <c r="CA82" s="13">
        <f t="shared" si="93"/>
        <v>49.201714815770728</v>
      </c>
      <c r="CB82" s="20">
        <f t="shared" si="64"/>
        <v>429.73049913746746</v>
      </c>
      <c r="CC82" s="59">
        <f t="shared" si="65"/>
        <v>723.06383247080078</v>
      </c>
      <c r="CD82" s="59">
        <f ca="1">AVERAGE(OFFSET($CC$3,0,0,'Données projet'!$E$12+1,1))-AVERAGE(OFFSET($H$3,0,0,'Données projet'!$E$12+1,1))</f>
        <v>265.17389489035344</v>
      </c>
      <c r="CE82" s="59">
        <f t="shared" si="94"/>
        <v>101.57852403610769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-1.7053025658242404E-13</v>
      </c>
      <c r="CU82" s="17">
        <f>CT82*VLOOKUP('Données projet'!$B$13,Paramètres!$A$1:$I$89,3,0)*VLOOKUP('Données projet'!$B$13,Paramètres!$A$1:$I$89,5,0)</f>
        <v>-1.0197709343628959E-13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182.34243693018033</v>
      </c>
      <c r="CZ82" s="59">
        <f t="shared" si="96"/>
        <v>182.65916563909786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89.04251961913738</v>
      </c>
      <c r="DG82" s="21">
        <f>EXP(-LN(2)/25)*DG81+(1-EXP(-LN(2)/25))/(LN(2)/25)*Calculateur!DB82*Calculateur!DD82*VLOOKUP('Données projet'!$B$13,Paramètres!$A$1:$I$89,3,0)*0.475*44/12</f>
        <v>21.339464468631981</v>
      </c>
      <c r="DH82" s="21">
        <f>EXP(-LN(2)/2)*DH81+(1-EXP(-LN(2)/2))/(LN(2)/2)*DB82*DE82*VLOOKUP('Données projet'!$B$13,Paramètres!$A$1:$I$89,3,0)*0.475*44/12</f>
        <v>4.4142865065042579E-2</v>
      </c>
      <c r="DI82" s="22">
        <f t="shared" si="69"/>
        <v>110.42612695283439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6.5339743589743566</v>
      </c>
      <c r="DO82" s="12">
        <f>IF('Données projet'!$A$166&gt;35,DO81+DN82-DW81,IF(A82&lt;'Données projet'!$A$166,$DL$205^A82,IF(A82='Données projet'!$A$166,'Données projet'!$B$166,DO81+DN82-DW81)))</f>
        <v>218.31730769230776</v>
      </c>
      <c r="DP82" s="17">
        <f>DO82*VLOOKUP('Données projet'!$B$14,Paramètres!$A$1:$I$89,3,0)*VLOOKUP('Données projet'!$B$14,Paramètres!$A$1:$I$89,5,0)</f>
        <v>207.75075000000007</v>
      </c>
      <c r="DQ82" s="13">
        <f t="shared" si="97"/>
        <v>51.443760360559374</v>
      </c>
      <c r="DR82" s="20">
        <f t="shared" si="70"/>
        <v>451.43043887797427</v>
      </c>
      <c r="DS82" s="59">
        <f t="shared" si="71"/>
        <v>744.76377221130758</v>
      </c>
      <c r="DT82" s="59">
        <f ca="1">AVERAGE(OFFSET($DS$3,0,0,'Données projet'!$E$14+1,1))-AVERAGE(OFFSET($H$3,0,0,'Données projet'!$E$14+1,1))</f>
        <v>286.10360882057586</v>
      </c>
      <c r="DU82" s="59">
        <f t="shared" si="98"/>
        <v>109.24531387923128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424.80132945145942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262.42149466677068</v>
      </c>
      <c r="T83" s="59">
        <f t="shared" si="88"/>
        <v>232.7693253699756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-1.0197709343628959E-13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249.37919739649828</v>
      </c>
      <c r="AO83" s="59">
        <f t="shared" si="90"/>
        <v>315.05045383693073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101.24222201208238</v>
      </c>
      <c r="AV83" s="21">
        <f>EXP(-LN(2)/25)*AV82+(1-EXP(-LN(2)/25))/(LN(2)/25)*Calculateur!AQ83*Calculateur!AS83*VLOOKUP('Données projet'!$B$10,Paramètres!$A$1:$I$89,3,0)*0.475*44/12</f>
        <v>22.721612484830732</v>
      </c>
      <c r="AW83" s="21">
        <f>EXP(-LN(2)/2)*AW82+(1-EXP(-LN(2)/2))/(LN(2)/2)*AQ83*AT83*VLOOKUP('Données projet'!$B$10,Paramètres!$A$1:$I$89,3,0)*0.475*44/12</f>
        <v>9.8648366559593581E-3</v>
      </c>
      <c r="AX83" s="21">
        <f t="shared" si="60"/>
        <v>123.97369933356907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208</v>
      </c>
      <c r="BB83" s="12">
        <f>VLOOKUP(A83,'Données projet'!$A$87:$I$107,9,0)</f>
        <v>3.2</v>
      </c>
      <c r="BC83" s="12">
        <f t="array" ref="BC83">INDEX(BB:BB,MIN(IF(ISNUMBER(BB83:BB279),ROW(BB83:BB279),"")))</f>
        <v>3.2</v>
      </c>
      <c r="BD83" s="12">
        <f>IF('Données projet'!$A$88&gt;35,BD82+BC83-BL82,IF(A83&lt;'Données projet'!$A$88,$BA$205^A83,IF(A83='Données projet'!$A$88,'Données projet'!$B$88,BD82+BC83-BL82)))</f>
        <v>207.99999999999991</v>
      </c>
      <c r="BE83" s="13">
        <f>BD83*VLOOKUP('Données projet'!$B$11,Paramètres!$A$1:$I$89,3,0)*VLOOKUP('Données projet'!$B$11,Paramètres!$A$1:$I$89,5,0)</f>
        <v>181.70879999999994</v>
      </c>
      <c r="BF83" s="13">
        <f t="shared" si="91"/>
        <v>45.702153370067769</v>
      </c>
      <c r="BG83" s="20">
        <f t="shared" si="61"/>
        <v>396.07407711953459</v>
      </c>
      <c r="BH83" s="59">
        <f t="shared" si="62"/>
        <v>689.40741045286791</v>
      </c>
      <c r="BI83" s="59">
        <f ca="1">AVERAGE(OFFSET($BH$3,0,0,'Données projet'!$E$11+1,1))-AVERAGE(OFFSET($H$3,0,0,'Données projet'!$E$11+1,1))</f>
        <v>186.80594222554424</v>
      </c>
      <c r="BJ83" s="59">
        <f t="shared" si="92"/>
        <v>179.02867751001872</v>
      </c>
      <c r="BK83" s="15">
        <f>IF(ISNA(VLOOKUP(A83,'Données projet'!$A$87:$I$107,3,0)),0,VLOOKUP(A83,'Données projet'!$A$87:$I$107,3,0))</f>
        <v>13</v>
      </c>
      <c r="BL83" s="21" t="str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0.17200000000000001</v>
      </c>
      <c r="BN83" s="16">
        <f>IF(ISNA(VLOOKUP(A83,'Données projet'!$A$87:$I$107,6,0)),0%,VLOOKUP(A83,'Données projet'!$A$87:$I$107,6,0)*VLOOKUP('Données projet'!$B$11,Paramètres!$A$1:$I$89,7,0))</f>
        <v>0.17200000000000001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10.901135848785492</v>
      </c>
      <c r="BQ83" s="21">
        <f>EXP(-LN(2)/25)*BQ82+(1-EXP(-LN(2)/25))/(LN(2)/25)*Calculateur!BL83*Calculateur!BN83*VLOOKUP('Données projet'!$B$11,Paramètres!$A$1:$I$89,3,0)*0.475*44/12</f>
        <v>14.341919360915453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25.243055209700945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6.5339743589743566</v>
      </c>
      <c r="BY83" s="12">
        <f>IF('Données projet'!$A$114&gt;35,BY82+BX83-CG82,IF(A83&lt;'Données projet'!$A$114,$BV$205^A83,IF(A83='Données projet'!$A$114,'Données projet'!$B$114,BY82+BX83-CG82)))</f>
        <v>224.85128205128211</v>
      </c>
      <c r="BZ83" s="13">
        <f>BY83*VLOOKUP('Données projet'!$B$12,Paramètres!$A$1:$I$89,3,0)*VLOOKUP('Données projet'!$B$12,Paramètres!$A$1:$I$89,5,0)</f>
        <v>203.44544000000002</v>
      </c>
      <c r="CA83" s="13">
        <f t="shared" si="93"/>
        <v>50.50061678781659</v>
      </c>
      <c r="CB83" s="20">
        <f t="shared" si="64"/>
        <v>442.28938223878066</v>
      </c>
      <c r="CC83" s="59">
        <f t="shared" si="65"/>
        <v>735.62271557211398</v>
      </c>
      <c r="CD83" s="59">
        <f ca="1">AVERAGE(OFFSET($CC$3,0,0,'Données projet'!$E$12+1,1))-AVERAGE(OFFSET($H$3,0,0,'Données projet'!$E$12+1,1))</f>
        <v>265.17389489035344</v>
      </c>
      <c r="CE83" s="59">
        <f t="shared" si="94"/>
        <v>101.57852403610769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-1.7053025658242404E-13</v>
      </c>
      <c r="CU83" s="17">
        <f>CT83*VLOOKUP('Données projet'!$B$13,Paramètres!$A$1:$I$89,3,0)*VLOOKUP('Données projet'!$B$13,Paramètres!$A$1:$I$89,5,0)</f>
        <v>-1.0197709343628959E-13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182.34243693018033</v>
      </c>
      <c r="CZ83" s="59">
        <f t="shared" si="96"/>
        <v>182.65916563909786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87.296450119980335</v>
      </c>
      <c r="DG83" s="21">
        <f>EXP(-LN(2)/25)*DG82+(1-EXP(-LN(2)/25))/(LN(2)/25)*Calculateur!DB83*Calculateur!DD83*VLOOKUP('Données projet'!$B$13,Paramètres!$A$1:$I$89,3,0)*0.475*44/12</f>
        <v>20.755935690543573</v>
      </c>
      <c r="DH83" s="21">
        <f>EXP(-LN(2)/2)*DH82+(1-EXP(-LN(2)/2))/(LN(2)/2)*DB83*DE83*VLOOKUP('Données projet'!$B$13,Paramètres!$A$1:$I$89,3,0)*0.475*44/12</f>
        <v>3.1213719228494356E-2</v>
      </c>
      <c r="DI83" s="22">
        <f t="shared" si="69"/>
        <v>108.08359952975239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6.5339743589743566</v>
      </c>
      <c r="DO83" s="12">
        <f>IF('Données projet'!$A$166&gt;35,DO82+DN83-DW82,IF(A83&lt;'Données projet'!$A$166,$DL$205^A83,IF(A83='Données projet'!$A$166,'Données projet'!$B$166,DO82+DN83-DW82)))</f>
        <v>224.85128205128211</v>
      </c>
      <c r="DP83" s="17">
        <f>DO83*VLOOKUP('Données projet'!$B$14,Paramètres!$A$1:$I$89,3,0)*VLOOKUP('Données projet'!$B$14,Paramètres!$A$1:$I$89,5,0)</f>
        <v>213.96848000000006</v>
      </c>
      <c r="DQ83" s="13">
        <f t="shared" si="97"/>
        <v>52.80185127328437</v>
      </c>
      <c r="DR83" s="20">
        <f t="shared" si="70"/>
        <v>464.62499363430373</v>
      </c>
      <c r="DS83" s="59">
        <f t="shared" si="71"/>
        <v>757.95832696763705</v>
      </c>
      <c r="DT83" s="59">
        <f ca="1">AVERAGE(OFFSET($DS$3,0,0,'Données projet'!$E$14+1,1))-AVERAGE(OFFSET($H$3,0,0,'Données projet'!$E$14+1,1))</f>
        <v>286.10360882057586</v>
      </c>
      <c r="DU83" s="59">
        <f t="shared" si="98"/>
        <v>109.24531387923128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426.40180068973939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262.42149466677068</v>
      </c>
      <c r="T84" s="59">
        <f t="shared" si="88"/>
        <v>232.7693253699756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-1.0197709343628959E-13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249.37919739649828</v>
      </c>
      <c r="AO84" s="59">
        <f t="shared" si="90"/>
        <v>315.05045383693073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99.256923790083405</v>
      </c>
      <c r="AV84" s="21">
        <f>EXP(-LN(2)/25)*AV83+(1-EXP(-LN(2)/25))/(LN(2)/25)*Calculateur!AQ84*Calculateur!AS84*VLOOKUP('Données projet'!$B$10,Paramètres!$A$1:$I$89,3,0)*0.475*44/12</f>
        <v>22.100288796555365</v>
      </c>
      <c r="AW84" s="21">
        <f>EXP(-LN(2)/2)*AW83+(1-EXP(-LN(2)/2))/(LN(2)/2)*AQ84*AT84*VLOOKUP('Données projet'!$B$10,Paramètres!$A$1:$I$89,3,0)*0.475*44/12</f>
        <v>6.9754928947264871E-3</v>
      </c>
      <c r="AX84" s="21">
        <f t="shared" si="60"/>
        <v>121.36418807953349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2.8</v>
      </c>
      <c r="BD84" s="12">
        <f>IF('Données projet'!$A$88&gt;35,BD83+BC84-BL83,IF(A84&lt;'Données projet'!$A$88,$BA$205^A84,IF(A84='Données projet'!$A$88,'Données projet'!$B$88,BD83+BC84-BL83)))</f>
        <v>199.79999999999993</v>
      </c>
      <c r="BE84" s="13">
        <f>BD84*VLOOKUP('Données projet'!$B$11,Paramètres!$A$1:$I$89,3,0)*VLOOKUP('Données projet'!$B$11,Paramètres!$A$1:$I$89,5,0)</f>
        <v>174.54527999999993</v>
      </c>
      <c r="BF84" s="13">
        <f t="shared" si="91"/>
        <v>44.106446559111959</v>
      </c>
      <c r="BG84" s="20">
        <f t="shared" si="61"/>
        <v>380.81842375711989</v>
      </c>
      <c r="BH84" s="59">
        <f t="shared" si="62"/>
        <v>674.1517570904532</v>
      </c>
      <c r="BI84" s="59">
        <f ca="1">AVERAGE(OFFSET($BH$3,0,0,'Données projet'!$E$11+1,1))-AVERAGE(OFFSET($H$3,0,0,'Données projet'!$E$11+1,1))</f>
        <v>186.80594222554424</v>
      </c>
      <c r="BJ84" s="59">
        <f t="shared" si="92"/>
        <v>179.02867751001872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10.687371223827139</v>
      </c>
      <c r="BQ84" s="21">
        <f>EXP(-LN(2)/25)*BQ83+(1-EXP(-LN(2)/25))/(LN(2)/25)*Calculateur!BL84*Calculateur!BN84*VLOOKUP('Données projet'!$B$11,Paramètres!$A$1:$I$89,3,0)*0.475*44/12</f>
        <v>13.949738821782459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24.637110045609596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6.5339743589743566</v>
      </c>
      <c r="BY84" s="12">
        <f>IF('Données projet'!$A$114&gt;35,BY83+BX84-CG83,IF(A84&lt;'Données projet'!$A$114,$BV$205^A84,IF(A84='Données projet'!$A$114,'Données projet'!$B$114,BY83+BX84-CG83)))</f>
        <v>231.38525641025646</v>
      </c>
      <c r="BZ84" s="13">
        <f>BY84*VLOOKUP('Données projet'!$B$12,Paramètres!$A$1:$I$89,3,0)*VLOOKUP('Données projet'!$B$12,Paramètres!$A$1:$I$89,5,0)</f>
        <v>209.35738000000003</v>
      </c>
      <c r="CA84" s="13">
        <f t="shared" si="93"/>
        <v>51.79513202169526</v>
      </c>
      <c r="CB84" s="20">
        <f t="shared" si="64"/>
        <v>454.84062510445273</v>
      </c>
      <c r="CC84" s="59">
        <f t="shared" si="65"/>
        <v>748.17395843778604</v>
      </c>
      <c r="CD84" s="59">
        <f ca="1">AVERAGE(OFFSET($CC$3,0,0,'Données projet'!$E$12+1,1))-AVERAGE(OFFSET($H$3,0,0,'Données projet'!$E$12+1,1))</f>
        <v>265.17389489035344</v>
      </c>
      <c r="CE84" s="59">
        <f t="shared" si="94"/>
        <v>101.57852403610769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-1.7053025658242404E-13</v>
      </c>
      <c r="CU84" s="17">
        <f>CT84*VLOOKUP('Données projet'!$B$13,Paramètres!$A$1:$I$89,3,0)*VLOOKUP('Données projet'!$B$13,Paramètres!$A$1:$I$89,5,0)</f>
        <v>-1.0197709343628959E-13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182.34243693018033</v>
      </c>
      <c r="CZ84" s="59">
        <f t="shared" si="96"/>
        <v>182.65916563909786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85.584619978704524</v>
      </c>
      <c r="DG84" s="21">
        <f>EXP(-LN(2)/25)*DG83+(1-EXP(-LN(2)/25))/(LN(2)/25)*Calculateur!DB84*Calculateur!DD84*VLOOKUP('Données projet'!$B$13,Paramètres!$A$1:$I$89,3,0)*0.475*44/12</f>
        <v>20.188363537578439</v>
      </c>
      <c r="DH84" s="21">
        <f>EXP(-LN(2)/2)*DH83+(1-EXP(-LN(2)/2))/(LN(2)/2)*DB84*DE84*VLOOKUP('Données projet'!$B$13,Paramètres!$A$1:$I$89,3,0)*0.475*44/12</f>
        <v>2.2071432532521293E-2</v>
      </c>
      <c r="DI84" s="22">
        <f t="shared" si="69"/>
        <v>105.79505494881549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6.5339743589743566</v>
      </c>
      <c r="DO84" s="12">
        <f>IF('Données projet'!$A$166&gt;35,DO83+DN84-DW83,IF(A84&lt;'Données projet'!$A$166,$DL$205^A84,IF(A84='Données projet'!$A$166,'Données projet'!$B$166,DO83+DN84-DW83)))</f>
        <v>231.38525641025646</v>
      </c>
      <c r="DP84" s="17">
        <f>DO84*VLOOKUP('Données projet'!$B$14,Paramètres!$A$1:$I$89,3,0)*VLOOKUP('Données projet'!$B$14,Paramètres!$A$1:$I$89,5,0)</f>
        <v>220.18621000000005</v>
      </c>
      <c r="DQ84" s="13">
        <f t="shared" si="97"/>
        <v>54.155355551013372</v>
      </c>
      <c r="DR84" s="20">
        <f t="shared" si="70"/>
        <v>477.81156000134843</v>
      </c>
      <c r="DS84" s="59">
        <f t="shared" si="71"/>
        <v>771.14489333468168</v>
      </c>
      <c r="DT84" s="59">
        <f ca="1">AVERAGE(OFFSET($DS$3,0,0,'Données projet'!$E$14+1,1))-AVERAGE(OFFSET($H$3,0,0,'Données projet'!$E$14+1,1))</f>
        <v>286.10360882057586</v>
      </c>
      <c r="DU84" s="59">
        <f t="shared" si="98"/>
        <v>109.24531387923128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428.001807394867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262.42149466677068</v>
      </c>
      <c r="T85" s="59">
        <f t="shared" si="88"/>
        <v>232.7693253699756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-1.0197709343628959E-13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249.37919739649828</v>
      </c>
      <c r="AO85" s="59">
        <f t="shared" si="90"/>
        <v>315.05045383693073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97.310556055305483</v>
      </c>
      <c r="AV85" s="21">
        <f>EXP(-LN(2)/25)*AV84+(1-EXP(-LN(2)/25))/(LN(2)/25)*Calculateur!AQ85*Calculateur!AS85*VLOOKUP('Données projet'!$B$10,Paramètres!$A$1:$I$89,3,0)*0.475*44/12</f>
        <v>21.495955237209881</v>
      </c>
      <c r="AW85" s="21">
        <f>EXP(-LN(2)/2)*AW84+(1-EXP(-LN(2)/2))/(LN(2)/2)*AQ85*AT85*VLOOKUP('Données projet'!$B$10,Paramètres!$A$1:$I$89,3,0)*0.475*44/12</f>
        <v>4.9324183279796791E-3</v>
      </c>
      <c r="AX85" s="21">
        <f t="shared" si="60"/>
        <v>118.81144371084335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2.8</v>
      </c>
      <c r="BD85" s="12">
        <f>IF('Données projet'!$A$88&gt;35,BD84+BC85-BL84,IF(A85&lt;'Données projet'!$A$88,$BA$205^A85,IF(A85='Données projet'!$A$88,'Données projet'!$B$88,BD84+BC85-BL84)))</f>
        <v>202.59999999999994</v>
      </c>
      <c r="BE85" s="13">
        <f>BD85*VLOOKUP('Données projet'!$B$11,Paramètres!$A$1:$I$89,3,0)*VLOOKUP('Données projet'!$B$11,Paramètres!$A$1:$I$89,5,0)</f>
        <v>176.99135999999996</v>
      </c>
      <c r="BF85" s="13">
        <f t="shared" si="91"/>
        <v>44.65216395512175</v>
      </c>
      <c r="BG85" s="20">
        <f t="shared" si="61"/>
        <v>386.02913755517028</v>
      </c>
      <c r="BH85" s="59">
        <f t="shared" si="62"/>
        <v>679.36247088850359</v>
      </c>
      <c r="BI85" s="59">
        <f ca="1">AVERAGE(OFFSET($BH$3,0,0,'Données projet'!$E$11+1,1))-AVERAGE(OFFSET($H$3,0,0,'Données projet'!$E$11+1,1))</f>
        <v>186.80594222554424</v>
      </c>
      <c r="BJ85" s="59">
        <f t="shared" si="92"/>
        <v>179.02867751001872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10.477798392780672</v>
      </c>
      <c r="BQ85" s="21">
        <f>EXP(-LN(2)/25)*BQ84+(1-EXP(-LN(2)/25))/(LN(2)/25)*Calculateur!BL85*Calculateur!BN85*VLOOKUP('Données projet'!$B$11,Paramètres!$A$1:$I$89,3,0)*0.475*44/12</f>
        <v>13.568282480115936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24.04608087289661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6.5339743589743566</v>
      </c>
      <c r="BY85" s="12">
        <f>IF('Données projet'!$A$114&gt;35,BY84+BX85-CG84,IF(A85&lt;'Données projet'!$A$114,$BV$205^A85,IF(A85='Données projet'!$A$114,'Données projet'!$B$114,BY84+BX85-CG84)))</f>
        <v>237.91923076923081</v>
      </c>
      <c r="BZ85" s="13">
        <f>BY85*VLOOKUP('Données projet'!$B$12,Paramètres!$A$1:$I$89,3,0)*VLOOKUP('Données projet'!$B$12,Paramètres!$A$1:$I$89,5,0)</f>
        <v>215.26932000000002</v>
      </c>
      <c r="CA85" s="13">
        <f t="shared" si="93"/>
        <v>53.085398621543455</v>
      </c>
      <c r="CB85" s="20">
        <f t="shared" si="64"/>
        <v>467.38446826585488</v>
      </c>
      <c r="CC85" s="59">
        <f t="shared" si="65"/>
        <v>760.71780159918819</v>
      </c>
      <c r="CD85" s="59">
        <f ca="1">AVERAGE(OFFSET($CC$3,0,0,'Données projet'!$E$12+1,1))-AVERAGE(OFFSET($H$3,0,0,'Données projet'!$E$12+1,1))</f>
        <v>265.17389489035344</v>
      </c>
      <c r="CE85" s="59">
        <f t="shared" si="94"/>
        <v>101.57852403610769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-1.7053025658242404E-13</v>
      </c>
      <c r="CU85" s="17">
        <f>CT85*VLOOKUP('Données projet'!$B$13,Paramètres!$A$1:$I$89,3,0)*VLOOKUP('Données projet'!$B$13,Paramètres!$A$1:$I$89,5,0)</f>
        <v>-1.0197709343628959E-13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182.34243693018033</v>
      </c>
      <c r="CZ85" s="59">
        <f t="shared" si="96"/>
        <v>182.65916563909786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83.906357782385854</v>
      </c>
      <c r="DG85" s="21">
        <f>EXP(-LN(2)/25)*DG84+(1-EXP(-LN(2)/25))/(LN(2)/25)*Calculateur!DB85*Calculateur!DD85*VLOOKUP('Données projet'!$B$13,Paramètres!$A$1:$I$89,3,0)*0.475*44/12</f>
        <v>19.63631167498346</v>
      </c>
      <c r="DH85" s="21">
        <f>EXP(-LN(2)/2)*DH84+(1-EXP(-LN(2)/2))/(LN(2)/2)*DB85*DE85*VLOOKUP('Données projet'!$B$13,Paramètres!$A$1:$I$89,3,0)*0.475*44/12</f>
        <v>1.5606859614247182E-2</v>
      </c>
      <c r="DI85" s="22">
        <f t="shared" si="69"/>
        <v>103.55827631698357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6.5339743589743566</v>
      </c>
      <c r="DO85" s="12">
        <f>IF('Données projet'!$A$166&gt;35,DO84+DN85-DW84,IF(A85&lt;'Données projet'!$A$166,$DL$205^A85,IF(A85='Données projet'!$A$166,'Données projet'!$B$166,DO84+DN85-DW84)))</f>
        <v>237.91923076923081</v>
      </c>
      <c r="DP85" s="17">
        <f>DO85*VLOOKUP('Données projet'!$B$14,Paramètres!$A$1:$I$89,3,0)*VLOOKUP('Données projet'!$B$14,Paramètres!$A$1:$I$89,5,0)</f>
        <v>226.40394000000003</v>
      </c>
      <c r="DQ85" s="13">
        <f t="shared" si="97"/>
        <v>55.504417591073626</v>
      </c>
      <c r="DR85" s="20">
        <f t="shared" si="70"/>
        <v>490.9903894711199</v>
      </c>
      <c r="DS85" s="59">
        <f t="shared" si="71"/>
        <v>784.32372280445315</v>
      </c>
      <c r="DT85" s="59">
        <f ca="1">AVERAGE(OFFSET($DS$3,0,0,'Données projet'!$E$14+1,1))-AVERAGE(OFFSET($H$3,0,0,'Données projet'!$E$14+1,1))</f>
        <v>286.10360882057586</v>
      </c>
      <c r="DU85" s="59">
        <f t="shared" si="98"/>
        <v>109.24531387923128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429.60135588711978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262.42149466677068</v>
      </c>
      <c r="T86" s="59">
        <f t="shared" si="88"/>
        <v>232.7693253699756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-1.0197709343628959E-13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249.37919739649828</v>
      </c>
      <c r="AO86" s="59">
        <f t="shared" si="90"/>
        <v>315.05045383693073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95.402355404639451</v>
      </c>
      <c r="AV86" s="21">
        <f>EXP(-LN(2)/25)*AV85+(1-EXP(-LN(2)/25))/(LN(2)/25)*Calculateur!AQ86*Calculateur!AS86*VLOOKUP('Données projet'!$B$10,Paramètres!$A$1:$I$89,3,0)*0.475*44/12</f>
        <v>20.90814721082522</v>
      </c>
      <c r="AW86" s="21">
        <f>EXP(-LN(2)/2)*AW85+(1-EXP(-LN(2)/2))/(LN(2)/2)*AQ86*AT86*VLOOKUP('Données projet'!$B$10,Paramètres!$A$1:$I$89,3,0)*0.475*44/12</f>
        <v>3.4877464473632436E-3</v>
      </c>
      <c r="AX86" s="21">
        <f t="shared" si="60"/>
        <v>116.31399036191203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2.8</v>
      </c>
      <c r="BD86" s="12">
        <f>IF('Données projet'!$A$88&gt;35,BD85+BC86-BL85,IF(A86&lt;'Données projet'!$A$88,$BA$205^A86,IF(A86='Données projet'!$A$88,'Données projet'!$B$88,BD85+BC86-BL85)))</f>
        <v>205.39999999999995</v>
      </c>
      <c r="BE86" s="13">
        <f>BD86*VLOOKUP('Données projet'!$B$11,Paramètres!$A$1:$I$89,3,0)*VLOOKUP('Données projet'!$B$11,Paramètres!$A$1:$I$89,5,0)</f>
        <v>179.43743999999998</v>
      </c>
      <c r="BF86" s="13">
        <f t="shared" si="91"/>
        <v>45.197004138831623</v>
      </c>
      <c r="BG86" s="20">
        <f t="shared" si="61"/>
        <v>391.23832354179837</v>
      </c>
      <c r="BH86" s="59">
        <f t="shared" si="62"/>
        <v>684.57165687513168</v>
      </c>
      <c r="BI86" s="59">
        <f ca="1">AVERAGE(OFFSET($BH$3,0,0,'Données projet'!$E$11+1,1))-AVERAGE(OFFSET($H$3,0,0,'Données projet'!$E$11+1,1))</f>
        <v>186.80594222554424</v>
      </c>
      <c r="BJ86" s="59">
        <f t="shared" si="92"/>
        <v>179.02867751001872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10.272335157124221</v>
      </c>
      <c r="BQ86" s="21">
        <f>EXP(-LN(2)/25)*BQ85+(1-EXP(-LN(2)/25))/(LN(2)/25)*Calculateur!BL86*Calculateur!BN86*VLOOKUP('Données projet'!$B$11,Paramètres!$A$1:$I$89,3,0)*0.475*44/12</f>
        <v>13.197257082172202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23.469592239296425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6.5339743589743566</v>
      </c>
      <c r="BY86" s="12">
        <f>IF('Données projet'!$A$114&gt;35,BY85+BX86-CG85,IF(A86&lt;'Données projet'!$A$114,$BV$205^A86,IF(A86='Données projet'!$A$114,'Données projet'!$B$114,BY85+BX86-CG85)))</f>
        <v>244.45320512820516</v>
      </c>
      <c r="BZ86" s="13">
        <f>BY86*VLOOKUP('Données projet'!$B$12,Paramètres!$A$1:$I$89,3,0)*VLOOKUP('Données projet'!$B$12,Paramètres!$A$1:$I$89,5,0)</f>
        <v>221.18126000000004</v>
      </c>
      <c r="CA86" s="13">
        <f t="shared" si="93"/>
        <v>54.371546674285838</v>
      </c>
      <c r="CB86" s="20">
        <f t="shared" si="64"/>
        <v>479.92113829104784</v>
      </c>
      <c r="CC86" s="59">
        <f t="shared" si="65"/>
        <v>773.25447162438115</v>
      </c>
      <c r="CD86" s="59">
        <f ca="1">AVERAGE(OFFSET($CC$3,0,0,'Données projet'!$E$12+1,1))-AVERAGE(OFFSET($H$3,0,0,'Données projet'!$E$12+1,1))</f>
        <v>265.17389489035344</v>
      </c>
      <c r="CE86" s="59">
        <f t="shared" si="94"/>
        <v>101.57852403610769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-1.7053025658242404E-13</v>
      </c>
      <c r="CU86" s="17">
        <f>CT86*VLOOKUP('Données projet'!$B$13,Paramètres!$A$1:$I$89,3,0)*VLOOKUP('Données projet'!$B$13,Paramètres!$A$1:$I$89,5,0)</f>
        <v>-1.0197709343628959E-13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182.34243693018033</v>
      </c>
      <c r="CZ86" s="59">
        <f t="shared" si="96"/>
        <v>182.65916563909786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82.261005284098118</v>
      </c>
      <c r="DG86" s="21">
        <f>EXP(-LN(2)/25)*DG85+(1-EXP(-LN(2)/25))/(LN(2)/25)*Calculateur!DB86*Calculateur!DD86*VLOOKUP('Données projet'!$B$13,Paramètres!$A$1:$I$89,3,0)*0.475*44/12</f>
        <v>19.099355699602285</v>
      </c>
      <c r="DH86" s="21">
        <f>EXP(-LN(2)/2)*DH85+(1-EXP(-LN(2)/2))/(LN(2)/2)*DB86*DE86*VLOOKUP('Données projet'!$B$13,Paramètres!$A$1:$I$89,3,0)*0.475*44/12</f>
        <v>1.1035716266260648E-2</v>
      </c>
      <c r="DI86" s="22">
        <f t="shared" si="69"/>
        <v>101.37139669996667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6.5339743589743566</v>
      </c>
      <c r="DO86" s="12">
        <f>IF('Données projet'!$A$166&gt;35,DO85+DN86-DW85,IF(A86&lt;'Données projet'!$A$166,$DL$205^A86,IF(A86='Données projet'!$A$166,'Données projet'!$B$166,DO85+DN86-DW85)))</f>
        <v>244.45320512820516</v>
      </c>
      <c r="DP86" s="17">
        <f>DO86*VLOOKUP('Données projet'!$B$14,Paramètres!$A$1:$I$89,3,0)*VLOOKUP('Données projet'!$B$14,Paramètres!$A$1:$I$89,5,0)</f>
        <v>232.62167000000002</v>
      </c>
      <c r="DQ86" s="13">
        <f t="shared" si="97"/>
        <v>56.849173408248298</v>
      </c>
      <c r="DR86" s="20">
        <f t="shared" si="70"/>
        <v>504.16171893603246</v>
      </c>
      <c r="DS86" s="59">
        <f t="shared" si="71"/>
        <v>797.49505226936571</v>
      </c>
      <c r="DT86" s="59">
        <f ca="1">AVERAGE(OFFSET($DS$3,0,0,'Données projet'!$E$14+1,1))-AVERAGE(OFFSET($H$3,0,0,'Données projet'!$E$14+1,1))</f>
        <v>286.10360882057586</v>
      </c>
      <c r="DU86" s="59">
        <f t="shared" si="98"/>
        <v>109.24531387923128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431.20045232571681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262.42149466677068</v>
      </c>
      <c r="T87" s="59">
        <f t="shared" si="88"/>
        <v>232.7693253699756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-1.0197709343628959E-13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249.37919739649828</v>
      </c>
      <c r="AO87" s="59">
        <f t="shared" si="90"/>
        <v>315.05045383693073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93.531573404845517</v>
      </c>
      <c r="AV87" s="21">
        <f>EXP(-LN(2)/25)*AV86+(1-EXP(-LN(2)/25))/(LN(2)/25)*Calculateur!AQ87*Calculateur!AS87*VLOOKUP('Données projet'!$B$10,Paramètres!$A$1:$I$89,3,0)*0.475*44/12</f>
        <v>20.336412825833527</v>
      </c>
      <c r="AW87" s="21">
        <f>EXP(-LN(2)/2)*AW86+(1-EXP(-LN(2)/2))/(LN(2)/2)*AQ87*AT87*VLOOKUP('Données projet'!$B$10,Paramètres!$A$1:$I$89,3,0)*0.475*44/12</f>
        <v>2.4662091639898395E-3</v>
      </c>
      <c r="AX87" s="21">
        <f t="shared" si="60"/>
        <v>113.87045243984302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2.8</v>
      </c>
      <c r="BD87" s="12">
        <f>IF('Données projet'!$A$88&gt;35,BD86+BC87-BL86,IF(A87&lt;'Données projet'!$A$88,$BA$205^A87,IF(A87='Données projet'!$A$88,'Données projet'!$B$88,BD86+BC87-BL86)))</f>
        <v>208.19999999999996</v>
      </c>
      <c r="BE87" s="13">
        <f>BD87*VLOOKUP('Données projet'!$B$11,Paramètres!$A$1:$I$89,3,0)*VLOOKUP('Données projet'!$B$11,Paramètres!$A$1:$I$89,5,0)</f>
        <v>181.88351999999998</v>
      </c>
      <c r="BF87" s="13">
        <f t="shared" si="91"/>
        <v>45.740980450513447</v>
      </c>
      <c r="BG87" s="20">
        <f t="shared" si="61"/>
        <v>396.4460049513109</v>
      </c>
      <c r="BH87" s="59">
        <f t="shared" si="62"/>
        <v>689.77933828464415</v>
      </c>
      <c r="BI87" s="59">
        <f ca="1">AVERAGE(OFFSET($BH$3,0,0,'Données projet'!$E$11+1,1))-AVERAGE(OFFSET($H$3,0,0,'Données projet'!$E$11+1,1))</f>
        <v>186.80594222554424</v>
      </c>
      <c r="BJ87" s="59">
        <f t="shared" si="92"/>
        <v>179.02867751001872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10.070900930198794</v>
      </c>
      <c r="BQ87" s="21">
        <f>EXP(-LN(2)/25)*BQ86+(1-EXP(-LN(2)/25))/(LN(2)/25)*Calculateur!BL87*Calculateur!BN87*VLOOKUP('Données projet'!$B$11,Paramètres!$A$1:$I$89,3,0)*0.475*44/12</f>
        <v>12.836377393246616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22.907278323445411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250.98717948717945</v>
      </c>
      <c r="BW87" s="12">
        <f>VLOOKUP(A87,'Données projet'!$A$113:$I$133,9,0)</f>
        <v>6.5339743589743566</v>
      </c>
      <c r="BX87" s="12">
        <f t="array" ref="BX87">INDEX(BW:BW,MIN(IF(ISNUMBER(BW87:BW283),ROW(BW87:BW283),"")))</f>
        <v>6.5339743589743566</v>
      </c>
      <c r="BY87" s="12">
        <f>IF('Données projet'!$A$114&gt;35,BY86+BX87-CG86,IF(A87&lt;'Données projet'!$A$114,$BV$205^A87,IF(A87='Données projet'!$A$114,'Données projet'!$B$114,BY86+BX87-CG86)))</f>
        <v>250.9871794871795</v>
      </c>
      <c r="BZ87" s="13">
        <f>BY87*VLOOKUP('Données projet'!$B$12,Paramètres!$A$1:$I$89,3,0)*VLOOKUP('Données projet'!$B$12,Paramètres!$A$1:$I$89,5,0)</f>
        <v>227.09320000000002</v>
      </c>
      <c r="CA87" s="13">
        <f t="shared" si="93"/>
        <v>55.653698916736445</v>
      </c>
      <c r="CB87" s="20">
        <f t="shared" si="64"/>
        <v>492.45084894664933</v>
      </c>
      <c r="CC87" s="59">
        <f t="shared" si="65"/>
        <v>785.78418227998259</v>
      </c>
      <c r="CD87" s="59">
        <f ca="1">AVERAGE(OFFSET($CC$3,0,0,'Données projet'!$E$12+1,1))-AVERAGE(OFFSET($H$3,0,0,'Données projet'!$E$12+1,1))</f>
        <v>265.17389489035344</v>
      </c>
      <c r="CE87" s="59">
        <f t="shared" si="94"/>
        <v>101.57852403610769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47.256410256410255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14.227445350275339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14.227445350275339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-1.7053025658242404E-13</v>
      </c>
      <c r="CU87" s="17">
        <f>CT87*VLOOKUP('Données projet'!$B$13,Paramètres!$A$1:$I$89,3,0)*VLOOKUP('Données projet'!$B$13,Paramètres!$A$1:$I$89,5,0)</f>
        <v>-1.0197709343628959E-13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182.34243693018033</v>
      </c>
      <c r="CZ87" s="59">
        <f t="shared" si="96"/>
        <v>182.65916563909786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80.647917144735885</v>
      </c>
      <c r="DG87" s="21">
        <f>EXP(-LN(2)/25)*DG86+(1-EXP(-LN(2)/25))/(LN(2)/25)*Calculateur!DB87*Calculateur!DD87*VLOOKUP('Données projet'!$B$13,Paramètres!$A$1:$I$89,3,0)*0.475*44/12</f>
        <v>18.577082813605195</v>
      </c>
      <c r="DH87" s="21">
        <f>EXP(-LN(2)/2)*DH86+(1-EXP(-LN(2)/2))/(LN(2)/2)*DB87*DE87*VLOOKUP('Données projet'!$B$13,Paramètres!$A$1:$I$89,3,0)*0.475*44/12</f>
        <v>7.8034298071235917E-3</v>
      </c>
      <c r="DI87" s="22">
        <f t="shared" si="69"/>
        <v>99.232803388148199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250.98717948717945</v>
      </c>
      <c r="DM87" s="12">
        <f>VLOOKUP(A87,'Données projet'!$A$165:$I$185,9,0)</f>
        <v>6.5339743589743566</v>
      </c>
      <c r="DN87" s="12">
        <f t="array" ref="DN87">INDEX(DM:DM,MIN(IF(ISNUMBER(DM87:DM283),ROW(DM87:DM283),"")))</f>
        <v>6.5339743589743566</v>
      </c>
      <c r="DO87" s="12">
        <f>IF('Données projet'!$A$166&gt;35,DO86+DN87-DW86,IF(A87&lt;'Données projet'!$A$166,$DL$205^A87,IF(A87='Données projet'!$A$166,'Données projet'!$B$166,DO86+DN87-DW86)))</f>
        <v>250.9871794871795</v>
      </c>
      <c r="DP87" s="17">
        <f>DO87*VLOOKUP('Données projet'!$B$14,Paramètres!$A$1:$I$89,3,0)*VLOOKUP('Données projet'!$B$14,Paramètres!$A$1:$I$89,5,0)</f>
        <v>238.83940000000001</v>
      </c>
      <c r="DQ87" s="13">
        <f t="shared" si="97"/>
        <v>58.189751332277091</v>
      </c>
      <c r="DR87" s="20">
        <f t="shared" si="70"/>
        <v>517.32577190371592</v>
      </c>
      <c r="DS87" s="59">
        <f t="shared" si="71"/>
        <v>810.65910523704929</v>
      </c>
      <c r="DT87" s="59">
        <f ca="1">AVERAGE(OFFSET($DS$3,0,0,'Données projet'!$E$14+1,1))-AVERAGE(OFFSET($H$3,0,0,'Données projet'!$E$14+1,1))</f>
        <v>286.10360882057586</v>
      </c>
      <c r="DU87" s="59">
        <f t="shared" si="98"/>
        <v>109.24531387923128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47.256410256410255</v>
      </c>
      <c r="DX87" s="16">
        <f>IF(ISNA(VLOOKUP(A87,'Données projet'!$A$165:$I$185,5,0)),0%,VLOOKUP(A87,'Données projet'!$A$165:$I$185,5,0)*VLOOKUP('Données projet'!$B$14,Paramètres!$A$1:$I$89,7,0))</f>
        <v>0.30099999999999999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14.963347695979232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14.963347695979232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432.79910271479082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262.42149466677068</v>
      </c>
      <c r="T88" s="59">
        <f t="shared" si="88"/>
        <v>232.7693253699756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-1.0197709343628959E-13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249.37919739649828</v>
      </c>
      <c r="AO88" s="59">
        <f t="shared" si="90"/>
        <v>315.05045383693073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91.697476299003185</v>
      </c>
      <c r="AV88" s="21">
        <f>EXP(-LN(2)/25)*AV87+(1-EXP(-LN(2)/25))/(LN(2)/25)*Calculateur!AQ88*Calculateur!AS88*VLOOKUP('Données projet'!$B$10,Paramètres!$A$1:$I$89,3,0)*0.475*44/12</f>
        <v>19.780312547665638</v>
      </c>
      <c r="AW88" s="21">
        <f>EXP(-LN(2)/2)*AW87+(1-EXP(-LN(2)/2))/(LN(2)/2)*AQ88*AT88*VLOOKUP('Données projet'!$B$10,Paramètres!$A$1:$I$89,3,0)*0.475*44/12</f>
        <v>1.7438732236816218E-3</v>
      </c>
      <c r="AX88" s="21">
        <f t="shared" si="60"/>
        <v>111.47953271989252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211</v>
      </c>
      <c r="BB88" s="12">
        <f>VLOOKUP(A88,'Données projet'!$A$87:$I$107,9,0)</f>
        <v>2.8</v>
      </c>
      <c r="BC88" s="12">
        <f t="array" ref="BC88">INDEX(BB:BB,MIN(IF(ISNUMBER(BB88:BB284),ROW(BB88:BB284),"")))</f>
        <v>2.8</v>
      </c>
      <c r="BD88" s="12">
        <f>IF('Données projet'!$A$88&gt;35,BD87+BC88-BL87,IF(A88&lt;'Données projet'!$A$88,$BA$205^A88,IF(A88='Données projet'!$A$88,'Données projet'!$B$88,BD87+BC88-BL87)))</f>
        <v>210.99999999999997</v>
      </c>
      <c r="BE88" s="13">
        <f>BD88*VLOOKUP('Données projet'!$B$11,Paramètres!$A$1:$I$89,3,0)*VLOOKUP('Données projet'!$B$11,Paramètres!$A$1:$I$89,5,0)</f>
        <v>184.3296</v>
      </c>
      <c r="BF88" s="13">
        <f t="shared" si="91"/>
        <v>46.284105851003062</v>
      </c>
      <c r="BG88" s="20">
        <f t="shared" si="61"/>
        <v>401.65220435716361</v>
      </c>
      <c r="BH88" s="59">
        <f t="shared" si="62"/>
        <v>694.98553769049693</v>
      </c>
      <c r="BI88" s="59">
        <f ca="1">AVERAGE(OFFSET($BH$3,0,0,'Données projet'!$E$11+1,1))-AVERAGE(OFFSET($H$3,0,0,'Données projet'!$E$11+1,1))</f>
        <v>186.80594222554424</v>
      </c>
      <c r="BJ88" s="59">
        <f t="shared" si="92"/>
        <v>179.02867751001872</v>
      </c>
      <c r="BK88" s="15">
        <f>IF(ISNA(VLOOKUP(A88,'Données projet'!$A$87:$I$107,3,0)),0,VLOOKUP(A88,'Données projet'!$A$87:$I$107,3,0))</f>
        <v>14</v>
      </c>
      <c r="BL88" s="15" t="str">
        <f>IF(ISNA(VLOOKUP(A88,'Données projet'!$A$87:$I$107,4,0)),0,VLOOKUP(A88,'Données projet'!$A$87:$I$107,4,0))</f>
        <v>10</v>
      </c>
      <c r="BM88" s="16">
        <f>IF(ISNA(VLOOKUP(A88,'Données projet'!$A$87:$I$107,5,0)),0%,VLOOKUP(A88,'Données projet'!$A$87:$I$107,5,0)*VLOOKUP('Données projet'!$B$11,Paramètres!$A$1:$I$89,7,0))</f>
        <v>0.215</v>
      </c>
      <c r="BN88" s="16">
        <f>IF(ISNA(VLOOKUP(A88,'Données projet'!$A$87:$I$107,6,0)),0%,VLOOKUP(A88,'Données projet'!$A$87:$I$107,6,0)*VLOOKUP('Données projet'!$B$11,Paramètres!$A$1:$I$89,7,0))</f>
        <v>0.17200000000000001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11.949755391254595</v>
      </c>
      <c r="BQ88" s="21">
        <f>EXP(-LN(2)/25)*BQ87+(1-EXP(-LN(2)/25))/(LN(2)/25)*Calculateur!BL88*Calculateur!BN88*VLOOKUP('Données projet'!$B$11,Paramètres!$A$1:$I$89,3,0)*0.475*44/12</f>
        <v>14.139896657673725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26.089652048928322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6.2512820512820522</v>
      </c>
      <c r="BY88" s="12">
        <f>IF('Données projet'!$A$114&gt;35,BY87+BX88-CG87,IF(A88&lt;'Données projet'!$A$114,$BV$205^A88,IF(A88='Données projet'!$A$114,'Données projet'!$B$114,BY87+BX88-CG87)))</f>
        <v>209.98205128205129</v>
      </c>
      <c r="BZ88" s="13">
        <f>BY88*VLOOKUP('Données projet'!$B$12,Paramètres!$A$1:$I$89,3,0)*VLOOKUP('Données projet'!$B$12,Paramètres!$A$1:$I$89,5,0)</f>
        <v>189.99176</v>
      </c>
      <c r="CA88" s="13">
        <f t="shared" si="93"/>
        <v>47.538131099623079</v>
      </c>
      <c r="CB88" s="20">
        <f t="shared" si="64"/>
        <v>413.69789366517688</v>
      </c>
      <c r="CC88" s="59">
        <f t="shared" si="65"/>
        <v>707.03122699851019</v>
      </c>
      <c r="CD88" s="59">
        <f ca="1">AVERAGE(OFFSET($CC$3,0,0,'Données projet'!$E$12+1,1))-AVERAGE(OFFSET($H$3,0,0,'Données projet'!$E$12+1,1))</f>
        <v>265.17389489035344</v>
      </c>
      <c r="CE88" s="59">
        <f t="shared" si="94"/>
        <v>101.57852403610769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13.948453824841232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13.948453824841232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-1.7053025658242404E-13</v>
      </c>
      <c r="CU88" s="17">
        <f>CT88*VLOOKUP('Données projet'!$B$13,Paramètres!$A$1:$I$89,3,0)*VLOOKUP('Données projet'!$B$13,Paramètres!$A$1:$I$89,5,0)</f>
        <v>-1.0197709343628959E-13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182.34243693018033</v>
      </c>
      <c r="CZ88" s="59">
        <f t="shared" si="96"/>
        <v>182.65916563909786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79.066460679899933</v>
      </c>
      <c r="DG88" s="21">
        <f>EXP(-LN(2)/25)*DG87+(1-EXP(-LN(2)/25))/(LN(2)/25)*Calculateur!DB88*Calculateur!DD88*VLOOKUP('Données projet'!$B$13,Paramètres!$A$1:$I$89,3,0)*0.475*44/12</f>
        <v>18.069091507140833</v>
      </c>
      <c r="DH88" s="21">
        <f>EXP(-LN(2)/2)*DH87+(1-EXP(-LN(2)/2))/(LN(2)/2)*DB88*DE88*VLOOKUP('Données projet'!$B$13,Paramètres!$A$1:$I$89,3,0)*0.475*44/12</f>
        <v>5.517858133130325E-3</v>
      </c>
      <c r="DI88" s="22">
        <f t="shared" si="69"/>
        <v>97.14107004517389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6.2512820512820522</v>
      </c>
      <c r="DO88" s="12">
        <f>IF('Données projet'!$A$166&gt;35,DO87+DN88-DW87,IF(A88&lt;'Données projet'!$A$166,$DL$205^A88,IF(A88='Données projet'!$A$166,'Données projet'!$B$166,DO87+DN88-DW87)))</f>
        <v>209.98205128205129</v>
      </c>
      <c r="DP88" s="17">
        <f>DO88*VLOOKUP('Données projet'!$B$14,Paramètres!$A$1:$I$89,3,0)*VLOOKUP('Données projet'!$B$14,Paramètres!$A$1:$I$89,5,0)</f>
        <v>199.81892000000002</v>
      </c>
      <c r="DQ88" s="13">
        <f t="shared" si="97"/>
        <v>49.704369724406277</v>
      </c>
      <c r="DR88" s="20">
        <f t="shared" si="70"/>
        <v>434.5863962700077</v>
      </c>
      <c r="DS88" s="59">
        <f t="shared" si="71"/>
        <v>727.91972960334101</v>
      </c>
      <c r="DT88" s="59">
        <f ca="1">AVERAGE(OFFSET($DS$3,0,0,'Données projet'!$E$14+1,1))-AVERAGE(OFFSET($H$3,0,0,'Données projet'!$E$14+1,1))</f>
        <v>286.10360882057586</v>
      </c>
      <c r="DU88" s="59">
        <f t="shared" si="98"/>
        <v>109.24531387923128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14.669925574401983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14.669925574401983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434.39731290907071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262.42149466677068</v>
      </c>
      <c r="T89" s="59">
        <f t="shared" si="88"/>
        <v>232.7693253699756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-1.0197709343628959E-13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249.37919739649828</v>
      </c>
      <c r="AO89" s="59">
        <f t="shared" si="90"/>
        <v>315.05045383693073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89.899344718717657</v>
      </c>
      <c r="AV89" s="21">
        <f>EXP(-LN(2)/25)*AV88+(1-EXP(-LN(2)/25))/(LN(2)/25)*Calculateur!AQ89*Calculateur!AS89*VLOOKUP('Données projet'!$B$10,Paramètres!$A$1:$I$89,3,0)*0.475*44/12</f>
        <v>19.239418860848293</v>
      </c>
      <c r="AW89" s="21">
        <f>EXP(-LN(2)/2)*AW88+(1-EXP(-LN(2)/2))/(LN(2)/2)*AQ89*AT89*VLOOKUP('Données projet'!$B$10,Paramètres!$A$1:$I$89,3,0)*0.475*44/12</f>
        <v>1.2331045819949198E-3</v>
      </c>
      <c r="AX89" s="21">
        <f t="shared" si="60"/>
        <v>109.13999668414795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2.8</v>
      </c>
      <c r="BD89" s="12">
        <f>IF('Données projet'!$A$88&gt;35,BD88+BC89-BL88,IF(A89&lt;'Données projet'!$A$88,$BA$205^A89,IF(A89='Données projet'!$A$88,'Données projet'!$B$88,BD88+BC89-BL88)))</f>
        <v>203.79999999999998</v>
      </c>
      <c r="BE89" s="13">
        <f>BD89*VLOOKUP('Données projet'!$B$11,Paramètres!$A$1:$I$89,3,0)*VLOOKUP('Données projet'!$B$11,Paramètres!$A$1:$I$89,5,0)</f>
        <v>178.03968</v>
      </c>
      <c r="BF89" s="13">
        <f t="shared" si="91"/>
        <v>44.885773518007284</v>
      </c>
      <c r="BG89" s="20">
        <f t="shared" si="61"/>
        <v>388.26183154386268</v>
      </c>
      <c r="BH89" s="59">
        <f t="shared" si="62"/>
        <v>681.595164877196</v>
      </c>
      <c r="BI89" s="59">
        <f ca="1">AVERAGE(OFFSET($BH$3,0,0,'Données projet'!$E$11+1,1))-AVERAGE(OFFSET($H$3,0,0,'Données projet'!$E$11+1,1))</f>
        <v>186.80594222554424</v>
      </c>
      <c r="BJ89" s="59">
        <f t="shared" si="92"/>
        <v>179.02867751001872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11.715427976663188</v>
      </c>
      <c r="BQ89" s="21">
        <f>EXP(-LN(2)/25)*BQ88+(1-EXP(-LN(2)/25))/(LN(2)/25)*Calculateur!BL89*Calculateur!BN89*VLOOKUP('Données projet'!$B$11,Paramètres!$A$1:$I$89,3,0)*0.475*44/12</f>
        <v>13.75324043998479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25.468668416647979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6.2512820512820522</v>
      </c>
      <c r="BY89" s="12">
        <f>IF('Données projet'!$A$114&gt;35,BY88+BX89-CG88,IF(A89&lt;'Données projet'!$A$114,$BV$205^A89,IF(A89='Données projet'!$A$114,'Données projet'!$B$114,BY88+BX89-CG88)))</f>
        <v>216.23333333333335</v>
      </c>
      <c r="BZ89" s="13">
        <f>BY89*VLOOKUP('Données projet'!$B$12,Paramètres!$A$1:$I$89,3,0)*VLOOKUP('Données projet'!$B$12,Paramètres!$A$1:$I$89,5,0)</f>
        <v>195.64792</v>
      </c>
      <c r="CA89" s="13">
        <f t="shared" si="93"/>
        <v>48.786491034291537</v>
      </c>
      <c r="CB89" s="20">
        <f t="shared" si="64"/>
        <v>425.72326588472441</v>
      </c>
      <c r="CC89" s="59">
        <f t="shared" si="65"/>
        <v>719.05659921805773</v>
      </c>
      <c r="CD89" s="59">
        <f ca="1">AVERAGE(OFFSET($CC$3,0,0,'Données projet'!$E$12+1,1))-AVERAGE(OFFSET($H$3,0,0,'Données projet'!$E$12+1,1))</f>
        <v>265.17389489035344</v>
      </c>
      <c r="CE89" s="59">
        <f t="shared" si="94"/>
        <v>101.57852403610769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13.674933153052862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13.674933153052862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-1.7053025658242404E-13</v>
      </c>
      <c r="CU89" s="17">
        <f>CT89*VLOOKUP('Données projet'!$B$13,Paramètres!$A$1:$I$89,3,0)*VLOOKUP('Données projet'!$B$13,Paramètres!$A$1:$I$89,5,0)</f>
        <v>-1.0197709343628959E-13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182.34243693018033</v>
      </c>
      <c r="CZ89" s="59">
        <f t="shared" si="96"/>
        <v>182.65916563909786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77.516015611746212</v>
      </c>
      <c r="DG89" s="21">
        <f>EXP(-LN(2)/25)*DG88+(1-EXP(-LN(2)/25))/(LN(2)/25)*Calculateur!DB89*Calculateur!DD89*VLOOKUP('Données projet'!$B$13,Paramètres!$A$1:$I$89,3,0)*0.475*44/12</f>
        <v>17.574991249665842</v>
      </c>
      <c r="DH89" s="21">
        <f>EXP(-LN(2)/2)*DH88+(1-EXP(-LN(2)/2))/(LN(2)/2)*DB89*DE89*VLOOKUP('Données projet'!$B$13,Paramètres!$A$1:$I$89,3,0)*0.475*44/12</f>
        <v>3.9017149035617967E-3</v>
      </c>
      <c r="DI89" s="22">
        <f t="shared" si="69"/>
        <v>95.094908576315618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6.2512820512820522</v>
      </c>
      <c r="DO89" s="12">
        <f>IF('Données projet'!$A$166&gt;35,DO88+DN89-DW88,IF(A89&lt;'Données projet'!$A$166,$DL$205^A89,IF(A89='Données projet'!$A$166,'Données projet'!$B$166,DO88+DN89-DW88)))</f>
        <v>216.23333333333335</v>
      </c>
      <c r="DP89" s="17">
        <f>DO89*VLOOKUP('Données projet'!$B$14,Paramètres!$A$1:$I$89,3,0)*VLOOKUP('Données projet'!$B$14,Paramètres!$A$1:$I$89,5,0)</f>
        <v>205.76764</v>
      </c>
      <c r="DQ89" s="13">
        <f t="shared" si="97"/>
        <v>51.009615477796629</v>
      </c>
      <c r="DR89" s="20">
        <f t="shared" si="70"/>
        <v>447.22038662382914</v>
      </c>
      <c r="DS89" s="59">
        <f t="shared" si="71"/>
        <v>740.55371995716246</v>
      </c>
      <c r="DT89" s="59">
        <f ca="1">AVERAGE(OFFSET($DS$3,0,0,'Données projet'!$E$14+1,1))-AVERAGE(OFFSET($H$3,0,0,'Données projet'!$E$14+1,1))</f>
        <v>286.10360882057586</v>
      </c>
      <c r="DU89" s="59">
        <f t="shared" si="98"/>
        <v>109.24531387923128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14.382257281659042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14.382257281659042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435.99508861929246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262.42149466677068</v>
      </c>
      <c r="T90" s="59">
        <f t="shared" si="88"/>
        <v>232.7693253699756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-1.0197709343628959E-13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249.37919739649828</v>
      </c>
      <c r="AO90" s="59">
        <f t="shared" si="90"/>
        <v>315.05045383693073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88.136473401969553</v>
      </c>
      <c r="AV90" s="21">
        <f>EXP(-LN(2)/25)*AV89+(1-EXP(-LN(2)/25))/(LN(2)/25)*Calculateur!AQ90*Calculateur!AS90*VLOOKUP('Données projet'!$B$10,Paramètres!$A$1:$I$89,3,0)*0.475*44/12</f>
        <v>18.713315940341332</v>
      </c>
      <c r="AW90" s="21">
        <f>EXP(-LN(2)/2)*AW89+(1-EXP(-LN(2)/2))/(LN(2)/2)*AQ90*AT90*VLOOKUP('Données projet'!$B$10,Paramètres!$A$1:$I$89,3,0)*0.475*44/12</f>
        <v>8.7193661184081089E-4</v>
      </c>
      <c r="AX90" s="21">
        <f t="shared" si="60"/>
        <v>106.85066127892273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2.8</v>
      </c>
      <c r="BD90" s="12">
        <f>IF('Données projet'!$A$88&gt;35,BD89+BC90-BL89,IF(A90&lt;'Données projet'!$A$88,$BA$205^A90,IF(A90='Données projet'!$A$88,'Données projet'!$B$88,BD89+BC90-BL89)))</f>
        <v>206.6</v>
      </c>
      <c r="BE90" s="13">
        <f>BD90*VLOOKUP('Données projet'!$B$11,Paramètres!$A$1:$I$89,3,0)*VLOOKUP('Données projet'!$B$11,Paramètres!$A$1:$I$89,5,0)</f>
        <v>180.48576000000003</v>
      </c>
      <c r="BF90" s="13">
        <f t="shared" si="91"/>
        <v>45.430241859839441</v>
      </c>
      <c r="BG90" s="20">
        <f t="shared" si="61"/>
        <v>393.47036990588708</v>
      </c>
      <c r="BH90" s="59">
        <f t="shared" si="62"/>
        <v>686.80370323922034</v>
      </c>
      <c r="BI90" s="59">
        <f ca="1">AVERAGE(OFFSET($BH$3,0,0,'Données projet'!$E$11+1,1))-AVERAGE(OFFSET($H$3,0,0,'Données projet'!$E$11+1,1))</f>
        <v>186.80594222554424</v>
      </c>
      <c r="BJ90" s="59">
        <f t="shared" si="92"/>
        <v>179.02867751001872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11.485695579746309</v>
      </c>
      <c r="BQ90" s="21">
        <f>EXP(-LN(2)/25)*BQ89+(1-EXP(-LN(2)/25))/(LN(2)/25)*Calculateur!BL90*Calculateur!BN90*VLOOKUP('Données projet'!$B$11,Paramètres!$A$1:$I$89,3,0)*0.475*44/12</f>
        <v>13.377157356901925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24.862852936648235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6.2512820512820522</v>
      </c>
      <c r="BY90" s="12">
        <f>IF('Données projet'!$A$114&gt;35,BY89+BX90-CG89,IF(A90&lt;'Données projet'!$A$114,$BV$205^A90,IF(A90='Données projet'!$A$114,'Données projet'!$B$114,BY89+BX90-CG89)))</f>
        <v>222.48461538461541</v>
      </c>
      <c r="BZ90" s="13">
        <f>BY90*VLOOKUP('Données projet'!$B$12,Paramètres!$A$1:$I$89,3,0)*VLOOKUP('Données projet'!$B$12,Paramètres!$A$1:$I$89,5,0)</f>
        <v>201.30408000000003</v>
      </c>
      <c r="CA90" s="13">
        <f t="shared" si="93"/>
        <v>50.030656541767812</v>
      </c>
      <c r="CB90" s="20">
        <f t="shared" si="64"/>
        <v>437.74133281024564</v>
      </c>
      <c r="CC90" s="59">
        <f t="shared" si="65"/>
        <v>731.07466614357895</v>
      </c>
      <c r="CD90" s="59">
        <f ca="1">AVERAGE(OFFSET($CC$3,0,0,'Données projet'!$E$12+1,1))-AVERAGE(OFFSET($H$3,0,0,'Données projet'!$E$12+1,1))</f>
        <v>265.17389489035344</v>
      </c>
      <c r="CE90" s="59">
        <f t="shared" si="94"/>
        <v>101.57852403610769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13.406776054807125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13.406776054807125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-1.7053025658242404E-13</v>
      </c>
      <c r="CU90" s="17">
        <f>CT90*VLOOKUP('Données projet'!$B$13,Paramètres!$A$1:$I$89,3,0)*VLOOKUP('Données projet'!$B$13,Paramètres!$A$1:$I$89,5,0)</f>
        <v>-1.0197709343628959E-13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182.34243693018033</v>
      </c>
      <c r="CZ90" s="59">
        <f t="shared" si="96"/>
        <v>182.65916563909786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75.995973825700872</v>
      </c>
      <c r="DG90" s="21">
        <f>EXP(-LN(2)/25)*DG89+(1-EXP(-LN(2)/25))/(LN(2)/25)*Calculateur!DB90*Calculateur!DD90*VLOOKUP('Données projet'!$B$13,Paramètres!$A$1:$I$89,3,0)*0.475*44/12</f>
        <v>17.094402189715108</v>
      </c>
      <c r="DH90" s="21">
        <f>EXP(-LN(2)/2)*DH89+(1-EXP(-LN(2)/2))/(LN(2)/2)*DB90*DE90*VLOOKUP('Données projet'!$B$13,Paramètres!$A$1:$I$89,3,0)*0.475*44/12</f>
        <v>2.7589290665651629E-3</v>
      </c>
      <c r="DI90" s="22">
        <f t="shared" si="69"/>
        <v>93.093134944482543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6.2512820512820522</v>
      </c>
      <c r="DO90" s="12">
        <f>IF('Données projet'!$A$166&gt;35,DO89+DN90-DW89,IF(A90&lt;'Données projet'!$A$166,$DL$205^A90,IF(A90='Données projet'!$A$166,'Données projet'!$B$166,DO89+DN90-DW89)))</f>
        <v>222.48461538461541</v>
      </c>
      <c r="DP90" s="17">
        <f>DO90*VLOOKUP('Données projet'!$B$14,Paramètres!$A$1:$I$89,3,0)*VLOOKUP('Données projet'!$B$14,Paramètres!$A$1:$I$89,5,0)</f>
        <v>211.71636000000004</v>
      </c>
      <c r="DQ90" s="13">
        <f t="shared" si="97"/>
        <v>52.310475670477715</v>
      </c>
      <c r="DR90" s="20">
        <f t="shared" si="70"/>
        <v>459.84673879274868</v>
      </c>
      <c r="DS90" s="59">
        <f t="shared" si="71"/>
        <v>753.180072126082</v>
      </c>
      <c r="DT90" s="59">
        <f ca="1">AVERAGE(OFFSET($DS$3,0,0,'Données projet'!$E$14+1,1))-AVERAGE(OFFSET($H$3,0,0,'Données projet'!$E$14+1,1))</f>
        <v>286.10360882057586</v>
      </c>
      <c r="DU90" s="59">
        <f t="shared" si="98"/>
        <v>109.24531387923128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14.100229988676457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14.100229988676457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437.59243541735412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262.42149466677068</v>
      </c>
      <c r="T91" s="59">
        <f t="shared" si="88"/>
        <v>232.7693253699756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-1.0197709343628959E-13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249.37919739649828</v>
      </c>
      <c r="AO91" s="59">
        <f t="shared" si="90"/>
        <v>315.05045383693073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86.408170916497554</v>
      </c>
      <c r="AV91" s="21">
        <f>EXP(-LN(2)/25)*AV90+(1-EXP(-LN(2)/25))/(LN(2)/25)*Calculateur!AQ91*Calculateur!AS91*VLOOKUP('Données projet'!$B$10,Paramètres!$A$1:$I$89,3,0)*0.475*44/12</f>
        <v>18.201599331862184</v>
      </c>
      <c r="AW91" s="21">
        <f>EXP(-LN(2)/2)*AW90+(1-EXP(-LN(2)/2))/(LN(2)/2)*AQ91*AT91*VLOOKUP('Données projet'!$B$10,Paramètres!$A$1:$I$89,3,0)*0.475*44/12</f>
        <v>6.1655229099745988E-4</v>
      </c>
      <c r="AX91" s="21">
        <f t="shared" si="60"/>
        <v>104.61038680065073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2.8</v>
      </c>
      <c r="BD91" s="12">
        <f>IF('Données projet'!$A$88&gt;35,BD90+BC91-BL90,IF(A91&lt;'Données projet'!$A$88,$BA$205^A91,IF(A91='Données projet'!$A$88,'Données projet'!$B$88,BD90+BC91-BL90)))</f>
        <v>209.4</v>
      </c>
      <c r="BE91" s="13">
        <f>BD91*VLOOKUP('Données projet'!$B$11,Paramètres!$A$1:$I$89,3,0)*VLOOKUP('Données projet'!$B$11,Paramètres!$A$1:$I$89,5,0)</f>
        <v>182.93184000000002</v>
      </c>
      <c r="BF91" s="13">
        <f t="shared" si="91"/>
        <v>45.973851929814685</v>
      </c>
      <c r="BG91" s="20">
        <f t="shared" si="61"/>
        <v>398.67741344442726</v>
      </c>
      <c r="BH91" s="59">
        <f t="shared" si="62"/>
        <v>692.01074677776057</v>
      </c>
      <c r="BI91" s="59">
        <f ca="1">AVERAGE(OFFSET($BH$3,0,0,'Données projet'!$E$11+1,1))-AVERAGE(OFFSET($H$3,0,0,'Données projet'!$E$11+1,1))</f>
        <v>186.80594222554424</v>
      </c>
      <c r="BJ91" s="59">
        <f t="shared" si="92"/>
        <v>179.02867751001872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11.260468095010044</v>
      </c>
      <c r="BQ91" s="21">
        <f>EXP(-LN(2)/25)*BQ90+(1-EXP(-LN(2)/25))/(LN(2)/25)*Calculateur!BL91*Calculateur!BN91*VLOOKUP('Données projet'!$B$11,Paramètres!$A$1:$I$89,3,0)*0.475*44/12</f>
        <v>13.011358285503311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24.271826380513353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6.2512820512820522</v>
      </c>
      <c r="BY91" s="12">
        <f>IF('Données projet'!$A$114&gt;35,BY90+BX91-CG90,IF(A91&lt;'Données projet'!$A$114,$BV$205^A91,IF(A91='Données projet'!$A$114,'Données projet'!$B$114,BY90+BX91-CG90)))</f>
        <v>228.73589743589747</v>
      </c>
      <c r="BZ91" s="13">
        <f>BY91*VLOOKUP('Données projet'!$B$12,Paramètres!$A$1:$I$89,3,0)*VLOOKUP('Données projet'!$B$12,Paramètres!$A$1:$I$89,5,0)</f>
        <v>206.96024000000003</v>
      </c>
      <c r="CA91" s="13">
        <f t="shared" si="93"/>
        <v>51.270759013587337</v>
      </c>
      <c r="CB91" s="20">
        <f t="shared" si="64"/>
        <v>449.75232328199803</v>
      </c>
      <c r="CC91" s="59">
        <f t="shared" si="65"/>
        <v>743.08565661533135</v>
      </c>
      <c r="CD91" s="59">
        <f ca="1">AVERAGE(OFFSET($CC$3,0,0,'Données projet'!$E$12+1,1))-AVERAGE(OFFSET($H$3,0,0,'Données projet'!$E$12+1,1))</f>
        <v>265.17389489035344</v>
      </c>
      <c r="CE91" s="59">
        <f t="shared" si="94"/>
        <v>101.57852403610769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13.143877353698306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13.143877353698306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-1.7053025658242404E-13</v>
      </c>
      <c r="CU91" s="17">
        <f>CT91*VLOOKUP('Données projet'!$B$13,Paramètres!$A$1:$I$89,3,0)*VLOOKUP('Données projet'!$B$13,Paramètres!$A$1:$I$89,5,0)</f>
        <v>-1.0197709343628959E-13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182.34243693018033</v>
      </c>
      <c r="CZ91" s="59">
        <f t="shared" si="96"/>
        <v>182.65916563909786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74.50573913194593</v>
      </c>
      <c r="DG91" s="21">
        <f>EXP(-LN(2)/25)*DG90+(1-EXP(-LN(2)/25))/(LN(2)/25)*Calculateur!DB91*Calculateur!DD91*VLOOKUP('Données projet'!$B$13,Paramètres!$A$1:$I$89,3,0)*0.475*44/12</f>
        <v>16.626954862881806</v>
      </c>
      <c r="DH91" s="21">
        <f>EXP(-LN(2)/2)*DH90+(1-EXP(-LN(2)/2))/(LN(2)/2)*DB91*DE91*VLOOKUP('Données projet'!$B$13,Paramètres!$A$1:$I$89,3,0)*0.475*44/12</f>
        <v>1.9508574517808986E-3</v>
      </c>
      <c r="DI91" s="22">
        <f t="shared" si="69"/>
        <v>91.134644852279507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6.2512820512820522</v>
      </c>
      <c r="DO91" s="12">
        <f>IF('Données projet'!$A$166&gt;35,DO90+DN91-DW90,IF(A91&lt;'Données projet'!$A$166,$DL$205^A91,IF(A91='Données projet'!$A$166,'Données projet'!$B$166,DO90+DN91-DW90)))</f>
        <v>228.73589743589747</v>
      </c>
      <c r="DP91" s="17">
        <f>DO91*VLOOKUP('Données projet'!$B$14,Paramètres!$A$1:$I$89,3,0)*VLOOKUP('Données projet'!$B$14,Paramètres!$A$1:$I$89,5,0)</f>
        <v>217.66508000000002</v>
      </c>
      <c r="DQ91" s="13">
        <f t="shared" si="97"/>
        <v>53.60708768129259</v>
      </c>
      <c r="DR91" s="20">
        <f t="shared" si="70"/>
        <v>472.46569204491794</v>
      </c>
      <c r="DS91" s="59">
        <f t="shared" si="71"/>
        <v>765.79902537825126</v>
      </c>
      <c r="DT91" s="59">
        <f ca="1">AVERAGE(OFFSET($DS$3,0,0,'Données projet'!$E$14+1,1))-AVERAGE(OFFSET($H$3,0,0,'Données projet'!$E$14+1,1))</f>
        <v>286.10360882057586</v>
      </c>
      <c r="DU91" s="59">
        <f t="shared" si="98"/>
        <v>109.24531387923128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13.823733078889596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13.823733078889596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439.1893587412294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262.42149466677068</v>
      </c>
      <c r="T92" s="59">
        <f t="shared" si="88"/>
        <v>232.7693253699756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-1.0197709343628959E-13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249.37919739649828</v>
      </c>
      <c r="AO92" s="59">
        <f t="shared" si="90"/>
        <v>315.05045383693073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84.713759388605226</v>
      </c>
      <c r="AV92" s="21">
        <f>EXP(-LN(2)/25)*AV91+(1-EXP(-LN(2)/25))/(LN(2)/25)*Calculateur!AQ92*Calculateur!AS92*VLOOKUP('Données projet'!$B$10,Paramètres!$A$1:$I$89,3,0)*0.475*44/12</f>
        <v>17.703875640951903</v>
      </c>
      <c r="AW92" s="21">
        <f>EXP(-LN(2)/2)*AW91+(1-EXP(-LN(2)/2))/(LN(2)/2)*AQ92*AT92*VLOOKUP('Données projet'!$B$10,Paramètres!$A$1:$I$89,3,0)*0.475*44/12</f>
        <v>4.3596830592040545E-4</v>
      </c>
      <c r="AX92" s="21">
        <f t="shared" si="60"/>
        <v>102.41807099786305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2.8</v>
      </c>
      <c r="BD92" s="12">
        <f>IF('Données projet'!$A$88&gt;35,BD91+BC92-BL91,IF(A92&lt;'Données projet'!$A$88,$BA$205^A92,IF(A92='Données projet'!$A$88,'Données projet'!$B$88,BD91+BC92-BL91)))</f>
        <v>212.20000000000002</v>
      </c>
      <c r="BE92" s="13">
        <f>BD92*VLOOKUP('Données projet'!$B$11,Paramètres!$A$1:$I$89,3,0)*VLOOKUP('Données projet'!$B$11,Paramètres!$A$1:$I$89,5,0)</f>
        <v>185.37792000000005</v>
      </c>
      <c r="BF92" s="13">
        <f t="shared" si="91"/>
        <v>46.516616531004161</v>
      </c>
      <c r="BG92" s="20">
        <f t="shared" si="61"/>
        <v>403.88298445816571</v>
      </c>
      <c r="BH92" s="59">
        <f t="shared" si="62"/>
        <v>697.21631779149902</v>
      </c>
      <c r="BI92" s="59">
        <f ca="1">AVERAGE(OFFSET($BH$3,0,0,'Données projet'!$E$11+1,1))-AVERAGE(OFFSET($H$3,0,0,'Données projet'!$E$11+1,1))</f>
        <v>186.80594222554424</v>
      </c>
      <c r="BJ92" s="59">
        <f t="shared" si="92"/>
        <v>179.02867751001872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11.039657183874256</v>
      </c>
      <c r="BQ92" s="21">
        <f>EXP(-LN(2)/25)*BQ91+(1-EXP(-LN(2)/25))/(LN(2)/25)*Calculateur!BL92*Calculateur!BN92*VLOOKUP('Données projet'!$B$11,Paramètres!$A$1:$I$89,3,0)*0.475*44/12</f>
        <v>12.655562008948628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23.695219192822883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6.2512820512820522</v>
      </c>
      <c r="BY92" s="12">
        <f>IF('Données projet'!$A$114&gt;35,BY91+BX92-CG91,IF(A92&lt;'Données projet'!$A$114,$BV$205^A92,IF(A92='Données projet'!$A$114,'Données projet'!$B$114,BY91+BX92-CG91)))</f>
        <v>234.98717948717953</v>
      </c>
      <c r="BZ92" s="13">
        <f>BY92*VLOOKUP('Données projet'!$B$12,Paramètres!$A$1:$I$89,3,0)*VLOOKUP('Données projet'!$B$12,Paramètres!$A$1:$I$89,5,0)</f>
        <v>212.61640000000003</v>
      </c>
      <c r="CA92" s="13">
        <f t="shared" si="93"/>
        <v>52.506922250744786</v>
      </c>
      <c r="CB92" s="20">
        <f t="shared" si="64"/>
        <v>461.7564529200472</v>
      </c>
      <c r="CC92" s="59">
        <f t="shared" si="65"/>
        <v>755.08978625338045</v>
      </c>
      <c r="CD92" s="59">
        <f ca="1">AVERAGE(OFFSET($CC$3,0,0,'Données projet'!$E$12+1,1))-AVERAGE(OFFSET($H$3,0,0,'Données projet'!$E$12+1,1))</f>
        <v>265.17389489035344</v>
      </c>
      <c r="CE92" s="59">
        <f t="shared" si="94"/>
        <v>101.57852403610769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12.886133935765857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12.886133935765857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-1.7053025658242404E-13</v>
      </c>
      <c r="CU92" s="17">
        <f>CT92*VLOOKUP('Données projet'!$B$13,Paramètres!$A$1:$I$89,3,0)*VLOOKUP('Données projet'!$B$13,Paramètres!$A$1:$I$89,5,0)</f>
        <v>-1.0197709343628959E-13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182.34243693018033</v>
      </c>
      <c r="CZ92" s="59">
        <f t="shared" si="96"/>
        <v>182.65916563909786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73.044727031582113</v>
      </c>
      <c r="DG92" s="21">
        <f>EXP(-LN(2)/25)*DG91+(1-EXP(-LN(2)/25))/(LN(2)/25)*Calculateur!DB92*Calculateur!DD92*VLOOKUP('Données projet'!$B$13,Paramètres!$A$1:$I$89,3,0)*0.475*44/12</f>
        <v>16.172289907782748</v>
      </c>
      <c r="DH92" s="21">
        <f>EXP(-LN(2)/2)*DH91+(1-EXP(-LN(2)/2))/(LN(2)/2)*DB92*DE92*VLOOKUP('Données projet'!$B$13,Paramètres!$A$1:$I$89,3,0)*0.475*44/12</f>
        <v>1.3794645332825817E-3</v>
      </c>
      <c r="DI92" s="22">
        <f t="shared" si="69"/>
        <v>89.218396403898154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6.2512820512820522</v>
      </c>
      <c r="DO92" s="12">
        <f>IF('Données projet'!$A$166&gt;35,DO91+DN92-DW91,IF(A92&lt;'Données projet'!$A$166,$DL$205^A92,IF(A92='Données projet'!$A$166,'Données projet'!$B$166,DO91+DN92-DW91)))</f>
        <v>234.98717948717953</v>
      </c>
      <c r="DP92" s="17">
        <f>DO92*VLOOKUP('Données projet'!$B$14,Paramètres!$A$1:$I$89,3,0)*VLOOKUP('Données projet'!$B$14,Paramètres!$A$1:$I$89,5,0)</f>
        <v>223.61380000000005</v>
      </c>
      <c r="DQ92" s="13">
        <f t="shared" si="97"/>
        <v>54.899580952654745</v>
      </c>
      <c r="DR92" s="20">
        <f t="shared" si="70"/>
        <v>485.07747182587377</v>
      </c>
      <c r="DS92" s="59">
        <f t="shared" si="71"/>
        <v>778.41080515920703</v>
      </c>
      <c r="DT92" s="59">
        <f ca="1">AVERAGE(OFFSET($DS$3,0,0,'Données projet'!$E$14+1,1))-AVERAGE(OFFSET($H$3,0,0,'Données projet'!$E$14+1,1))</f>
        <v>286.10360882057586</v>
      </c>
      <c r="DU92" s="59">
        <f t="shared" si="98"/>
        <v>109.24531387923128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13.552658104857194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13.552658104857194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440.78586389965466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262.42149466677068</v>
      </c>
      <c r="T93" s="59">
        <f t="shared" si="88"/>
        <v>232.7693253699756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-1.0197709343628959E-13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249.37919739649828</v>
      </c>
      <c r="AO93" s="59">
        <f t="shared" si="90"/>
        <v>315.05045383693073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83.052574237285882</v>
      </c>
      <c r="AV93" s="21">
        <f>EXP(-LN(2)/25)*AV92+(1-EXP(-LN(2)/25))/(LN(2)/25)*Calculateur!AQ93*Calculateur!AS93*VLOOKUP('Données projet'!$B$10,Paramètres!$A$1:$I$89,3,0)*0.475*44/12</f>
        <v>17.219762230543715</v>
      </c>
      <c r="AW93" s="21">
        <f>EXP(-LN(2)/2)*AW92+(1-EXP(-LN(2)/2))/(LN(2)/2)*AQ93*AT93*VLOOKUP('Données projet'!$B$10,Paramètres!$A$1:$I$89,3,0)*0.475*44/12</f>
        <v>3.0827614549872994E-4</v>
      </c>
      <c r="AX93" s="21">
        <f t="shared" si="60"/>
        <v>100.27264474397511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215</v>
      </c>
      <c r="BB93" s="12">
        <f>VLOOKUP(A93,'Données projet'!$A$87:$I$107,9,0)</f>
        <v>2.8</v>
      </c>
      <c r="BC93" s="12">
        <f t="array" ref="BC93">INDEX(BB:BB,MIN(IF(ISNUMBER(BB93:BB289),ROW(BB93:BB289),"")))</f>
        <v>2.8</v>
      </c>
      <c r="BD93" s="12">
        <f>IF('Données projet'!$A$88&gt;35,BD92+BC93-BL92,IF(A93&lt;'Données projet'!$A$88,$BA$205^A93,IF(A93='Données projet'!$A$88,'Données projet'!$B$88,BD92+BC93-BL92)))</f>
        <v>215.00000000000003</v>
      </c>
      <c r="BE93" s="13">
        <f>BD93*VLOOKUP('Données projet'!$B$11,Paramètres!$A$1:$I$89,3,0)*VLOOKUP('Données projet'!$B$11,Paramètres!$A$1:$I$89,5,0)</f>
        <v>187.82400000000007</v>
      </c>
      <c r="BF93" s="13">
        <f t="shared" si="91"/>
        <v>47.05854810918273</v>
      </c>
      <c r="BG93" s="20">
        <f t="shared" si="61"/>
        <v>409.08710462349336</v>
      </c>
      <c r="BH93" s="59">
        <f t="shared" si="62"/>
        <v>702.42043795682662</v>
      </c>
      <c r="BI93" s="59">
        <f ca="1">AVERAGE(OFFSET($BH$3,0,0,'Données projet'!$E$11+1,1))-AVERAGE(OFFSET($H$3,0,0,'Données projet'!$E$11+1,1))</f>
        <v>186.80594222554424</v>
      </c>
      <c r="BJ93" s="59">
        <f t="shared" si="92"/>
        <v>179.02867751001872</v>
      </c>
      <c r="BK93" s="15">
        <f>IF(ISNA(VLOOKUP(A93,'Données projet'!$A$87:$I$107,3,0)),0,VLOOKUP(A93,'Données projet'!$A$87:$I$107,3,0))</f>
        <v>15</v>
      </c>
      <c r="BL93" s="15" t="str">
        <f>IF(ISNA(VLOOKUP(A93,'Données projet'!$A$87:$I$107,4,0)),0,VLOOKUP(A93,'Données projet'!$A$87:$I$107,4,0))</f>
        <v>10</v>
      </c>
      <c r="BM93" s="16">
        <f>IF(ISNA(VLOOKUP(A93,'Données projet'!$A$87:$I$107,5,0)),0%,VLOOKUP(A93,'Données projet'!$A$87:$I$107,5,0)*VLOOKUP('Données projet'!$B$11,Paramètres!$A$1:$I$89,7,0))</f>
        <v>0.215</v>
      </c>
      <c r="BN93" s="16">
        <f>IF(ISNA(VLOOKUP(A93,'Données projet'!$A$87:$I$107,6,0)),0%,VLOOKUP(A93,'Données projet'!$A$87:$I$107,6,0)*VLOOKUP('Données projet'!$B$11,Paramètres!$A$1:$I$89,7,0))</f>
        <v>0.17200000000000001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12.899514925678453</v>
      </c>
      <c r="BQ93" s="21">
        <f>EXP(-LN(2)/25)*BQ92+(1-EXP(-LN(2)/25))/(LN(2)/25)*Calculateur!BL93*Calculateur!BN93*VLOOKUP('Données projet'!$B$11,Paramètres!$A$1:$I$89,3,0)*0.475*44/12</f>
        <v>13.964025679568033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26.863540605246484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6.2512820512820522</v>
      </c>
      <c r="BY93" s="12">
        <f>IF('Données projet'!$A$114&gt;35,BY92+BX93-CG92,IF(A93&lt;'Données projet'!$A$114,$BV$205^A93,IF(A93='Données projet'!$A$114,'Données projet'!$B$114,BY92+BX93-CG92)))</f>
        <v>241.23846153846159</v>
      </c>
      <c r="BZ93" s="13">
        <f>BY93*VLOOKUP('Données projet'!$B$12,Paramètres!$A$1:$I$89,3,0)*VLOOKUP('Données projet'!$B$12,Paramètres!$A$1:$I$89,5,0)</f>
        <v>218.27256000000003</v>
      </c>
      <c r="CA93" s="13">
        <f t="shared" si="93"/>
        <v>53.739263092310814</v>
      </c>
      <c r="CB93" s="20">
        <f t="shared" si="64"/>
        <v>473.75392521910811</v>
      </c>
      <c r="CC93" s="59">
        <f t="shared" si="65"/>
        <v>767.08725855244143</v>
      </c>
      <c r="CD93" s="59">
        <f ca="1">AVERAGE(OFFSET($CC$3,0,0,'Données projet'!$E$12+1,1))-AVERAGE(OFFSET($H$3,0,0,'Données projet'!$E$12+1,1))</f>
        <v>265.17389489035344</v>
      </c>
      <c r="CE93" s="59">
        <f t="shared" si="94"/>
        <v>101.57852403610769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12.633444709051101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12.633444709051101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-1.7053025658242404E-13</v>
      </c>
      <c r="CU93" s="17">
        <f>CT93*VLOOKUP('Données projet'!$B$13,Paramètres!$A$1:$I$89,3,0)*VLOOKUP('Données projet'!$B$13,Paramètres!$A$1:$I$89,5,0)</f>
        <v>-1.0197709343628959E-13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182.34243693018033</v>
      </c>
      <c r="CZ93" s="59">
        <f t="shared" si="96"/>
        <v>182.65916563909786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71.61236448737705</v>
      </c>
      <c r="DG93" s="21">
        <f>EXP(-LN(2)/25)*DG92+(1-EXP(-LN(2)/25))/(LN(2)/25)*Calculateur!DB93*Calculateur!DD93*VLOOKUP('Données projet'!$B$13,Paramètres!$A$1:$I$89,3,0)*0.475*44/12</f>
        <v>15.730057789790665</v>
      </c>
      <c r="DH93" s="21">
        <f>EXP(-LN(2)/2)*DH92+(1-EXP(-LN(2)/2))/(LN(2)/2)*DB93*DE93*VLOOKUP('Données projet'!$B$13,Paramètres!$A$1:$I$89,3,0)*0.475*44/12</f>
        <v>9.754287258904495E-4</v>
      </c>
      <c r="DI93" s="22">
        <f t="shared" si="69"/>
        <v>87.343397705893608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6.2512820512820522</v>
      </c>
      <c r="DO93" s="12">
        <f>IF('Données projet'!$A$166&gt;35,DO92+DN93-DW92,IF(A93&lt;'Données projet'!$A$166,$DL$205^A93,IF(A93='Données projet'!$A$166,'Données projet'!$B$166,DO92+DN93-DW92)))</f>
        <v>241.23846153846159</v>
      </c>
      <c r="DP93" s="17">
        <f>DO93*VLOOKUP('Données projet'!$B$14,Paramètres!$A$1:$I$89,3,0)*VLOOKUP('Données projet'!$B$14,Paramètres!$A$1:$I$89,5,0)</f>
        <v>229.56252000000006</v>
      </c>
      <c r="DQ93" s="13">
        <f t="shared" si="97"/>
        <v>56.188077647809259</v>
      </c>
      <c r="DR93" s="20">
        <f t="shared" si="70"/>
        <v>497.68229090326798</v>
      </c>
      <c r="DS93" s="59">
        <f t="shared" si="71"/>
        <v>791.0156242366013</v>
      </c>
      <c r="DT93" s="59">
        <f ca="1">AVERAGE(OFFSET($DS$3,0,0,'Données projet'!$E$14+1,1))-AVERAGE(OFFSET($H$3,0,0,'Données projet'!$E$14+1,1))</f>
        <v>286.10360882057586</v>
      </c>
      <c r="DU93" s="59">
        <f t="shared" si="98"/>
        <v>109.24531387923128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13.286898745726159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13.286898745726159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442.38195607660163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262.42149466677068</v>
      </c>
      <c r="T94" s="59">
        <f t="shared" si="88"/>
        <v>232.7693253699756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-1.0197709343628959E-13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249.37919739649828</v>
      </c>
      <c r="AO94" s="59">
        <f t="shared" si="90"/>
        <v>315.05045383693073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81.423963913561025</v>
      </c>
      <c r="AV94" s="21">
        <f>EXP(-LN(2)/25)*AV93+(1-EXP(-LN(2)/25))/(LN(2)/25)*Calculateur!AQ94*Calculateur!AS94*VLOOKUP('Données projet'!$B$10,Paramètres!$A$1:$I$89,3,0)*0.475*44/12</f>
        <v>16.748886926801557</v>
      </c>
      <c r="AW94" s="21">
        <f>EXP(-LN(2)/2)*AW93+(1-EXP(-LN(2)/2))/(LN(2)/2)*AQ94*AT94*VLOOKUP('Données projet'!$B$10,Paramètres!$A$1:$I$89,3,0)*0.475*44/12</f>
        <v>2.1798415296020272E-4</v>
      </c>
      <c r="AX94" s="21">
        <f t="shared" si="60"/>
        <v>98.173068824515539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207.80000000000004</v>
      </c>
      <c r="BE94" s="13">
        <f>BD94*VLOOKUP('Données projet'!$B$11,Paramètres!$A$1:$I$89,3,0)*VLOOKUP('Données projet'!$B$11,Paramètres!$A$1:$I$89,5,0)</f>
        <v>181.53408000000007</v>
      </c>
      <c r="BF94" s="13">
        <f t="shared" si="91"/>
        <v>45.663321943731901</v>
      </c>
      <c r="BG94" s="20">
        <f t="shared" si="61"/>
        <v>395.7021417186665</v>
      </c>
      <c r="BH94" s="59">
        <f t="shared" si="62"/>
        <v>689.03547505199981</v>
      </c>
      <c r="BI94" s="59">
        <f ca="1">AVERAGE(OFFSET($BH$3,0,0,'Données projet'!$E$11+1,1))-AVERAGE(OFFSET($H$3,0,0,'Données projet'!$E$11+1,1))</f>
        <v>186.80594222554424</v>
      </c>
      <c r="BJ94" s="59">
        <f t="shared" si="92"/>
        <v>179.02867751001872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12.64656330591311</v>
      </c>
      <c r="BQ94" s="21">
        <f>EXP(-LN(2)/25)*BQ93+(1-EXP(-LN(2)/25))/(LN(2)/25)*Calculateur!BL94*Calculateur!BN94*VLOOKUP('Données projet'!$B$11,Paramètres!$A$1:$I$89,3,0)*0.475*44/12</f>
        <v>13.582178663024051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26.228741968937161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6.2512820512820522</v>
      </c>
      <c r="BY94" s="12">
        <f>IF('Données projet'!$A$114&gt;35,BY93+BX94-CG93,IF(A94&lt;'Données projet'!$A$114,$BV$205^A94,IF(A94='Données projet'!$A$114,'Données projet'!$B$114,BY93+BX94-CG93)))</f>
        <v>247.48974358974365</v>
      </c>
      <c r="BZ94" s="13">
        <f>BY94*VLOOKUP('Données projet'!$B$12,Paramètres!$A$1:$I$89,3,0)*VLOOKUP('Données projet'!$B$12,Paramètres!$A$1:$I$89,5,0)</f>
        <v>223.92872000000003</v>
      </c>
      <c r="CA94" s="13">
        <f t="shared" si="93"/>
        <v>54.967891977057093</v>
      </c>
      <c r="CB94" s="20">
        <f t="shared" si="64"/>
        <v>485.74493252670771</v>
      </c>
      <c r="CC94" s="59">
        <f t="shared" si="65"/>
        <v>779.07826586004103</v>
      </c>
      <c r="CD94" s="59">
        <f ca="1">AVERAGE(OFFSET($CC$3,0,0,'Données projet'!$E$12+1,1))-AVERAGE(OFFSET($H$3,0,0,'Données projet'!$E$12+1,1))</f>
        <v>265.17389489035344</v>
      </c>
      <c r="CE94" s="59">
        <f t="shared" si="94"/>
        <v>101.57852403610769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12.385710563947013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12.385710563947013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-1.7053025658242404E-13</v>
      </c>
      <c r="CU94" s="17">
        <f>CT94*VLOOKUP('Données projet'!$B$13,Paramètres!$A$1:$I$89,3,0)*VLOOKUP('Données projet'!$B$13,Paramètres!$A$1:$I$89,5,0)</f>
        <v>-1.0197709343628959E-13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182.34243693018033</v>
      </c>
      <c r="CZ94" s="59">
        <f t="shared" si="96"/>
        <v>182.65916563909786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70.208089699008951</v>
      </c>
      <c r="DG94" s="21">
        <f>EXP(-LN(2)/25)*DG93+(1-EXP(-LN(2)/25))/(LN(2)/25)*Calculateur!DB94*Calculateur!DD94*VLOOKUP('Données projet'!$B$13,Paramètres!$A$1:$I$89,3,0)*0.475*44/12</f>
        <v>15.299918532321051</v>
      </c>
      <c r="DH94" s="21">
        <f>EXP(-LN(2)/2)*DH93+(1-EXP(-LN(2)/2))/(LN(2)/2)*DB94*DE94*VLOOKUP('Données projet'!$B$13,Paramètres!$A$1:$I$89,3,0)*0.475*44/12</f>
        <v>6.8973226664129094E-4</v>
      </c>
      <c r="DI94" s="22">
        <f t="shared" si="69"/>
        <v>85.508697963596632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6.2512820512820522</v>
      </c>
      <c r="DO94" s="12">
        <f>IF('Données projet'!$A$166&gt;35,DO93+DN94-DW93,IF(A94&lt;'Données projet'!$A$166,$DL$205^A94,IF(A94='Données projet'!$A$166,'Données projet'!$B$166,DO93+DN94-DW93)))</f>
        <v>247.48974358974365</v>
      </c>
      <c r="DP94" s="17">
        <f>DO94*VLOOKUP('Données projet'!$B$14,Paramètres!$A$1:$I$89,3,0)*VLOOKUP('Données projet'!$B$14,Paramètres!$A$1:$I$89,5,0)</f>
        <v>235.51124000000007</v>
      </c>
      <c r="DQ94" s="13">
        <f t="shared" si="97"/>
        <v>57.472693238050574</v>
      </c>
      <c r="DR94" s="20">
        <f t="shared" si="70"/>
        <v>510.28035038960496</v>
      </c>
      <c r="DS94" s="59">
        <f t="shared" si="71"/>
        <v>803.61368372293828</v>
      </c>
      <c r="DT94" s="59">
        <f ca="1">AVERAGE(OFFSET($DS$3,0,0,'Données projet'!$E$14+1,1))-AVERAGE(OFFSET($H$3,0,0,'Données projet'!$E$14+1,1))</f>
        <v>286.10360882057586</v>
      </c>
      <c r="DU94" s="59">
        <f t="shared" si="98"/>
        <v>109.24531387923128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13.026350765530479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13.026350765530479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443.97764033554722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262.42149466677068</v>
      </c>
      <c r="T95" s="59">
        <f t="shared" si="88"/>
        <v>232.7693253699756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-1.0197709343628959E-13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249.37919739649828</v>
      </c>
      <c r="AO95" s="59">
        <f t="shared" si="90"/>
        <v>315.05045383693073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79.82728964493019</v>
      </c>
      <c r="AV95" s="21">
        <f>EXP(-LN(2)/25)*AV94+(1-EXP(-LN(2)/25))/(LN(2)/25)*Calculateur!AQ95*Calculateur!AS95*VLOOKUP('Données projet'!$B$10,Paramètres!$A$1:$I$89,3,0)*0.475*44/12</f>
        <v>16.290887733002485</v>
      </c>
      <c r="AW95" s="21">
        <f>EXP(-LN(2)/2)*AW94+(1-EXP(-LN(2)/2))/(LN(2)/2)*AQ95*AT95*VLOOKUP('Données projet'!$B$10,Paramètres!$A$1:$I$89,3,0)*0.475*44/12</f>
        <v>1.5413807274936497E-4</v>
      </c>
      <c r="AX95" s="21">
        <f t="shared" si="60"/>
        <v>96.118331516005426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210.60000000000005</v>
      </c>
      <c r="BE95" s="13">
        <f>BD95*VLOOKUP('Données projet'!$B$11,Paramètres!$A$1:$I$89,3,0)*VLOOKUP('Données projet'!$B$11,Paramètres!$A$1:$I$89,5,0)</f>
        <v>183.98016000000007</v>
      </c>
      <c r="BF95" s="13">
        <f t="shared" si="91"/>
        <v>46.206568123393758</v>
      </c>
      <c r="BG95" s="20">
        <f t="shared" si="61"/>
        <v>400.9085514815776</v>
      </c>
      <c r="BH95" s="59">
        <f t="shared" si="62"/>
        <v>694.24188481491092</v>
      </c>
      <c r="BI95" s="59">
        <f ca="1">AVERAGE(OFFSET($BH$3,0,0,'Données projet'!$E$11+1,1))-AVERAGE(OFFSET($H$3,0,0,'Données projet'!$E$11+1,1))</f>
        <v>186.80594222554424</v>
      </c>
      <c r="BJ95" s="59">
        <f t="shared" si="92"/>
        <v>179.02867751001872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12.398571913126112</v>
      </c>
      <c r="BQ95" s="21">
        <f>EXP(-LN(2)/25)*BQ94+(1-EXP(-LN(2)/25))/(LN(2)/25)*Calculateur!BL95*Calculateur!BN95*VLOOKUP('Données projet'!$B$11,Paramètres!$A$1:$I$89,3,0)*0.475*44/12</f>
        <v>13.210773273227925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25.609345186354037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6.2512820512820522</v>
      </c>
      <c r="BY95" s="12">
        <f>IF('Données projet'!$A$114&gt;35,BY94+BX95-CG94,IF(A95&lt;'Données projet'!$A$114,$BV$205^A95,IF(A95='Données projet'!$A$114,'Données projet'!$B$114,BY94+BX95-CG94)))</f>
        <v>253.74102564102571</v>
      </c>
      <c r="BZ95" s="13">
        <f>BY95*VLOOKUP('Données projet'!$B$12,Paramètres!$A$1:$I$89,3,0)*VLOOKUP('Données projet'!$B$12,Paramètres!$A$1:$I$89,5,0)</f>
        <v>229.58488000000003</v>
      </c>
      <c r="CA95" s="13">
        <f t="shared" si="93"/>
        <v>56.192913446740498</v>
      </c>
      <c r="CB95" s="20">
        <f t="shared" si="64"/>
        <v>497.72965691973968</v>
      </c>
      <c r="CC95" s="59">
        <f t="shared" si="65"/>
        <v>791.06299025307294</v>
      </c>
      <c r="CD95" s="59">
        <f ca="1">AVERAGE(OFFSET($CC$3,0,0,'Données projet'!$E$12+1,1))-AVERAGE(OFFSET($H$3,0,0,'Données projet'!$E$12+1,1))</f>
        <v>265.17389489035344</v>
      </c>
      <c r="CE95" s="59">
        <f t="shared" si="94"/>
        <v>101.57852403610769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12.142834334325508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12.142834334325508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-1.7053025658242404E-13</v>
      </c>
      <c r="CU95" s="17">
        <f>CT95*VLOOKUP('Données projet'!$B$13,Paramètres!$A$1:$I$89,3,0)*VLOOKUP('Données projet'!$B$13,Paramètres!$A$1:$I$89,5,0)</f>
        <v>-1.0197709343628959E-13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182.34243693018033</v>
      </c>
      <c r="CZ95" s="59">
        <f t="shared" si="96"/>
        <v>182.65916563909786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68.831351882717712</v>
      </c>
      <c r="DG95" s="21">
        <f>EXP(-LN(2)/25)*DG94+(1-EXP(-LN(2)/25))/(LN(2)/25)*Calculateur!DB95*Calculateur!DD95*VLOOKUP('Données projet'!$B$13,Paramètres!$A$1:$I$89,3,0)*0.475*44/12</f>
        <v>14.881541455466985</v>
      </c>
      <c r="DH95" s="21">
        <f>EXP(-LN(2)/2)*DH94+(1-EXP(-LN(2)/2))/(LN(2)/2)*DB95*DE95*VLOOKUP('Données projet'!$B$13,Paramètres!$A$1:$I$89,3,0)*0.475*44/12</f>
        <v>4.877143629452248E-4</v>
      </c>
      <c r="DI95" s="22">
        <f t="shared" si="69"/>
        <v>83.713381052547646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6.2512820512820522</v>
      </c>
      <c r="DO95" s="12">
        <f>IF('Données projet'!$A$166&gt;35,DO94+DN95-DW94,IF(A95&lt;'Données projet'!$A$166,$DL$205^A95,IF(A95='Données projet'!$A$166,'Données projet'!$B$166,DO94+DN95-DW94)))</f>
        <v>253.74102564102571</v>
      </c>
      <c r="DP95" s="17">
        <f>DO95*VLOOKUP('Données projet'!$B$14,Paramètres!$A$1:$I$89,3,0)*VLOOKUP('Données projet'!$B$14,Paramètres!$A$1:$I$89,5,0)</f>
        <v>241.45996000000008</v>
      </c>
      <c r="DQ95" s="13">
        <f t="shared" si="97"/>
        <v>58.753537028940833</v>
      </c>
      <c r="DR95" s="20">
        <f t="shared" si="70"/>
        <v>522.87184065873873</v>
      </c>
      <c r="DS95" s="59">
        <f t="shared" si="71"/>
        <v>816.2051739920721</v>
      </c>
      <c r="DT95" s="59">
        <f ca="1">AVERAGE(OFFSET($DS$3,0,0,'Données projet'!$E$14+1,1))-AVERAGE(OFFSET($H$3,0,0,'Données projet'!$E$14+1,1))</f>
        <v>286.10360882057586</v>
      </c>
      <c r="DU95" s="59">
        <f t="shared" si="98"/>
        <v>109.24531387923128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12.770911972307861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12.770911972307861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445.57292162355361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262.42149466677068</v>
      </c>
      <c r="T96" s="59">
        <f t="shared" si="88"/>
        <v>232.7693253699756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-1.0197709343628959E-13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249.37919739649828</v>
      </c>
      <c r="AO96" s="59">
        <f t="shared" si="90"/>
        <v>315.05045383693073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78.261925184832066</v>
      </c>
      <c r="AV96" s="21">
        <f>EXP(-LN(2)/25)*AV95+(1-EXP(-LN(2)/25))/(LN(2)/25)*Calculateur!AQ96*Calculateur!AS96*VLOOKUP('Données projet'!$B$10,Paramètres!$A$1:$I$89,3,0)*0.475*44/12</f>
        <v>15.84541255124298</v>
      </c>
      <c r="AW96" s="21">
        <f>EXP(-LN(2)/2)*AW95+(1-EXP(-LN(2)/2))/(LN(2)/2)*AQ96*AT96*VLOOKUP('Données projet'!$B$10,Paramètres!$A$1:$I$89,3,0)*0.475*44/12</f>
        <v>1.0899207648010136E-4</v>
      </c>
      <c r="AX96" s="21">
        <f t="shared" si="60"/>
        <v>94.107446728151515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213.40000000000006</v>
      </c>
      <c r="BE96" s="13">
        <f>BD96*VLOOKUP('Données projet'!$B$11,Paramètres!$A$1:$I$89,3,0)*VLOOKUP('Données projet'!$B$11,Paramètres!$A$1:$I$89,5,0)</f>
        <v>186.42624000000009</v>
      </c>
      <c r="BF96" s="13">
        <f t="shared" si="91"/>
        <v>46.748974211060826</v>
      </c>
      <c r="BG96" s="20">
        <f t="shared" si="61"/>
        <v>406.11349808426439</v>
      </c>
      <c r="BH96" s="59">
        <f t="shared" si="62"/>
        <v>699.44683141759765</v>
      </c>
      <c r="BI96" s="59">
        <f ca="1">AVERAGE(OFFSET($BH$3,0,0,'Données projet'!$E$11+1,1))-AVERAGE(OFFSET($H$3,0,0,'Données projet'!$E$11+1,1))</f>
        <v>186.80594222554424</v>
      </c>
      <c r="BJ96" s="59">
        <f t="shared" si="92"/>
        <v>179.02867751001872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12.155443480291853</v>
      </c>
      <c r="BQ96" s="21">
        <f>EXP(-LN(2)/25)*BQ95+(1-EXP(-LN(2)/25))/(LN(2)/25)*Calculateur!BL96*Calculateur!BN96*VLOOKUP('Données projet'!$B$11,Paramètres!$A$1:$I$89,3,0)*0.475*44/12</f>
        <v>12.849523983347135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25.004967463638987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6.2512820512820522</v>
      </c>
      <c r="BY96" s="12">
        <f>IF('Données projet'!$A$114&gt;35,BY95+BX96-CG95,IF(A96&lt;'Données projet'!$A$114,$BV$205^A96,IF(A96='Données projet'!$A$114,'Données projet'!$B$114,BY95+BX96-CG95)))</f>
        <v>259.99230769230775</v>
      </c>
      <c r="BZ96" s="13">
        <f>BY96*VLOOKUP('Données projet'!$B$12,Paramètres!$A$1:$I$89,3,0)*VLOOKUP('Données projet'!$B$12,Paramètres!$A$1:$I$89,5,0)</f>
        <v>235.24104000000005</v>
      </c>
      <c r="CA96" s="13">
        <f t="shared" si="93"/>
        <v>57.414426598394883</v>
      </c>
      <c r="CB96" s="20">
        <f t="shared" si="64"/>
        <v>509.70827099220446</v>
      </c>
      <c r="CC96" s="59">
        <f t="shared" si="65"/>
        <v>803.04160432553772</v>
      </c>
      <c r="CD96" s="59">
        <f ca="1">AVERAGE(OFFSET($CC$3,0,0,'Données projet'!$E$12+1,1))-AVERAGE(OFFSET($H$3,0,0,'Données projet'!$E$12+1,1))</f>
        <v>265.17389489035344</v>
      </c>
      <c r="CE96" s="59">
        <f t="shared" si="94"/>
        <v>101.57852403610769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11.904720759427008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11.904720759427008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-1.7053025658242404E-13</v>
      </c>
      <c r="CU96" s="17">
        <f>CT96*VLOOKUP('Données projet'!$B$13,Paramètres!$A$1:$I$89,3,0)*VLOOKUP('Données projet'!$B$13,Paramètres!$A$1:$I$89,5,0)</f>
        <v>-1.0197709343628959E-13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182.34243693018033</v>
      </c>
      <c r="CZ96" s="59">
        <f t="shared" si="96"/>
        <v>182.65916563909786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67.481611055276787</v>
      </c>
      <c r="DG96" s="21">
        <f>EXP(-LN(2)/25)*DG95+(1-EXP(-LN(2)/25))/(LN(2)/25)*Calculateur!DB96*Calculateur!DD96*VLOOKUP('Données projet'!$B$13,Paramètres!$A$1:$I$89,3,0)*0.475*44/12</f>
        <v>14.474604921780987</v>
      </c>
      <c r="DH96" s="21">
        <f>EXP(-LN(2)/2)*DH95+(1-EXP(-LN(2)/2))/(LN(2)/2)*DB96*DE96*VLOOKUP('Données projet'!$B$13,Paramètres!$A$1:$I$89,3,0)*0.475*44/12</f>
        <v>3.4486613332064553E-4</v>
      </c>
      <c r="DI96" s="22">
        <f t="shared" si="69"/>
        <v>81.956560843191099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6.2512820512820522</v>
      </c>
      <c r="DO96" s="12">
        <f>IF('Données projet'!$A$166&gt;35,DO95+DN96-DW95,IF(A96&lt;'Données projet'!$A$166,$DL$205^A96,IF(A96='Données projet'!$A$166,'Données projet'!$B$166,DO95+DN96-DW95)))</f>
        <v>259.99230769230775</v>
      </c>
      <c r="DP96" s="17">
        <f>DO96*VLOOKUP('Données projet'!$B$14,Paramètres!$A$1:$I$89,3,0)*VLOOKUP('Données projet'!$B$14,Paramètres!$A$1:$I$89,5,0)</f>
        <v>247.40868000000006</v>
      </c>
      <c r="DQ96" s="13">
        <f t="shared" si="97"/>
        <v>60.030712633211394</v>
      </c>
      <c r="DR96" s="20">
        <f t="shared" si="70"/>
        <v>535.45694216950994</v>
      </c>
      <c r="DS96" s="59">
        <f t="shared" si="71"/>
        <v>828.79027550284331</v>
      </c>
      <c r="DT96" s="59">
        <f ca="1">AVERAGE(OFFSET($DS$3,0,0,'Données projet'!$E$14+1,1))-AVERAGE(OFFSET($H$3,0,0,'Données projet'!$E$14+1,1))</f>
        <v>286.10360882057586</v>
      </c>
      <c r="DU96" s="59">
        <f t="shared" si="98"/>
        <v>109.24531387923128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12.520482178018058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12.520482178018058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447.16780477516636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262.42149466677068</v>
      </c>
      <c r="T97" s="59">
        <f t="shared" si="88"/>
        <v>232.7693253699756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-1.0197709343628959E-13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249.37919739649828</v>
      </c>
      <c r="AO97" s="59">
        <f t="shared" si="90"/>
        <v>315.05045383693073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76.727256567018429</v>
      </c>
      <c r="AV97" s="21">
        <f>EXP(-LN(2)/25)*AV96+(1-EXP(-LN(2)/25))/(LN(2)/25)*Calculateur!AQ97*Calculateur!AS97*VLOOKUP('Données projet'!$B$10,Paramètres!$A$1:$I$89,3,0)*0.475*44/12</f>
        <v>15.41211891175521</v>
      </c>
      <c r="AW97" s="21">
        <f>EXP(-LN(2)/2)*AW96+(1-EXP(-LN(2)/2))/(LN(2)/2)*AQ97*AT97*VLOOKUP('Données projet'!$B$10,Paramètres!$A$1:$I$89,3,0)*0.475*44/12</f>
        <v>7.7069036374682485E-5</v>
      </c>
      <c r="AX97" s="21">
        <f t="shared" si="60"/>
        <v>92.139452547810023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216.20000000000007</v>
      </c>
      <c r="BE97" s="13">
        <f>BD97*VLOOKUP('Données projet'!$B$11,Paramètres!$A$1:$I$89,3,0)*VLOOKUP('Données projet'!$B$11,Paramètres!$A$1:$I$89,5,0)</f>
        <v>188.87232000000009</v>
      </c>
      <c r="BF97" s="13">
        <f t="shared" si="91"/>
        <v>47.290552503862891</v>
      </c>
      <c r="BG97" s="20">
        <f t="shared" si="61"/>
        <v>411.31700294422802</v>
      </c>
      <c r="BH97" s="59">
        <f t="shared" si="62"/>
        <v>704.65033627756134</v>
      </c>
      <c r="BI97" s="59">
        <f ca="1">AVERAGE(OFFSET($BH$3,0,0,'Données projet'!$E$11+1,1))-AVERAGE(OFFSET($H$3,0,0,'Données projet'!$E$11+1,1))</f>
        <v>186.80594222554424</v>
      </c>
      <c r="BJ97" s="59">
        <f t="shared" si="92"/>
        <v>179.02867751001872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11.917082647731771</v>
      </c>
      <c r="BQ97" s="21">
        <f>EXP(-LN(2)/25)*BQ96+(1-EXP(-LN(2)/25))/(LN(2)/25)*Calculateur!BL97*Calculateur!BN97*VLOOKUP('Données projet'!$B$11,Paramètres!$A$1:$I$89,3,0)*0.475*44/12</f>
        <v>12.498153074295409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24.41523572202718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266.24358974358972</v>
      </c>
      <c r="BW97" s="12">
        <f>VLOOKUP(A97,'Données projet'!$A$113:$I$133,9,0)</f>
        <v>6.2512820512820522</v>
      </c>
      <c r="BX97" s="12">
        <f t="array" ref="BX97">INDEX(BW:BW,MIN(IF(ISNUMBER(BW97:BW293),ROW(BW97:BW293),"")))</f>
        <v>6.2512820512820522</v>
      </c>
      <c r="BY97" s="12">
        <f>IF('Données projet'!$A$114&gt;35,BY96+BX97-CG96,IF(A97&lt;'Données projet'!$A$114,$BV$205^A97,IF(A97='Données projet'!$A$114,'Données projet'!$B$114,BY96+BX97-CG96)))</f>
        <v>266.24358974358978</v>
      </c>
      <c r="BZ97" s="13">
        <f>BY97*VLOOKUP('Données projet'!$B$12,Paramètres!$A$1:$I$89,3,0)*VLOOKUP('Données projet'!$B$12,Paramètres!$A$1:$I$89,5,0)</f>
        <v>240.8972</v>
      </c>
      <c r="CA97" s="13">
        <f t="shared" si="93"/>
        <v>58.632525491897368</v>
      </c>
      <c r="CB97" s="20">
        <f t="shared" si="64"/>
        <v>521.68093856505448</v>
      </c>
      <c r="CC97" s="59">
        <f t="shared" si="65"/>
        <v>815.01427189838773</v>
      </c>
      <c r="CD97" s="59">
        <f ca="1">AVERAGE(OFFSET($CC$3,0,0,'Données projet'!$E$12+1,1))-AVERAGE(OFFSET($H$3,0,0,'Données projet'!$E$12+1,1))</f>
        <v>265.17389489035344</v>
      </c>
      <c r="CE97" s="59">
        <f t="shared" si="94"/>
        <v>101.57852403610769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47.243589743589745</v>
      </c>
      <c r="CH97" s="16">
        <f>IF(ISNA(VLOOKUP(A97,'Données projet'!$A$113:$I$133,5,0)),0%,VLOOKUP(A97,'Données projet'!$A$113:$I$133,5,0)*VLOOKUP('Données projet'!$B$12,Paramètres!$A$1:$I$89,7,0))</f>
        <v>0.30099999999999999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25.894861936395486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25.894861936395486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-1.7053025658242404E-13</v>
      </c>
      <c r="CU97" s="17">
        <f>CT97*VLOOKUP('Données projet'!$B$13,Paramètres!$A$1:$I$89,3,0)*VLOOKUP('Données projet'!$B$13,Paramètres!$A$1:$I$89,5,0)</f>
        <v>-1.0197709343628959E-13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182.34243693018033</v>
      </c>
      <c r="CZ97" s="59">
        <f t="shared" si="96"/>
        <v>182.65916563909786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66.158337822201375</v>
      </c>
      <c r="DG97" s="21">
        <f>EXP(-LN(2)/25)*DG96+(1-EXP(-LN(2)/25))/(LN(2)/25)*Calculateur!DB97*Calculateur!DD97*VLOOKUP('Données projet'!$B$13,Paramètres!$A$1:$I$89,3,0)*0.475*44/12</f>
        <v>14.078796089008495</v>
      </c>
      <c r="DH97" s="21">
        <f>EXP(-LN(2)/2)*DH96+(1-EXP(-LN(2)/2))/(LN(2)/2)*DB97*DE97*VLOOKUP('Données projet'!$B$13,Paramètres!$A$1:$I$89,3,0)*0.475*44/12</f>
        <v>2.4385718147261243E-4</v>
      </c>
      <c r="DI97" s="22">
        <f t="shared" si="69"/>
        <v>80.23737776839134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>
        <f>VLOOKUP(A97,'Données projet'!$A$165:$I$185,2,0)</f>
        <v>266.24358974358972</v>
      </c>
      <c r="DM97" s="12">
        <f>VLOOKUP(A97,'Données projet'!$A$165:$I$185,9,0)</f>
        <v>6.2512820512820522</v>
      </c>
      <c r="DN97" s="12">
        <f t="array" ref="DN97">INDEX(DM:DM,MIN(IF(ISNUMBER(DM97:DM293),ROW(DM97:DM293),"")))</f>
        <v>6.2512820512820522</v>
      </c>
      <c r="DO97" s="12">
        <f>IF('Données projet'!$A$166&gt;35,DO96+DN97-DW96,IF(A97&lt;'Données projet'!$A$166,$DL$205^A97,IF(A97='Données projet'!$A$166,'Données projet'!$B$166,DO96+DN97-DW96)))</f>
        <v>266.24358974358978</v>
      </c>
      <c r="DP97" s="17">
        <f>DO97*VLOOKUP('Données projet'!$B$14,Paramètres!$A$1:$I$89,3,0)*VLOOKUP('Données projet'!$B$14,Paramètres!$A$1:$I$89,5,0)</f>
        <v>253.35740000000004</v>
      </c>
      <c r="DQ97" s="13">
        <f t="shared" si="97"/>
        <v>61.304318396901536</v>
      </c>
      <c r="DR97" s="20">
        <f t="shared" si="70"/>
        <v>548.03582620793679</v>
      </c>
      <c r="DS97" s="59">
        <f t="shared" si="71"/>
        <v>841.36915954127016</v>
      </c>
      <c r="DT97" s="59">
        <f ca="1">AVERAGE(OFFSET($DS$3,0,0,'Données projet'!$E$14+1,1))-AVERAGE(OFFSET($H$3,0,0,'Données projet'!$E$14+1,1))</f>
        <v>286.10360882057586</v>
      </c>
      <c r="DU97" s="59">
        <f t="shared" si="98"/>
        <v>109.24531387923128</v>
      </c>
      <c r="DV97" s="15">
        <f>IF(ISNA(VLOOKUP(A97,'Données projet'!$A$165:$I$185,3,0)),0,VLOOKUP(A97,'Données projet'!$A$165:$I$185,3,0))</f>
        <v>7</v>
      </c>
      <c r="DW97" s="15">
        <f>IF(ISNA(VLOOKUP(A97,'Données projet'!$A$165:$I$185,4,0)),0,VLOOKUP(A97,'Données projet'!$A$165:$I$185,4,0))</f>
        <v>47.243589743589745</v>
      </c>
      <c r="DX97" s="16">
        <f>IF(ISNA(VLOOKUP(A97,'Données projet'!$A$165:$I$185,5,0)),0%,VLOOKUP(A97,'Données projet'!$A$165:$I$185,5,0)*VLOOKUP('Données projet'!$B$14,Paramètres!$A$1:$I$89,7,0))</f>
        <v>0.30099999999999999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27.234251346898702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27.234251346898702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448.76229451614319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262.42149466677068</v>
      </c>
      <c r="T98" s="59">
        <f t="shared" si="88"/>
        <v>232.7693253699756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-1.0197709343628959E-13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249.37919739649828</v>
      </c>
      <c r="AO98" s="59">
        <f t="shared" si="90"/>
        <v>315.05045383693073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75.222681864744686</v>
      </c>
      <c r="AV98" s="21">
        <f>EXP(-LN(2)/25)*AV97+(1-EXP(-LN(2)/25))/(LN(2)/25)*Calculateur!AQ98*Calculateur!AS98*VLOOKUP('Données projet'!$B$10,Paramètres!$A$1:$I$89,3,0)*0.475*44/12</f>
        <v>14.990673709625154</v>
      </c>
      <c r="AW98" s="21">
        <f>EXP(-LN(2)/2)*AW97+(1-EXP(-LN(2)/2))/(LN(2)/2)*AQ98*AT98*VLOOKUP('Données projet'!$B$10,Paramètres!$A$1:$I$89,3,0)*0.475*44/12</f>
        <v>5.4496038240050681E-5</v>
      </c>
      <c r="AX98" s="21">
        <f t="shared" si="60"/>
        <v>90.213410070408088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219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219.00000000000009</v>
      </c>
      <c r="BE98" s="13">
        <f>BD98*VLOOKUP('Données projet'!$B$11,Paramètres!$A$1:$I$89,3,0)*VLOOKUP('Données projet'!$B$11,Paramètres!$A$1:$I$89,5,0)</f>
        <v>191.31840000000008</v>
      </c>
      <c r="BF98" s="13">
        <f t="shared" si="91"/>
        <v>47.831314962098396</v>
      </c>
      <c r="BG98" s="20">
        <f t="shared" si="61"/>
        <v>416.51908689232147</v>
      </c>
      <c r="BH98" s="59">
        <f t="shared" si="62"/>
        <v>709.85242022565478</v>
      </c>
      <c r="BI98" s="59">
        <f ca="1">AVERAGE(OFFSET($BH$3,0,0,'Données projet'!$E$11+1,1))-AVERAGE(OFFSET($H$3,0,0,'Données projet'!$E$11+1,1))</f>
        <v>186.80594222554424</v>
      </c>
      <c r="BJ98" s="59">
        <f t="shared" si="92"/>
        <v>179.02867751001872</v>
      </c>
      <c r="BK98" s="15">
        <f>IF(ISNA(VLOOKUP(A98,'Données projet'!$A$87:$I$107,3,0)),0,VLOOKUP(A98,'Données projet'!$A$87:$I$107,3,0))</f>
        <v>16</v>
      </c>
      <c r="BL98" s="15" t="str">
        <f>IF(ISNA(VLOOKUP(A98,'Données projet'!$A$87:$I$107,4,0)),0,VLOOKUP(A98,'Données projet'!$A$87:$I$107,4,0))</f>
        <v>11</v>
      </c>
      <c r="BM98" s="16">
        <f>IF(ISNA(VLOOKUP(A98,'Données projet'!$A$87:$I$107,5,0)),0%,VLOOKUP(A98,'Données projet'!$A$87:$I$107,5,0)*VLOOKUP('Données projet'!$B$11,Paramètres!$A$1:$I$89,7,0))</f>
        <v>0.215</v>
      </c>
      <c r="BN98" s="16">
        <f>IF(ISNA(VLOOKUP(A98,'Données projet'!$A$87:$I$107,6,0)),0%,VLOOKUP(A98,'Données projet'!$A$87:$I$107,6,0)*VLOOKUP('Données projet'!$B$11,Paramètres!$A$1:$I$89,7,0))</f>
        <v>0.17200000000000001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13.967368479931807</v>
      </c>
      <c r="BQ98" s="21">
        <f>EXP(-LN(2)/25)*BQ97+(1-EXP(-LN(2)/25))/(LN(2)/25)*Calculateur!BL98*Calculateur!BN98*VLOOKUP('Données projet'!$B$11,Paramètres!$A$1:$I$89,3,0)*0.475*44/12</f>
        <v>13.976374168438802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27.943742648370609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6.071794871794876</v>
      </c>
      <c r="BY98" s="12">
        <f>IF('Données projet'!$A$114&gt;35,BY97+BX98-CG97,IF(A98&lt;'Données projet'!$A$114,$BV$205^A98,IF(A98='Données projet'!$A$114,'Données projet'!$B$114,BY97+BX98-CG97)))</f>
        <v>225.07179487179488</v>
      </c>
      <c r="BZ98" s="13">
        <f>BY98*VLOOKUP('Données projet'!$B$12,Paramètres!$A$1:$I$89,3,0)*VLOOKUP('Données projet'!$B$12,Paramètres!$A$1:$I$89,5,0)</f>
        <v>203.64496</v>
      </c>
      <c r="CA98" s="13">
        <f t="shared" si="93"/>
        <v>50.544375656527151</v>
      </c>
      <c r="CB98" s="20">
        <f t="shared" si="64"/>
        <v>442.71309293511808</v>
      </c>
      <c r="CC98" s="59">
        <f t="shared" si="65"/>
        <v>736.04642626845134</v>
      </c>
      <c r="CD98" s="59">
        <f ca="1">AVERAGE(OFFSET($CC$3,0,0,'Données projet'!$E$12+1,1))-AVERAGE(OFFSET($H$3,0,0,'Données projet'!$E$12+1,1))</f>
        <v>265.17389489035344</v>
      </c>
      <c r="CE98" s="59">
        <f t="shared" si="94"/>
        <v>101.57852403610769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25.387079488128993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25.387079488128993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-1.7053025658242404E-13</v>
      </c>
      <c r="CU98" s="17">
        <f>CT98*VLOOKUP('Données projet'!$B$13,Paramètres!$A$1:$I$89,3,0)*VLOOKUP('Données projet'!$B$13,Paramètres!$A$1:$I$89,5,0)</f>
        <v>-1.0197709343628959E-13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182.34243693018033</v>
      </c>
      <c r="CZ98" s="59">
        <f t="shared" si="96"/>
        <v>182.65916563909786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64.861013170109587</v>
      </c>
      <c r="DG98" s="21">
        <f>EXP(-LN(2)/25)*DG97+(1-EXP(-LN(2)/25))/(LN(2)/25)*Calculateur!DB98*Calculateur!DD98*VLOOKUP('Données projet'!$B$13,Paramètres!$A$1:$I$89,3,0)*0.475*44/12</f>
        <v>13.693810669582849</v>
      </c>
      <c r="DH98" s="21">
        <f>EXP(-LN(2)/2)*DH97+(1-EXP(-LN(2)/2))/(LN(2)/2)*DB98*DE98*VLOOKUP('Données projet'!$B$13,Paramètres!$A$1:$I$89,3,0)*0.475*44/12</f>
        <v>1.7243306666032279E-4</v>
      </c>
      <c r="DI98" s="22">
        <f t="shared" si="69"/>
        <v>78.554996272759098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6.071794871794876</v>
      </c>
      <c r="DO98" s="12">
        <f>IF('Données projet'!$A$166&gt;35,DO97+DN98-DW97,IF(A98&lt;'Données projet'!$A$166,$DL$205^A98,IF(A98='Données projet'!$A$166,'Données projet'!$B$166,DO97+DN98-DW97)))</f>
        <v>225.07179487179488</v>
      </c>
      <c r="DP98" s="17">
        <f>DO98*VLOOKUP('Données projet'!$B$14,Paramètres!$A$1:$I$89,3,0)*VLOOKUP('Données projet'!$B$14,Paramètres!$A$1:$I$89,5,0)</f>
        <v>214.17832000000004</v>
      </c>
      <c r="DQ98" s="13">
        <f t="shared" si="97"/>
        <v>52.847604165516408</v>
      </c>
      <c r="DR98" s="20">
        <f t="shared" si="70"/>
        <v>465.07015125494121</v>
      </c>
      <c r="DS98" s="59">
        <f t="shared" si="71"/>
        <v>758.40348458827452</v>
      </c>
      <c r="DT98" s="59">
        <f ca="1">AVERAGE(OFFSET($DS$3,0,0,'Données projet'!$E$14+1,1))-AVERAGE(OFFSET($H$3,0,0,'Données projet'!$E$14+1,1))</f>
        <v>286.10360882057586</v>
      </c>
      <c r="DU98" s="59">
        <f t="shared" si="98"/>
        <v>109.24531387923128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26.700204289239114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26.700204289239114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450.35639546702049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262.42149466677068</v>
      </c>
      <c r="T99" s="59">
        <f t="shared" si="88"/>
        <v>232.7693253699756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-1.0197709343628959E-13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249.37919739649828</v>
      </c>
      <c r="AO99" s="59">
        <f t="shared" si="90"/>
        <v>315.05045383693073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73.747610954682571</v>
      </c>
      <c r="AV99" s="21">
        <f>EXP(-LN(2)/25)*AV98+(1-EXP(-LN(2)/25))/(LN(2)/25)*Calculateur!AQ99*Calculateur!AS99*VLOOKUP('Données projet'!$B$10,Paramètres!$A$1:$I$89,3,0)*0.475*44/12</f>
        <v>14.580752948710186</v>
      </c>
      <c r="AW99" s="21">
        <f>EXP(-LN(2)/2)*AW98+(1-EXP(-LN(2)/2))/(LN(2)/2)*AQ99*AT99*VLOOKUP('Données projet'!$B$10,Paramètres!$A$1:$I$89,3,0)*0.475*44/12</f>
        <v>3.8534518187341243E-5</v>
      </c>
      <c r="AX99" s="21">
        <f t="shared" si="60"/>
        <v>88.328402437910938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</v>
      </c>
      <c r="BD99" s="12">
        <f>IF('Données projet'!$A$88&gt;35,BD98+BC99-BL98,IF(A99&lt;'Données projet'!$A$88,$BA$205^A99,IF(A99='Données projet'!$A$88,'Données projet'!$B$88,BD98+BC99-BL98)))</f>
        <v>211.00000000000009</v>
      </c>
      <c r="BE99" s="13">
        <f>BD99*VLOOKUP('Données projet'!$B$11,Paramètres!$A$1:$I$89,3,0)*VLOOKUP('Données projet'!$B$11,Paramètres!$A$1:$I$89,5,0)</f>
        <v>184.32960000000008</v>
      </c>
      <c r="BF99" s="13">
        <f t="shared" si="91"/>
        <v>46.284105851003098</v>
      </c>
      <c r="BG99" s="20">
        <f t="shared" si="61"/>
        <v>401.65220435716384</v>
      </c>
      <c r="BH99" s="59">
        <f t="shared" si="62"/>
        <v>694.98553769049715</v>
      </c>
      <c r="BI99" s="59">
        <f ca="1">AVERAGE(OFFSET($BH$3,0,0,'Données projet'!$E$11+1,1))-AVERAGE(OFFSET($H$3,0,0,'Données projet'!$E$11+1,1))</f>
        <v>186.80594222554424</v>
      </c>
      <c r="BJ99" s="59">
        <f t="shared" si="92"/>
        <v>179.02867751001872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13.693476903293911</v>
      </c>
      <c r="BQ99" s="21">
        <f>EXP(-LN(2)/25)*BQ98+(1-EXP(-LN(2)/25))/(LN(2)/25)*Calculateur!BL99*Calculateur!BN99*VLOOKUP('Données projet'!$B$11,Paramètres!$A$1:$I$89,3,0)*0.475*44/12</f>
        <v>13.594189481817269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27.28766638511118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6.071794871794876</v>
      </c>
      <c r="BY99" s="12">
        <f>IF('Données projet'!$A$114&gt;35,BY98+BX99-CG98,IF(A99&lt;'Données projet'!$A$114,$BV$205^A99,IF(A99='Données projet'!$A$114,'Données projet'!$B$114,BY98+BX99-CG98)))</f>
        <v>231.14358974358976</v>
      </c>
      <c r="BZ99" s="13">
        <f>BY99*VLOOKUP('Données projet'!$B$12,Paramètres!$A$1:$I$89,3,0)*VLOOKUP('Données projet'!$B$12,Paramètres!$A$1:$I$89,5,0)</f>
        <v>209.13872000000001</v>
      </c>
      <c r="CA99" s="13">
        <f t="shared" si="93"/>
        <v>51.747329354497921</v>
      </c>
      <c r="CB99" s="20">
        <f t="shared" si="64"/>
        <v>454.37653595908381</v>
      </c>
      <c r="CC99" s="59">
        <f t="shared" si="65"/>
        <v>747.70986929241712</v>
      </c>
      <c r="CD99" s="59">
        <f ca="1">AVERAGE(OFFSET($CC$3,0,0,'Données projet'!$E$12+1,1))-AVERAGE(OFFSET($H$3,0,0,'Données projet'!$E$12+1,1))</f>
        <v>265.17389489035344</v>
      </c>
      <c r="CE99" s="59">
        <f t="shared" si="94"/>
        <v>101.57852403610769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24.889254343956296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24.889254343956296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-1.7053025658242404E-13</v>
      </c>
      <c r="CU99" s="17">
        <f>CT99*VLOOKUP('Données projet'!$B$13,Paramètres!$A$1:$I$89,3,0)*VLOOKUP('Données projet'!$B$13,Paramètres!$A$1:$I$89,5,0)</f>
        <v>-1.0197709343628959E-13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182.34243693018033</v>
      </c>
      <c r="CZ99" s="59">
        <f t="shared" si="96"/>
        <v>182.65916563909786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63.589128263155416</v>
      </c>
      <c r="DG99" s="21">
        <f>EXP(-LN(2)/25)*DG98+(1-EXP(-LN(2)/25))/(LN(2)/25)*Calculateur!DB99*Calculateur!DD99*VLOOKUP('Données projet'!$B$13,Paramètres!$A$1:$I$89,3,0)*0.475*44/12</f>
        <v>13.3193526966969</v>
      </c>
      <c r="DH99" s="21">
        <f>EXP(-LN(2)/2)*DH98+(1-EXP(-LN(2)/2))/(LN(2)/2)*DB99*DE99*VLOOKUP('Données projet'!$B$13,Paramètres!$A$1:$I$89,3,0)*0.475*44/12</f>
        <v>1.2192859073630624E-4</v>
      </c>
      <c r="DI99" s="22">
        <f t="shared" si="69"/>
        <v>76.908602888443042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6.071794871794876</v>
      </c>
      <c r="DO99" s="12">
        <f>IF('Données projet'!$A$166&gt;35,DO98+DN99-DW98,IF(A99&lt;'Données projet'!$A$166,$DL$205^A99,IF(A99='Données projet'!$A$166,'Données projet'!$B$166,DO98+DN99-DW98)))</f>
        <v>231.14358974358976</v>
      </c>
      <c r="DP99" s="17">
        <f>DO99*VLOOKUP('Données projet'!$B$14,Paramètres!$A$1:$I$89,3,0)*VLOOKUP('Données projet'!$B$14,Paramètres!$A$1:$I$89,5,0)</f>
        <v>219.95624000000001</v>
      </c>
      <c r="DQ99" s="13">
        <f t="shared" si="97"/>
        <v>54.10537459069311</v>
      </c>
      <c r="DR99" s="20">
        <f t="shared" si="70"/>
        <v>477.32397874545717</v>
      </c>
      <c r="DS99" s="59">
        <f t="shared" si="71"/>
        <v>770.65731207879048</v>
      </c>
      <c r="DT99" s="59">
        <f ca="1">AVERAGE(OFFSET($DS$3,0,0,'Données projet'!$E$14+1,1))-AVERAGE(OFFSET($H$3,0,0,'Données projet'!$E$14+1,1))</f>
        <v>286.10360882057586</v>
      </c>
      <c r="DU99" s="59">
        <f t="shared" si="98"/>
        <v>109.24531387923128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26.176629568643691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26.176629568643691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451.95011214652754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262.42149466677068</v>
      </c>
      <c r="T100" s="59">
        <f t="shared" si="88"/>
        <v>232.7693253699756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-1.0197709343628959E-13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249.37919739649828</v>
      </c>
      <c r="AO100" s="59">
        <f t="shared" si="90"/>
        <v>315.05045383693073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72.301465285462371</v>
      </c>
      <c r="AV100" s="21">
        <f>EXP(-LN(2)/25)*AV99+(1-EXP(-LN(2)/25))/(LN(2)/25)*Calculateur!AQ100*Calculateur!AS100*VLOOKUP('Données projet'!$B$10,Paramètres!$A$1:$I$89,3,0)*0.475*44/12</f>
        <v>14.182041492559234</v>
      </c>
      <c r="AW100" s="21">
        <f>EXP(-LN(2)/2)*AW99+(1-EXP(-LN(2)/2))/(LN(2)/2)*AQ100*AT100*VLOOKUP('Données projet'!$B$10,Paramètres!$A$1:$I$89,3,0)*0.475*44/12</f>
        <v>2.724801912002534E-5</v>
      </c>
      <c r="AX100" s="21">
        <f t="shared" si="60"/>
        <v>86.483534026040729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</v>
      </c>
      <c r="BD100" s="12">
        <f>IF('Données projet'!$A$88&gt;35,BD99+BC100-BL99,IF(A100&lt;'Données projet'!$A$88,$BA$205^A100,IF(A100='Données projet'!$A$88,'Données projet'!$B$88,BD99+BC100-BL99)))</f>
        <v>214.00000000000009</v>
      </c>
      <c r="BE100" s="13">
        <f>BD100*VLOOKUP('Données projet'!$B$11,Paramètres!$A$1:$I$89,3,0)*VLOOKUP('Données projet'!$B$11,Paramètres!$A$1:$I$89,5,0)</f>
        <v>186.95040000000009</v>
      </c>
      <c r="BF100" s="13">
        <f t="shared" si="91"/>
        <v>46.865095976617653</v>
      </c>
      <c r="BG100" s="20">
        <f t="shared" si="61"/>
        <v>407.22865549260922</v>
      </c>
      <c r="BH100" s="59">
        <f t="shared" si="62"/>
        <v>700.56198882594254</v>
      </c>
      <c r="BI100" s="59">
        <f ca="1">AVERAGE(OFFSET($BH$3,0,0,'Données projet'!$E$11+1,1))-AVERAGE(OFFSET($H$3,0,0,'Données projet'!$E$11+1,1))</f>
        <v>186.80594222554424</v>
      </c>
      <c r="BJ100" s="59">
        <f t="shared" si="92"/>
        <v>179.02867751001872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13.424956173416518</v>
      </c>
      <c r="BQ100" s="21">
        <f>EXP(-LN(2)/25)*BQ99+(1-EXP(-LN(2)/25))/(LN(2)/25)*Calculateur!BL100*Calculateur!BN100*VLOOKUP('Données projet'!$B$11,Paramètres!$A$1:$I$89,3,0)*0.475*44/12</f>
        <v>13.22245565554962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26.647411828966138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6.071794871794876</v>
      </c>
      <c r="BY100" s="12">
        <f>IF('Données projet'!$A$114&gt;35,BY99+BX100-CG99,IF(A100&lt;'Données projet'!$A$114,$BV$205^A100,IF(A100='Données projet'!$A$114,'Données projet'!$B$114,BY99+BX100-CG99)))</f>
        <v>237.21538461538464</v>
      </c>
      <c r="BZ100" s="13">
        <f>BY100*VLOOKUP('Données projet'!$B$12,Paramètres!$A$1:$I$89,3,0)*VLOOKUP('Données projet'!$B$12,Paramètres!$A$1:$I$89,5,0)</f>
        <v>214.63248000000002</v>
      </c>
      <c r="CA100" s="13">
        <f t="shared" si="93"/>
        <v>52.946610008544852</v>
      </c>
      <c r="CB100" s="20">
        <f t="shared" si="64"/>
        <v>466.03358176488229</v>
      </c>
      <c r="CC100" s="59">
        <f t="shared" si="65"/>
        <v>759.3669150982156</v>
      </c>
      <c r="CD100" s="59">
        <f ca="1">AVERAGE(OFFSET($CC$3,0,0,'Données projet'!$E$12+1,1))-AVERAGE(OFFSET($H$3,0,0,'Données projet'!$E$12+1,1))</f>
        <v>265.17389489035344</v>
      </c>
      <c r="CE100" s="59">
        <f t="shared" si="94"/>
        <v>101.57852403610769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24.401191247217469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24.401191247217469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-1.7053025658242404E-13</v>
      </c>
      <c r="CU100" s="17">
        <f>CT100*VLOOKUP('Données projet'!$B$13,Paramètres!$A$1:$I$89,3,0)*VLOOKUP('Données projet'!$B$13,Paramètres!$A$1:$I$89,5,0)</f>
        <v>-1.0197709343628959E-13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182.34243693018033</v>
      </c>
      <c r="CZ100" s="59">
        <f t="shared" si="96"/>
        <v>182.65916563909786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62.342184243453424</v>
      </c>
      <c r="DG100" s="21">
        <f>EXP(-LN(2)/25)*DG99+(1-EXP(-LN(2)/25))/(LN(2)/25)*Calculateur!DB100*Calculateur!DD100*VLOOKUP('Données projet'!$B$13,Paramètres!$A$1:$I$89,3,0)*0.475*44/12</f>
        <v>12.955134296771407</v>
      </c>
      <c r="DH100" s="21">
        <f>EXP(-LN(2)/2)*DH99+(1-EXP(-LN(2)/2))/(LN(2)/2)*DB100*DE100*VLOOKUP('Données projet'!$B$13,Paramètres!$A$1:$I$89,3,0)*0.475*44/12</f>
        <v>8.6216533330161409E-5</v>
      </c>
      <c r="DI100" s="22">
        <f t="shared" si="69"/>
        <v>75.297404756758169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6.071794871794876</v>
      </c>
      <c r="DO100" s="12">
        <f>IF('Données projet'!$A$166&gt;35,DO99+DN100-DW99,IF(A100&lt;'Données projet'!$A$166,$DL$205^A100,IF(A100='Données projet'!$A$166,'Données projet'!$B$166,DO99+DN100-DW99)))</f>
        <v>237.21538461538464</v>
      </c>
      <c r="DP100" s="17">
        <f>DO100*VLOOKUP('Données projet'!$B$14,Paramètres!$A$1:$I$89,3,0)*VLOOKUP('Données projet'!$B$14,Paramètres!$A$1:$I$89,5,0)</f>
        <v>225.73416000000003</v>
      </c>
      <c r="DQ100" s="13">
        <f t="shared" si="97"/>
        <v>55.359304597052812</v>
      </c>
      <c r="DR100" s="20">
        <f t="shared" si="70"/>
        <v>489.57111750653371</v>
      </c>
      <c r="DS100" s="59">
        <f t="shared" si="71"/>
        <v>782.90445083986697</v>
      </c>
      <c r="DT100" s="59">
        <f ca="1">AVERAGE(OFFSET($DS$3,0,0,'Données projet'!$E$14+1,1))-AVERAGE(OFFSET($H$3,0,0,'Données projet'!$E$14+1,1))</f>
        <v>286.10360882057586</v>
      </c>
      <c r="DU100" s="59">
        <f t="shared" si="98"/>
        <v>109.24531387923128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25.663321828970098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25.663321828970098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453.54344897485515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262.42149466677068</v>
      </c>
      <c r="T101" s="59">
        <f t="shared" si="88"/>
        <v>232.7693253699756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-1.0197709343628959E-13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249.37919739649828</v>
      </c>
      <c r="AO101" s="59">
        <f t="shared" si="90"/>
        <v>315.05045383693073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70.88367765075381</v>
      </c>
      <c r="AV101" s="21">
        <f>EXP(-LN(2)/25)*AV100+(1-EXP(-LN(2)/25))/(LN(2)/25)*Calculateur!AQ101*Calculateur!AS101*VLOOKUP('Données projet'!$B$10,Paramètres!$A$1:$I$89,3,0)*0.475*44/12</f>
        <v>13.794232822144053</v>
      </c>
      <c r="AW101" s="21">
        <f>EXP(-LN(2)/2)*AW100+(1-EXP(-LN(2)/2))/(LN(2)/2)*AQ101*AT101*VLOOKUP('Données projet'!$B$10,Paramètres!$A$1:$I$89,3,0)*0.475*44/12</f>
        <v>1.9267259093670621E-5</v>
      </c>
      <c r="AX101" s="21">
        <f t="shared" si="60"/>
        <v>84.677929740156955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</v>
      </c>
      <c r="BD101" s="12">
        <f>IF('Données projet'!$A$88&gt;35,BD100+BC101-BL100,IF(A101&lt;'Données projet'!$A$88,$BA$205^A101,IF(A101='Données projet'!$A$88,'Données projet'!$B$88,BD100+BC101-BL100)))</f>
        <v>217.00000000000009</v>
      </c>
      <c r="BE101" s="13">
        <f>BD101*VLOOKUP('Données projet'!$B$11,Paramètres!$A$1:$I$89,3,0)*VLOOKUP('Données projet'!$B$11,Paramètres!$A$1:$I$89,5,0)</f>
        <v>189.57120000000009</v>
      </c>
      <c r="BF101" s="13">
        <f t="shared" si="91"/>
        <v>47.445138796932483</v>
      </c>
      <c r="BG101" s="20">
        <f t="shared" si="61"/>
        <v>412.80345673799087</v>
      </c>
      <c r="BH101" s="59">
        <f t="shared" si="62"/>
        <v>706.13679007132419</v>
      </c>
      <c r="BI101" s="59">
        <f ca="1">AVERAGE(OFFSET($BH$3,0,0,'Données projet'!$E$11+1,1))-AVERAGE(OFFSET($H$3,0,0,'Données projet'!$E$11+1,1))</f>
        <v>186.80594222554424</v>
      </c>
      <c r="BJ101" s="59">
        <f t="shared" si="92"/>
        <v>179.02867751001872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13.161700971270548</v>
      </c>
      <c r="BQ101" s="21">
        <f>EXP(-LN(2)/25)*BQ100+(1-EXP(-LN(2)/25))/(LN(2)/25)*Calculateur!BL101*Calculateur!BN101*VLOOKUP('Données projet'!$B$11,Paramètres!$A$1:$I$89,3,0)*0.475*44/12</f>
        <v>12.860886910309892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26.022587881580442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6.071794871794876</v>
      </c>
      <c r="BY101" s="12">
        <f>IF('Données projet'!$A$114&gt;35,BY100+BX101-CG100,IF(A101&lt;'Données projet'!$A$114,$BV$205^A101,IF(A101='Données projet'!$A$114,'Données projet'!$B$114,BY100+BX101-CG100)))</f>
        <v>243.28717948717951</v>
      </c>
      <c r="BZ101" s="13">
        <f>BY101*VLOOKUP('Données projet'!$B$12,Paramètres!$A$1:$I$89,3,0)*VLOOKUP('Données projet'!$B$12,Paramètres!$A$1:$I$89,5,0)</f>
        <v>220.12624000000002</v>
      </c>
      <c r="CA101" s="13">
        <f t="shared" si="93"/>
        <v>54.142322444750825</v>
      </c>
      <c r="CB101" s="20">
        <f t="shared" si="64"/>
        <v>477.68441292460778</v>
      </c>
      <c r="CC101" s="59">
        <f t="shared" si="65"/>
        <v>771.0177462579411</v>
      </c>
      <c r="CD101" s="59">
        <f ca="1">AVERAGE(OFFSET($CC$3,0,0,'Données projet'!$E$12+1,1))-AVERAGE(OFFSET($H$3,0,0,'Données projet'!$E$12+1,1))</f>
        <v>265.17389489035344</v>
      </c>
      <c r="CE101" s="59">
        <f t="shared" si="94"/>
        <v>101.57852403610769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23.922698770116597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23.922698770116597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-1.7053025658242404E-13</v>
      </c>
      <c r="CU101" s="17">
        <f>CT101*VLOOKUP('Données projet'!$B$13,Paramètres!$A$1:$I$89,3,0)*VLOOKUP('Données projet'!$B$13,Paramètres!$A$1:$I$89,5,0)</f>
        <v>-1.0197709343628959E-13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182.34243693018033</v>
      </c>
      <c r="CZ101" s="59">
        <f t="shared" si="96"/>
        <v>182.65916563909786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61.119692035417039</v>
      </c>
      <c r="DG101" s="21">
        <f>EXP(-LN(2)/25)*DG100+(1-EXP(-LN(2)/25))/(LN(2)/25)*Calculateur!DB101*Calculateur!DD101*VLOOKUP('Données projet'!$B$13,Paramètres!$A$1:$I$89,3,0)*0.475*44/12</f>
        <v>12.60087546814529</v>
      </c>
      <c r="DH101" s="21">
        <f>EXP(-LN(2)/2)*DH100+(1-EXP(-LN(2)/2))/(LN(2)/2)*DB101*DE101*VLOOKUP('Données projet'!$B$13,Paramètres!$A$1:$I$89,3,0)*0.475*44/12</f>
        <v>6.0964295368153128E-5</v>
      </c>
      <c r="DI101" s="22">
        <f t="shared" si="69"/>
        <v>73.720628467857708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6.071794871794876</v>
      </c>
      <c r="DO101" s="12">
        <f>IF('Données projet'!$A$166&gt;35,DO100+DN101-DW100,IF(A101&lt;'Données projet'!$A$166,$DL$205^A101,IF(A101='Données projet'!$A$166,'Données projet'!$B$166,DO100+DN101-DW100)))</f>
        <v>243.28717948717951</v>
      </c>
      <c r="DP101" s="17">
        <f>DO101*VLOOKUP('Données projet'!$B$14,Paramètres!$A$1:$I$89,3,0)*VLOOKUP('Données projet'!$B$14,Paramètres!$A$1:$I$89,5,0)</f>
        <v>231.51208000000005</v>
      </c>
      <c r="DQ101" s="13">
        <f t="shared" si="97"/>
        <v>56.609503787439657</v>
      </c>
      <c r="DR101" s="20">
        <f t="shared" si="70"/>
        <v>501.81175842979081</v>
      </c>
      <c r="DS101" s="59">
        <f t="shared" si="71"/>
        <v>795.14509176312413</v>
      </c>
      <c r="DT101" s="59">
        <f ca="1">AVERAGE(OFFSET($DS$3,0,0,'Données projet'!$E$14+1,1))-AVERAGE(OFFSET($H$3,0,0,'Données projet'!$E$14+1,1))</f>
        <v>286.10360882057586</v>
      </c>
      <c r="DU101" s="59">
        <f t="shared" si="98"/>
        <v>109.24531387923128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25.160079740984695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25.160079740984695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455.13641027678796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262.42149466677068</v>
      </c>
      <c r="T102" s="59">
        <f t="shared" si="88"/>
        <v>232.7693253699756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-1.0197709343628959E-13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249.37919739649828</v>
      </c>
      <c r="AO102" s="59">
        <f t="shared" si="90"/>
        <v>315.05045383693073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69.493691966796817</v>
      </c>
      <c r="AV102" s="21">
        <f>EXP(-LN(2)/25)*AV101+(1-EXP(-LN(2)/25))/(LN(2)/25)*Calculateur!AQ102*Calculateur!AS102*VLOOKUP('Données projet'!$B$10,Paramètres!$A$1:$I$89,3,0)*0.475*44/12</f>
        <v>13.417028800215347</v>
      </c>
      <c r="AW102" s="21">
        <f>EXP(-LN(2)/2)*AW101+(1-EXP(-LN(2)/2))/(LN(2)/2)*AQ102*AT102*VLOOKUP('Données projet'!$B$10,Paramètres!$A$1:$I$89,3,0)*0.475*44/12</f>
        <v>1.362400956001267E-5</v>
      </c>
      <c r="AX102" s="21">
        <f t="shared" si="60"/>
        <v>82.91073439102172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</v>
      </c>
      <c r="BD102" s="12">
        <f>IF('Données projet'!$A$88&gt;35,BD101+BC102-BL101,IF(A102&lt;'Données projet'!$A$88,$BA$205^A102,IF(A102='Données projet'!$A$88,'Données projet'!$B$88,BD101+BC102-BL101)))</f>
        <v>220.00000000000009</v>
      </c>
      <c r="BE102" s="13">
        <f>BD102*VLOOKUP('Données projet'!$B$11,Paramètres!$A$1:$I$89,3,0)*VLOOKUP('Données projet'!$B$11,Paramètres!$A$1:$I$89,5,0)</f>
        <v>192.19200000000009</v>
      </c>
      <c r="BF102" s="13">
        <f t="shared" si="91"/>
        <v>48.024248921932482</v>
      </c>
      <c r="BG102" s="20">
        <f t="shared" si="61"/>
        <v>418.37663353903253</v>
      </c>
      <c r="BH102" s="59">
        <f t="shared" si="62"/>
        <v>711.70996687236584</v>
      </c>
      <c r="BI102" s="59">
        <f ca="1">AVERAGE(OFFSET($BH$3,0,0,'Données projet'!$E$11+1,1))-AVERAGE(OFFSET($H$3,0,0,'Données projet'!$E$11+1,1))</f>
        <v>186.80594222554424</v>
      </c>
      <c r="BJ102" s="59">
        <f t="shared" si="92"/>
        <v>179.02867751001872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12.903608043068841</v>
      </c>
      <c r="BQ102" s="21">
        <f>EXP(-LN(2)/25)*BQ101+(1-EXP(-LN(2)/25))/(LN(2)/25)*Calculateur!BL102*Calculateur!BN102*VLOOKUP('Données projet'!$B$11,Paramètres!$A$1:$I$89,3,0)*0.475*44/12</f>
        <v>12.509205281422819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25.412813324491658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6.071794871794876</v>
      </c>
      <c r="BY102" s="12">
        <f>IF('Données projet'!$A$114&gt;35,BY101+BX102-CG101,IF(A102&lt;'Données projet'!$A$114,$BV$205^A102,IF(A102='Données projet'!$A$114,'Données projet'!$B$114,BY101+BX102-CG101)))</f>
        <v>249.35897435897439</v>
      </c>
      <c r="BZ102" s="13">
        <f>BY102*VLOOKUP('Données projet'!$B$12,Paramètres!$A$1:$I$89,3,0)*VLOOKUP('Données projet'!$B$12,Paramètres!$A$1:$I$89,5,0)</f>
        <v>225.62000000000003</v>
      </c>
      <c r="CA102" s="13">
        <f t="shared" si="93"/>
        <v>55.334565958624232</v>
      </c>
      <c r="CB102" s="20">
        <f t="shared" si="64"/>
        <v>489.32920237793724</v>
      </c>
      <c r="CC102" s="59">
        <f t="shared" si="65"/>
        <v>782.66253571127049</v>
      </c>
      <c r="CD102" s="59">
        <f ca="1">AVERAGE(OFFSET($CC$3,0,0,'Données projet'!$E$12+1,1))-AVERAGE(OFFSET($H$3,0,0,'Données projet'!$E$12+1,1))</f>
        <v>265.17389489035344</v>
      </c>
      <c r="CE102" s="59">
        <f t="shared" si="94"/>
        <v>101.57852403610769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23.453589238640077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23.453589238640077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-1.7053025658242404E-13</v>
      </c>
      <c r="CU102" s="17">
        <f>CT102*VLOOKUP('Données projet'!$B$13,Paramètres!$A$1:$I$89,3,0)*VLOOKUP('Données projet'!$B$13,Paramètres!$A$1:$I$89,5,0)</f>
        <v>-1.0197709343628959E-13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182.34243693018033</v>
      </c>
      <c r="CZ102" s="59">
        <f t="shared" si="96"/>
        <v>182.65916563909786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59.921172153933625</v>
      </c>
      <c r="DG102" s="21">
        <f>EXP(-LN(2)/25)*DG101+(1-EXP(-LN(2)/25))/(LN(2)/25)*Calculateur!DB102*Calculateur!DD102*VLOOKUP('Données projet'!$B$13,Paramètres!$A$1:$I$89,3,0)*0.475*44/12</f>
        <v>12.256303865817616</v>
      </c>
      <c r="DH102" s="21">
        <f>EXP(-LN(2)/2)*DH101+(1-EXP(-LN(2)/2))/(LN(2)/2)*DB102*DE102*VLOOKUP('Données projet'!$B$13,Paramètres!$A$1:$I$89,3,0)*0.475*44/12</f>
        <v>4.3108266665080711E-5</v>
      </c>
      <c r="DI102" s="22">
        <f t="shared" si="69"/>
        <v>72.177519128017906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6.071794871794876</v>
      </c>
      <c r="DO102" s="12">
        <f>IF('Données projet'!$A$166&gt;35,DO101+DN102-DW101,IF(A102&lt;'Données projet'!$A$166,$DL$205^A102,IF(A102='Données projet'!$A$166,'Données projet'!$B$166,DO101+DN102-DW101)))</f>
        <v>249.35897435897439</v>
      </c>
      <c r="DP102" s="17">
        <f>DO102*VLOOKUP('Données projet'!$B$14,Paramètres!$A$1:$I$89,3,0)*VLOOKUP('Données projet'!$B$14,Paramètres!$A$1:$I$89,5,0)</f>
        <v>237.29000000000002</v>
      </c>
      <c r="DQ102" s="13">
        <f t="shared" si="97"/>
        <v>57.856075982103754</v>
      </c>
      <c r="DR102" s="20">
        <f t="shared" si="70"/>
        <v>514.04608233549732</v>
      </c>
      <c r="DS102" s="59">
        <f t="shared" si="71"/>
        <v>807.37941566883069</v>
      </c>
      <c r="DT102" s="59">
        <f ca="1">AVERAGE(OFFSET($DS$3,0,0,'Données projet'!$E$14+1,1))-AVERAGE(OFFSET($H$3,0,0,'Données projet'!$E$14+1,1))</f>
        <v>286.10360882057586</v>
      </c>
      <c r="DU102" s="59">
        <f t="shared" si="98"/>
        <v>109.24531387923128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24.666705923397323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24.666705923397323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456.72900028470588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262.42149466677068</v>
      </c>
      <c r="T103" s="59">
        <f t="shared" si="88"/>
        <v>232.7693253699756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-1.0197709343628959E-13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249.37919739649828</v>
      </c>
      <c r="AO103" s="59">
        <f t="shared" si="90"/>
        <v>315.05045383693073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68.130963054294668</v>
      </c>
      <c r="AV103" s="21">
        <f>EXP(-LN(2)/25)*AV102+(1-EXP(-LN(2)/25))/(LN(2)/25)*Calculateur!AQ103*Calculateur!AS103*VLOOKUP('Données projet'!$B$10,Paramètres!$A$1:$I$89,3,0)*0.475*44/12</f>
        <v>13.050139442102578</v>
      </c>
      <c r="AW103" s="21">
        <f>EXP(-LN(2)/2)*AW102+(1-EXP(-LN(2)/2))/(LN(2)/2)*AQ103*AT103*VLOOKUP('Données projet'!$B$10,Paramètres!$A$1:$I$89,3,0)*0.475*44/12</f>
        <v>9.6336295468353106E-6</v>
      </c>
      <c r="AX103" s="21">
        <f t="shared" si="60"/>
        <v>81.18111213002679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223</v>
      </c>
      <c r="BB103" s="12">
        <f>VLOOKUP(A103,'Données projet'!$A$87:$I$107,9,0)</f>
        <v>3</v>
      </c>
      <c r="BC103" s="12">
        <f t="array" ref="BC103">INDEX(BB:BB,MIN(IF(ISNUMBER(BB103:BB299),ROW(BB103:BB299),"")))</f>
        <v>3</v>
      </c>
      <c r="BD103" s="12">
        <f>IF('Données projet'!$A$88&gt;35,BD102+BC103-BL102,IF(A103&lt;'Données projet'!$A$88,$BA$205^A103,IF(A103='Données projet'!$A$88,'Données projet'!$B$88,BD102+BC103-BL102)))</f>
        <v>223.00000000000009</v>
      </c>
      <c r="BE103" s="13">
        <f>BD103*VLOOKUP('Données projet'!$B$11,Paramètres!$A$1:$I$89,3,0)*VLOOKUP('Données projet'!$B$11,Paramètres!$A$1:$I$89,5,0)</f>
        <v>194.81280000000012</v>
      </c>
      <c r="BF103" s="13">
        <f t="shared" si="91"/>
        <v>48.602440540253902</v>
      </c>
      <c r="BG103" s="20">
        <f t="shared" si="61"/>
        <v>423.9482106076091</v>
      </c>
      <c r="BH103" s="59">
        <f t="shared" si="62"/>
        <v>717.28154394094236</v>
      </c>
      <c r="BI103" s="59">
        <f ca="1">AVERAGE(OFFSET($BH$3,0,0,'Données projet'!$E$11+1,1))-AVERAGE(OFFSET($H$3,0,0,'Données projet'!$E$11+1,1))</f>
        <v>186.80594222554424</v>
      </c>
      <c r="BJ103" s="59">
        <f t="shared" si="92"/>
        <v>179.02867751001872</v>
      </c>
      <c r="BK103" s="15">
        <f>IF(ISNA(VLOOKUP(A103,'Données projet'!$A$87:$I$107,3,0)),0,VLOOKUP(A103,'Données projet'!$A$87:$I$107,3,0))</f>
        <v>17</v>
      </c>
      <c r="BL103" s="15" t="str">
        <f>IF(ISNA(VLOOKUP(A103,'Données projet'!$A$87:$I$107,4,0)),0,VLOOKUP(A103,'Données projet'!$A$87:$I$107,4,0))</f>
        <v>11</v>
      </c>
      <c r="BM103" s="16">
        <f>IF(ISNA(VLOOKUP(A103,'Données projet'!$A$87:$I$107,5,0)),0%,VLOOKUP(A103,'Données projet'!$A$87:$I$107,5,0)*VLOOKUP('Données projet'!$B$11,Paramètres!$A$1:$I$89,7,0))</f>
        <v>0.215</v>
      </c>
      <c r="BN103" s="16">
        <f>IF(ISNA(VLOOKUP(A103,'Données projet'!$A$87:$I$107,6,0)),0%,VLOOKUP(A103,'Données projet'!$A$87:$I$107,6,0)*VLOOKUP('Données projet'!$B$11,Paramètres!$A$1:$I$89,7,0))</f>
        <v>0.17200000000000001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14.934548713987393</v>
      </c>
      <c r="BQ103" s="21">
        <f>EXP(-LN(2)/25)*BQ102+(1-EXP(-LN(2)/25))/(LN(2)/25)*Calculateur!BL103*Calculateur!BN103*VLOOKUP('Données projet'!$B$11,Paramètres!$A$1:$I$89,3,0)*0.475*44/12</f>
        <v>13.987124152381103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28.921672866368496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6.071794871794876</v>
      </c>
      <c r="BY103" s="12">
        <f>IF('Données projet'!$A$114&gt;35,BY102+BX103-CG102,IF(A103&lt;'Données projet'!$A$114,$BV$205^A103,IF(A103='Données projet'!$A$114,'Données projet'!$B$114,BY102+BX103-CG102)))</f>
        <v>255.43076923076927</v>
      </c>
      <c r="BZ103" s="13">
        <f>BY103*VLOOKUP('Données projet'!$B$12,Paramètres!$A$1:$I$89,3,0)*VLOOKUP('Données projet'!$B$12,Paramètres!$A$1:$I$89,5,0)</f>
        <v>231.11376000000004</v>
      </c>
      <c r="CA103" s="13">
        <f t="shared" si="93"/>
        <v>56.523434734348982</v>
      </c>
      <c r="CB103" s="20">
        <f t="shared" si="64"/>
        <v>500.96811416232453</v>
      </c>
      <c r="CC103" s="59">
        <f t="shared" si="65"/>
        <v>794.30144749565784</v>
      </c>
      <c r="CD103" s="59">
        <f ca="1">AVERAGE(OFFSET($CC$3,0,0,'Données projet'!$E$12+1,1))-AVERAGE(OFFSET($H$3,0,0,'Données projet'!$E$12+1,1))</f>
        <v>265.17389489035344</v>
      </c>
      <c r="CE103" s="59">
        <f t="shared" si="94"/>
        <v>101.57852403610769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22.993678658947253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22.993678658947253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-1.7053025658242404E-13</v>
      </c>
      <c r="CU103" s="17">
        <f>CT103*VLOOKUP('Données projet'!$B$13,Paramètres!$A$1:$I$89,3,0)*VLOOKUP('Données projet'!$B$13,Paramètres!$A$1:$I$89,5,0)</f>
        <v>-1.0197709343628959E-13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182.34243693018033</v>
      </c>
      <c r="CZ103" s="59">
        <f t="shared" si="96"/>
        <v>182.65916563909786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58.746154516301154</v>
      </c>
      <c r="DG103" s="21">
        <f>EXP(-LN(2)/25)*DG102+(1-EXP(-LN(2)/25))/(LN(2)/25)*Calculateur!DB103*Calculateur!DD103*VLOOKUP('Données projet'!$B$13,Paramètres!$A$1:$I$89,3,0)*0.475*44/12</f>
        <v>11.921154592075824</v>
      </c>
      <c r="DH103" s="21">
        <f>EXP(-LN(2)/2)*DH102+(1-EXP(-LN(2)/2))/(LN(2)/2)*DB103*DE103*VLOOKUP('Données projet'!$B$13,Paramètres!$A$1:$I$89,3,0)*0.475*44/12</f>
        <v>3.0482147684076571E-5</v>
      </c>
      <c r="DI103" s="22">
        <f t="shared" si="69"/>
        <v>70.667339590524662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6.071794871794876</v>
      </c>
      <c r="DO103" s="12">
        <f>IF('Données projet'!$A$166&gt;35,DO102+DN103-DW102,IF(A103&lt;'Données projet'!$A$166,$DL$205^A103,IF(A103='Données projet'!$A$166,'Données projet'!$B$166,DO102+DN103-DW102)))</f>
        <v>255.43076923076927</v>
      </c>
      <c r="DP103" s="17">
        <f>DO103*VLOOKUP('Données projet'!$B$14,Paramètres!$A$1:$I$89,3,0)*VLOOKUP('Données projet'!$B$14,Paramètres!$A$1:$I$89,5,0)</f>
        <v>243.06792000000004</v>
      </c>
      <c r="DQ103" s="13">
        <f t="shared" si="97"/>
        <v>59.099119657055745</v>
      </c>
      <c r="DR103" s="20">
        <f t="shared" si="70"/>
        <v>526.27426073603885</v>
      </c>
      <c r="DS103" s="59">
        <f t="shared" si="71"/>
        <v>819.60759406937223</v>
      </c>
      <c r="DT103" s="59">
        <f ca="1">AVERAGE(OFFSET($DS$3,0,0,'Données projet'!$E$14+1,1))-AVERAGE(OFFSET($H$3,0,0,'Données projet'!$E$14+1,1))</f>
        <v>286.10360882057586</v>
      </c>
      <c r="DU103" s="59">
        <f t="shared" si="98"/>
        <v>109.24531387923128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24.183006865444526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24.183006865444526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458.32122314146261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262.42149466677068</v>
      </c>
      <c r="T104" s="59">
        <f t="shared" si="88"/>
        <v>232.7693253699756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-1.0197709343628959E-13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249.37919739649828</v>
      </c>
      <c r="AO104" s="59">
        <f t="shared" si="90"/>
        <v>315.05045383693073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66.794956424584115</v>
      </c>
      <c r="AV104" s="21">
        <f>EXP(-LN(2)/25)*AV103+(1-EXP(-LN(2)/25))/(LN(2)/25)*Calculateur!AQ104*Calculateur!AS104*VLOOKUP('Données projet'!$B$10,Paramètres!$A$1:$I$89,3,0)*0.475*44/12</f>
        <v>12.693282692781276</v>
      </c>
      <c r="AW104" s="21">
        <f>EXP(-LN(2)/2)*AW103+(1-EXP(-LN(2)/2))/(LN(2)/2)*AQ104*AT104*VLOOKUP('Données projet'!$B$10,Paramètres!$A$1:$I$89,3,0)*0.475*44/12</f>
        <v>6.8120047800063351E-6</v>
      </c>
      <c r="AX104" s="21">
        <f t="shared" si="60"/>
        <v>79.48824592937018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212.00000000000009</v>
      </c>
      <c r="BE104" s="13">
        <f>BD104*VLOOKUP('Données projet'!$B$11,Paramètres!$A$1:$I$89,3,0)*VLOOKUP('Données projet'!$B$11,Paramètres!$A$1:$I$89,5,0)</f>
        <v>185.20320000000009</v>
      </c>
      <c r="BF104" s="13">
        <f t="shared" si="91"/>
        <v>46.477875402099386</v>
      </c>
      <c r="BG104" s="20">
        <f t="shared" si="61"/>
        <v>403.5112063253232</v>
      </c>
      <c r="BH104" s="59">
        <f t="shared" si="62"/>
        <v>696.84453965865646</v>
      </c>
      <c r="BI104" s="59">
        <f ca="1">AVERAGE(OFFSET($BH$3,0,0,'Données projet'!$E$11+1,1))-AVERAGE(OFFSET($H$3,0,0,'Données projet'!$E$11+1,1))</f>
        <v>186.80594222554424</v>
      </c>
      <c r="BJ104" s="59">
        <f t="shared" si="92"/>
        <v>179.02867751001872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14.641691322881359</v>
      </c>
      <c r="BQ104" s="21">
        <f>EXP(-LN(2)/25)*BQ103+(1-EXP(-LN(2)/25))/(LN(2)/25)*Calculateur!BL104*Calculateur!BN104*VLOOKUP('Données projet'!$B$11,Paramètres!$A$1:$I$89,3,0)*0.475*44/12</f>
        <v>13.604645506883351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28.246336829764708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6.071794871794876</v>
      </c>
      <c r="BY104" s="12">
        <f>IF('Données projet'!$A$114&gt;35,BY103+BX104-CG103,IF(A104&lt;'Données projet'!$A$114,$BV$205^A104,IF(A104='Données projet'!$A$114,'Données projet'!$B$114,BY103+BX104-CG103)))</f>
        <v>261.50256410256412</v>
      </c>
      <c r="BZ104" s="13">
        <f>BY104*VLOOKUP('Données projet'!$B$12,Paramètres!$A$1:$I$89,3,0)*VLOOKUP('Données projet'!$B$12,Paramètres!$A$1:$I$89,5,0)</f>
        <v>236.60751999999999</v>
      </c>
      <c r="CA104" s="13">
        <f t="shared" si="93"/>
        <v>57.709018223048304</v>
      </c>
      <c r="CB104" s="20">
        <f t="shared" si="64"/>
        <v>512.60130407180907</v>
      </c>
      <c r="CC104" s="59">
        <f t="shared" si="65"/>
        <v>805.93463740514244</v>
      </c>
      <c r="CD104" s="59">
        <f ca="1">AVERAGE(OFFSET($CC$3,0,0,'Données projet'!$E$12+1,1))-AVERAGE(OFFSET($H$3,0,0,'Données projet'!$E$12+1,1))</f>
        <v>265.17389489035344</v>
      </c>
      <c r="CE104" s="59">
        <f t="shared" si="94"/>
        <v>101.57852403610769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22.542786645204451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22.542786645204451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-1.7053025658242404E-13</v>
      </c>
      <c r="CU104" s="17">
        <f>CT104*VLOOKUP('Données projet'!$B$13,Paramètres!$A$1:$I$89,3,0)*VLOOKUP('Données projet'!$B$13,Paramètres!$A$1:$I$89,5,0)</f>
        <v>-1.0197709343628959E-13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182.34243693018033</v>
      </c>
      <c r="CZ104" s="59">
        <f t="shared" si="96"/>
        <v>182.65916563909786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57.594178257852661</v>
      </c>
      <c r="DG104" s="21">
        <f>EXP(-LN(2)/25)*DG103+(1-EXP(-LN(2)/25))/(LN(2)/25)*Calculateur!DB104*Calculateur!DD104*VLOOKUP('Données projet'!$B$13,Paramètres!$A$1:$I$89,3,0)*0.475*44/12</f>
        <v>11.595169992849238</v>
      </c>
      <c r="DH104" s="21">
        <f>EXP(-LN(2)/2)*DH103+(1-EXP(-LN(2)/2))/(LN(2)/2)*DB104*DE104*VLOOKUP('Données projet'!$B$13,Paramètres!$A$1:$I$89,3,0)*0.475*44/12</f>
        <v>2.1554133332540359E-5</v>
      </c>
      <c r="DI104" s="22">
        <f t="shared" si="69"/>
        <v>69.189369804835223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6.071794871794876</v>
      </c>
      <c r="DO104" s="12">
        <f>IF('Données projet'!$A$166&gt;35,DO103+DN104-DW103,IF(A104&lt;'Données projet'!$A$166,$DL$205^A104,IF(A104='Données projet'!$A$166,'Données projet'!$B$166,DO103+DN104-DW103)))</f>
        <v>261.50256410256412</v>
      </c>
      <c r="DP104" s="17">
        <f>DO104*VLOOKUP('Données projet'!$B$14,Paramètres!$A$1:$I$89,3,0)*VLOOKUP('Données projet'!$B$14,Paramètres!$A$1:$I$89,5,0)</f>
        <v>248.84584000000001</v>
      </c>
      <c r="DQ104" s="13">
        <f t="shared" si="97"/>
        <v>60.33872833956724</v>
      </c>
      <c r="DR104" s="20">
        <f t="shared" si="70"/>
        <v>538.49645652474635</v>
      </c>
      <c r="DS104" s="59">
        <f t="shared" si="71"/>
        <v>831.82978985807972</v>
      </c>
      <c r="DT104" s="59">
        <f ca="1">AVERAGE(OFFSET($DS$3,0,0,'Données projet'!$E$14+1,1))-AVERAGE(OFFSET($H$3,0,0,'Données projet'!$E$14+1,1))</f>
        <v>286.10360882057586</v>
      </c>
      <c r="DU104" s="59">
        <f t="shared" si="98"/>
        <v>109.24531387923128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23.708792850990886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23.708792850990886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459.91308290314612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262.42149466677068</v>
      </c>
      <c r="T105" s="59">
        <f t="shared" si="88"/>
        <v>232.7693253699756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-1.0197709343628959E-13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249.37919739649828</v>
      </c>
      <c r="AO105" s="59">
        <f t="shared" si="90"/>
        <v>315.05045383693073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65.485148069998615</v>
      </c>
      <c r="AV105" s="21">
        <f>EXP(-LN(2)/25)*AV104+(1-EXP(-LN(2)/25))/(LN(2)/25)*Calculateur!AQ105*Calculateur!AS105*VLOOKUP('Données projet'!$B$10,Paramètres!$A$1:$I$89,3,0)*0.475*44/12</f>
        <v>12.346184210036446</v>
      </c>
      <c r="AW105" s="21">
        <f>EXP(-LN(2)/2)*AW104+(1-EXP(-LN(2)/2))/(LN(2)/2)*AQ105*AT105*VLOOKUP('Données projet'!$B$10,Paramètres!$A$1:$I$89,3,0)*0.475*44/12</f>
        <v>4.8168147734176553E-6</v>
      </c>
      <c r="AX105" s="21">
        <f t="shared" si="60"/>
        <v>77.831337096849836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212.00000000000009</v>
      </c>
      <c r="BE105" s="13">
        <f>BD105*VLOOKUP('Données projet'!$B$11,Paramètres!$A$1:$I$89,3,0)*VLOOKUP('Données projet'!$B$11,Paramètres!$A$1:$I$89,5,0)</f>
        <v>185.20320000000009</v>
      </c>
      <c r="BF105" s="13">
        <f t="shared" si="91"/>
        <v>46.477875402099386</v>
      </c>
      <c r="BG105" s="20">
        <f t="shared" si="61"/>
        <v>403.5112063253232</v>
      </c>
      <c r="BH105" s="59">
        <f t="shared" si="62"/>
        <v>696.84453965865646</v>
      </c>
      <c r="BI105" s="59">
        <f ca="1">AVERAGE(OFFSET($BH$3,0,0,'Données projet'!$E$11+1,1))-AVERAGE(OFFSET($H$3,0,0,'Données projet'!$E$11+1,1))</f>
        <v>186.80594222554424</v>
      </c>
      <c r="BJ105" s="59">
        <f t="shared" si="92"/>
        <v>179.02867751001872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14.354576686589544</v>
      </c>
      <c r="BQ105" s="21">
        <f>EXP(-LN(2)/25)*BQ104+(1-EXP(-LN(2)/25))/(LN(2)/25)*Calculateur!BL105*Calculateur!BN105*VLOOKUP('Données projet'!$B$11,Paramètres!$A$1:$I$89,3,0)*0.475*44/12</f>
        <v>13.232625760060412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27.587202446649954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6.071794871794876</v>
      </c>
      <c r="BY105" s="12">
        <f>IF('Données projet'!$A$114&gt;35,BY104+BX105-CG104,IF(A105&lt;'Données projet'!$A$114,$BV$205^A105,IF(A105='Données projet'!$A$114,'Données projet'!$B$114,BY104+BX105-CG104)))</f>
        <v>267.57435897435897</v>
      </c>
      <c r="BZ105" s="13">
        <f>BY105*VLOOKUP('Données projet'!$B$12,Paramètres!$A$1:$I$89,3,0)*VLOOKUP('Données projet'!$B$12,Paramètres!$A$1:$I$89,5,0)</f>
        <v>242.10128</v>
      </c>
      <c r="CA105" s="13">
        <f t="shared" si="93"/>
        <v>58.891401484926774</v>
      </c>
      <c r="CB105" s="20">
        <f t="shared" si="64"/>
        <v>524.22892025291412</v>
      </c>
      <c r="CC105" s="59">
        <f t="shared" si="65"/>
        <v>817.56225358624738</v>
      </c>
      <c r="CD105" s="59">
        <f ca="1">AVERAGE(OFFSET($CC$3,0,0,'Données projet'!$E$12+1,1))-AVERAGE(OFFSET($H$3,0,0,'Données projet'!$E$12+1,1))</f>
        <v>265.17389489035344</v>
      </c>
      <c r="CE105" s="59">
        <f t="shared" si="94"/>
        <v>101.57852403610769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22.100736348834172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22.100736348834172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-1.7053025658242404E-13</v>
      </c>
      <c r="CU105" s="17">
        <f>CT105*VLOOKUP('Données projet'!$B$13,Paramètres!$A$1:$I$89,3,0)*VLOOKUP('Données projet'!$B$13,Paramètres!$A$1:$I$89,5,0)</f>
        <v>-1.0197709343628959E-13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182.34243693018033</v>
      </c>
      <c r="CZ105" s="59">
        <f t="shared" si="96"/>
        <v>182.65916563909786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56.464791551196207</v>
      </c>
      <c r="DG105" s="21">
        <f>EXP(-LN(2)/25)*DG104+(1-EXP(-LN(2)/25))/(LN(2)/25)*Calculateur!DB105*Calculateur!DD105*VLOOKUP('Données projet'!$B$13,Paramètres!$A$1:$I$89,3,0)*0.475*44/12</f>
        <v>11.278099459631287</v>
      </c>
      <c r="DH105" s="21">
        <f>EXP(-LN(2)/2)*DH104+(1-EXP(-LN(2)/2))/(LN(2)/2)*DB105*DE105*VLOOKUP('Données projet'!$B$13,Paramètres!$A$1:$I$89,3,0)*0.475*44/12</f>
        <v>1.5241073842038287E-5</v>
      </c>
      <c r="DI105" s="22">
        <f t="shared" si="69"/>
        <v>67.742906251901331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6.071794871794876</v>
      </c>
      <c r="DO105" s="12">
        <f>IF('Données projet'!$A$166&gt;35,DO104+DN105-DW104,IF(A105&lt;'Données projet'!$A$166,$DL$205^A105,IF(A105='Données projet'!$A$166,'Données projet'!$B$166,DO104+DN105-DW104)))</f>
        <v>267.57435897435897</v>
      </c>
      <c r="DP105" s="17">
        <f>DO105*VLOOKUP('Données projet'!$B$14,Paramètres!$A$1:$I$89,3,0)*VLOOKUP('Données projet'!$B$14,Paramètres!$A$1:$I$89,5,0)</f>
        <v>254.62375999999998</v>
      </c>
      <c r="DQ105" s="13">
        <f t="shared" si="97"/>
        <v>61.574990965903908</v>
      </c>
      <c r="DR105" s="20">
        <f t="shared" si="70"/>
        <v>550.71282459894917</v>
      </c>
      <c r="DS105" s="59">
        <f t="shared" si="71"/>
        <v>844.04615793228254</v>
      </c>
      <c r="DT105" s="59">
        <f ca="1">AVERAGE(OFFSET($DS$3,0,0,'Données projet'!$E$14+1,1))-AVERAGE(OFFSET($H$3,0,0,'Données projet'!$E$14+1,1))</f>
        <v>286.10360882057586</v>
      </c>
      <c r="DU105" s="59">
        <f t="shared" si="98"/>
        <v>109.24531387923128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23.243877884118696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23.243877884118696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461.50458354172883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262.42149466677068</v>
      </c>
      <c r="T106" s="59">
        <f t="shared" si="88"/>
        <v>232.7693253699756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-1.0197709343628959E-13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249.37919739649828</v>
      </c>
      <c r="AO106" s="59">
        <f t="shared" si="90"/>
        <v>315.05045383693073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64.201024258342315</v>
      </c>
      <c r="AV106" s="21">
        <f>EXP(-LN(2)/25)*AV105+(1-EXP(-LN(2)/25))/(LN(2)/25)*Calculateur!AQ106*Calculateur!AS106*VLOOKUP('Données projet'!$B$10,Paramètres!$A$1:$I$89,3,0)*0.475*44/12</f>
        <v>12.00857715355539</v>
      </c>
      <c r="AW106" s="21">
        <f>EXP(-LN(2)/2)*AW105+(1-EXP(-LN(2)/2))/(LN(2)/2)*AQ106*AT106*VLOOKUP('Données projet'!$B$10,Paramètres!$A$1:$I$89,3,0)*0.475*44/12</f>
        <v>3.4060023900031676E-6</v>
      </c>
      <c r="AX106" s="21">
        <f t="shared" si="60"/>
        <v>76.2096048179001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212.00000000000009</v>
      </c>
      <c r="BE106" s="13">
        <f>BD106*VLOOKUP('Données projet'!$B$11,Paramètres!$A$1:$I$89,3,0)*VLOOKUP('Données projet'!$B$11,Paramètres!$A$1:$I$89,5,0)</f>
        <v>185.20320000000009</v>
      </c>
      <c r="BF106" s="13">
        <f t="shared" si="91"/>
        <v>46.477875402099386</v>
      </c>
      <c r="BG106" s="20">
        <f t="shared" si="61"/>
        <v>403.5112063253232</v>
      </c>
      <c r="BH106" s="59">
        <f t="shared" si="62"/>
        <v>696.84453965865646</v>
      </c>
      <c r="BI106" s="59">
        <f ca="1">AVERAGE(OFFSET($BH$3,0,0,'Données projet'!$E$11+1,1))-AVERAGE(OFFSET($H$3,0,0,'Données projet'!$E$11+1,1))</f>
        <v>186.80594222554424</v>
      </c>
      <c r="BJ106" s="59">
        <f t="shared" si="92"/>
        <v>179.02867751001872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14.073092193192775</v>
      </c>
      <c r="BQ106" s="21">
        <f>EXP(-LN(2)/25)*BQ105+(1-EXP(-LN(2)/25))/(LN(2)/25)*Calculateur!BL106*Calculateur!BN106*VLOOKUP('Données projet'!$B$11,Paramètres!$A$1:$I$89,3,0)*0.475*44/12</f>
        <v>12.870778912778015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26.943871105970789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6.071794871794876</v>
      </c>
      <c r="BY106" s="12">
        <f>IF('Données projet'!$A$114&gt;35,BY105+BX106-CG105,IF(A106&lt;'Données projet'!$A$114,$BV$205^A106,IF(A106='Données projet'!$A$114,'Données projet'!$B$114,BY105+BX106-CG105)))</f>
        <v>273.64615384615382</v>
      </c>
      <c r="BZ106" s="13">
        <f>BY106*VLOOKUP('Données projet'!$B$12,Paramètres!$A$1:$I$89,3,0)*VLOOKUP('Données projet'!$B$12,Paramètres!$A$1:$I$89,5,0)</f>
        <v>247.59503999999998</v>
      </c>
      <c r="CA106" s="13">
        <f t="shared" si="93"/>
        <v>60.070665499481535</v>
      </c>
      <c r="CB106" s="20">
        <f t="shared" si="64"/>
        <v>535.85110374493036</v>
      </c>
      <c r="CC106" s="59">
        <f t="shared" si="65"/>
        <v>829.18443707826373</v>
      </c>
      <c r="CD106" s="59">
        <f ca="1">AVERAGE(OFFSET($CC$3,0,0,'Données projet'!$E$12+1,1))-AVERAGE(OFFSET($H$3,0,0,'Données projet'!$E$12+1,1))</f>
        <v>265.17389489035344</v>
      </c>
      <c r="CE106" s="59">
        <f t="shared" si="94"/>
        <v>101.57852403610769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21.667354389151654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21.667354389151654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-1.7053025658242404E-13</v>
      </c>
      <c r="CU106" s="17">
        <f>CT106*VLOOKUP('Données projet'!$B$13,Paramètres!$A$1:$I$89,3,0)*VLOOKUP('Données projet'!$B$13,Paramètres!$A$1:$I$89,5,0)</f>
        <v>-1.0197709343628959E-13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182.34243693018033</v>
      </c>
      <c r="CZ106" s="59">
        <f t="shared" si="96"/>
        <v>182.65916563909786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55.357551428999415</v>
      </c>
      <c r="DG106" s="21">
        <f>EXP(-LN(2)/25)*DG105+(1-EXP(-LN(2)/25))/(LN(2)/25)*Calculateur!DB106*Calculateur!DD106*VLOOKUP('Données projet'!$B$13,Paramètres!$A$1:$I$89,3,0)*0.475*44/12</f>
        <v>10.969699236818196</v>
      </c>
      <c r="DH106" s="21">
        <f>EXP(-LN(2)/2)*DH105+(1-EXP(-LN(2)/2))/(LN(2)/2)*DB106*DE106*VLOOKUP('Données projet'!$B$13,Paramètres!$A$1:$I$89,3,0)*0.475*44/12</f>
        <v>1.0777066666270181E-5</v>
      </c>
      <c r="DI106" s="22">
        <f t="shared" si="69"/>
        <v>66.327261442884279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6.071794871794876</v>
      </c>
      <c r="DO106" s="12">
        <f>IF('Données projet'!$A$166&gt;35,DO105+DN106-DW105,IF(A106&lt;'Données projet'!$A$166,$DL$205^A106,IF(A106='Données projet'!$A$166,'Données projet'!$B$166,DO105+DN106-DW105)))</f>
        <v>273.64615384615382</v>
      </c>
      <c r="DP106" s="17">
        <f>DO106*VLOOKUP('Données projet'!$B$14,Paramètres!$A$1:$I$89,3,0)*VLOOKUP('Données projet'!$B$14,Paramètres!$A$1:$I$89,5,0)</f>
        <v>260.40167999999994</v>
      </c>
      <c r="DQ106" s="13">
        <f t="shared" si="97"/>
        <v>62.807992205672512</v>
      </c>
      <c r="DR106" s="20">
        <f t="shared" si="70"/>
        <v>562.9235124248795</v>
      </c>
      <c r="DS106" s="59">
        <f t="shared" si="71"/>
        <v>856.25684575821288</v>
      </c>
      <c r="DT106" s="59">
        <f ca="1">AVERAGE(OFFSET($DS$3,0,0,'Données projet'!$E$14+1,1))-AVERAGE(OFFSET($H$3,0,0,'Données projet'!$E$14+1,1))</f>
        <v>286.10360882057586</v>
      </c>
      <c r="DU106" s="59">
        <f t="shared" si="98"/>
        <v>109.24531387923128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22.788079616176738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22.788079616176738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463.09572894761084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262.42149466677068</v>
      </c>
      <c r="T107" s="59">
        <f t="shared" si="88"/>
        <v>232.7693253699756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-1.0197709343628959E-13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249.37919739649828</v>
      </c>
      <c r="AO107" s="59">
        <f t="shared" si="90"/>
        <v>315.05045383693073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62.942081331394412</v>
      </c>
      <c r="AV107" s="21">
        <f>EXP(-LN(2)/25)*AV106+(1-EXP(-LN(2)/25))/(LN(2)/25)*Calculateur!AQ107*Calculateur!AS107*VLOOKUP('Données projet'!$B$10,Paramètres!$A$1:$I$89,3,0)*0.475*44/12</f>
        <v>11.680201979787791</v>
      </c>
      <c r="AW107" s="21">
        <f>EXP(-LN(2)/2)*AW106+(1-EXP(-LN(2)/2))/(LN(2)/2)*AQ107*AT107*VLOOKUP('Données projet'!$B$10,Paramètres!$A$1:$I$89,3,0)*0.475*44/12</f>
        <v>2.4084073867088277E-6</v>
      </c>
      <c r="AX107" s="21">
        <f t="shared" si="60"/>
        <v>74.622285719589584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212.00000000000009</v>
      </c>
      <c r="BE107" s="13">
        <f>BD107*VLOOKUP('Données projet'!$B$11,Paramètres!$A$1:$I$89,3,0)*VLOOKUP('Données projet'!$B$11,Paramètres!$A$1:$I$89,5,0)</f>
        <v>185.20320000000009</v>
      </c>
      <c r="BF107" s="13">
        <f t="shared" si="91"/>
        <v>46.477875402099386</v>
      </c>
      <c r="BG107" s="20">
        <f t="shared" si="61"/>
        <v>403.5112063253232</v>
      </c>
      <c r="BH107" s="59">
        <f t="shared" si="62"/>
        <v>696.84453965865646</v>
      </c>
      <c r="BI107" s="59">
        <f ca="1">AVERAGE(OFFSET($BH$3,0,0,'Données projet'!$E$11+1,1))-AVERAGE(OFFSET($H$3,0,0,'Données projet'!$E$11+1,1))</f>
        <v>186.80594222554424</v>
      </c>
      <c r="BJ107" s="59">
        <f t="shared" si="92"/>
        <v>179.02867751001872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13.797127439022928</v>
      </c>
      <c r="BQ107" s="21">
        <f>EXP(-LN(2)/25)*BQ106+(1-EXP(-LN(2)/25))/(LN(2)/25)*Calculateur!BL107*Calculateur!BN107*VLOOKUP('Données projet'!$B$11,Paramètres!$A$1:$I$89,3,0)*0.475*44/12</f>
        <v>12.518826786563253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26.315954225586182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279.71794871794873</v>
      </c>
      <c r="BW107" s="12">
        <f>VLOOKUP(A107,'Données projet'!$A$113:$I$133,9,0)</f>
        <v>6.071794871794876</v>
      </c>
      <c r="BX107" s="12">
        <f t="array" ref="BX107">INDEX(BW:BW,MIN(IF(ISNUMBER(BW107:BW303),ROW(BW107:BW303),"")))</f>
        <v>6.071794871794876</v>
      </c>
      <c r="BY107" s="12">
        <f>IF('Données projet'!$A$114&gt;35,BY106+BX107-CG106,IF(A107&lt;'Données projet'!$A$114,$BV$205^A107,IF(A107='Données projet'!$A$114,'Données projet'!$B$114,BY106+BX107-CG106)))</f>
        <v>279.71794871794867</v>
      </c>
      <c r="BZ107" s="13">
        <f>BY107*VLOOKUP('Données projet'!$B$12,Paramètres!$A$1:$I$89,3,0)*VLOOKUP('Données projet'!$B$12,Paramètres!$A$1:$I$89,5,0)</f>
        <v>253.08879999999994</v>
      </c>
      <c r="CA107" s="13">
        <f t="shared" si="93"/>
        <v>61.246887447404951</v>
      </c>
      <c r="CB107" s="20">
        <f t="shared" si="64"/>
        <v>547.46798897089673</v>
      </c>
      <c r="CC107" s="59">
        <f t="shared" si="65"/>
        <v>840.8013223042301</v>
      </c>
      <c r="CD107" s="59">
        <f ca="1">AVERAGE(OFFSET($CC$3,0,0,'Données projet'!$E$12+1,1))-AVERAGE(OFFSET($H$3,0,0,'Données projet'!$E$12+1,1))</f>
        <v>265.17389489035344</v>
      </c>
      <c r="CE107" s="59">
        <f t="shared" si="94"/>
        <v>101.57852403610769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45.987179487179482</v>
      </c>
      <c r="CH107" s="16">
        <f>IF(ISNA(VLOOKUP(A107,'Données projet'!$A$113:$I$133,5,0)),0%,VLOOKUP(A107,'Données projet'!$A$113:$I$133,5,0)*VLOOKUP('Données projet'!$B$12,Paramètres!$A$1:$I$89,7,0))</f>
        <v>0.30099999999999999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35.087789958296405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35.087789958296405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-1.7053025658242404E-13</v>
      </c>
      <c r="CU107" s="17">
        <f>CT107*VLOOKUP('Données projet'!$B$13,Paramètres!$A$1:$I$89,3,0)*VLOOKUP('Données projet'!$B$13,Paramètres!$A$1:$I$89,5,0)</f>
        <v>-1.0197709343628959E-13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182.34243693018033</v>
      </c>
      <c r="CZ107" s="59">
        <f t="shared" si="96"/>
        <v>182.65916563909786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54.272023610249114</v>
      </c>
      <c r="DG107" s="21">
        <f>EXP(-LN(2)/25)*DG106+(1-EXP(-LN(2)/25))/(LN(2)/25)*Calculateur!DB107*Calculateur!DD107*VLOOKUP('Données projet'!$B$13,Paramètres!$A$1:$I$89,3,0)*0.475*44/12</f>
        <v>10.66973223431599</v>
      </c>
      <c r="DH107" s="21">
        <f>EXP(-LN(2)/2)*DH106+(1-EXP(-LN(2)/2))/(LN(2)/2)*DB107*DE107*VLOOKUP('Données projet'!$B$13,Paramètres!$A$1:$I$89,3,0)*0.475*44/12</f>
        <v>7.6205369210191443E-6</v>
      </c>
      <c r="DI107" s="22">
        <f t="shared" si="69"/>
        <v>64.941763465102028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>
        <f>VLOOKUP(A107,'Données projet'!$A$165:$I$185,2,0)</f>
        <v>279.71794871794873</v>
      </c>
      <c r="DM107" s="12">
        <f>VLOOKUP(A107,'Données projet'!$A$165:$I$185,9,0)</f>
        <v>6.071794871794876</v>
      </c>
      <c r="DN107" s="12">
        <f t="array" ref="DN107">INDEX(DM:DM,MIN(IF(ISNUMBER(DM107:DM303),ROW(DM107:DM303),"")))</f>
        <v>6.071794871794876</v>
      </c>
      <c r="DO107" s="12">
        <f>IF('Données projet'!$A$166&gt;35,DO106+DN107-DW106,IF(A107&lt;'Données projet'!$A$166,$DL$205^A107,IF(A107='Données projet'!$A$166,'Données projet'!$B$166,DO106+DN107-DW106)))</f>
        <v>279.71794871794867</v>
      </c>
      <c r="DP107" s="17">
        <f>DO107*VLOOKUP('Données projet'!$B$14,Paramètres!$A$1:$I$89,3,0)*VLOOKUP('Données projet'!$B$14,Paramètres!$A$1:$I$89,5,0)</f>
        <v>266.17959999999999</v>
      </c>
      <c r="DQ107" s="13">
        <f t="shared" si="97"/>
        <v>64.037812756569451</v>
      </c>
      <c r="DR107" s="20">
        <f t="shared" si="70"/>
        <v>575.12866055102506</v>
      </c>
      <c r="DS107" s="59">
        <f t="shared" si="71"/>
        <v>868.46199388435844</v>
      </c>
      <c r="DT107" s="59">
        <f ca="1">AVERAGE(OFFSET($DS$3,0,0,'Données projet'!$E$14+1,1))-AVERAGE(OFFSET($H$3,0,0,'Données projet'!$E$14+1,1))</f>
        <v>286.10360882057586</v>
      </c>
      <c r="DU107" s="59">
        <f t="shared" si="98"/>
        <v>109.24531387923128</v>
      </c>
      <c r="DV107" s="15">
        <f>IF(ISNA(VLOOKUP(A107,'Données projet'!$A$165:$I$185,3,0)),0,VLOOKUP(A107,'Données projet'!$A$165:$I$185,3,0))</f>
        <v>8</v>
      </c>
      <c r="DW107" s="15">
        <f>IF(ISNA(VLOOKUP(A107,'Données projet'!$A$165:$I$185,4,0)),0,VLOOKUP(A107,'Données projet'!$A$165:$I$185,4,0))</f>
        <v>45.987179487179482</v>
      </c>
      <c r="DX107" s="16">
        <f>IF(ISNA(VLOOKUP(A107,'Données projet'!$A$165:$I$185,5,0)),0%,VLOOKUP(A107,'Données projet'!$A$165:$I$185,5,0)*VLOOKUP('Données projet'!$B$14,Paramètres!$A$1:$I$89,7,0))</f>
        <v>0.30099999999999999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36.902675645794496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36.902675645794496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464.68652293206327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262.42149466677068</v>
      </c>
      <c r="T108" s="59">
        <f t="shared" si="88"/>
        <v>232.7693253699756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-1.0197709343628959E-13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249.37919739649828</v>
      </c>
      <c r="AO108" s="59">
        <f t="shared" si="90"/>
        <v>315.05045383693073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61.707825507364596</v>
      </c>
      <c r="AV108" s="21">
        <f>EXP(-LN(2)/25)*AV107+(1-EXP(-LN(2)/25))/(LN(2)/25)*Calculateur!AQ108*Calculateur!AS108*VLOOKUP('Données projet'!$B$10,Paramètres!$A$1:$I$89,3,0)*0.475*44/12</f>
        <v>11.360806242415366</v>
      </c>
      <c r="AW108" s="21">
        <f>EXP(-LN(2)/2)*AW107+(1-EXP(-LN(2)/2))/(LN(2)/2)*AQ108*AT108*VLOOKUP('Données projet'!$B$10,Paramètres!$A$1:$I$89,3,0)*0.475*44/12</f>
        <v>1.7030011950015838E-6</v>
      </c>
      <c r="AX108" s="21">
        <f t="shared" si="60"/>
        <v>73.068633452781157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212.00000000000009</v>
      </c>
      <c r="BE108" s="13">
        <f>BD108*VLOOKUP('Données projet'!$B$11,Paramètres!$A$1:$I$89,3,0)*VLOOKUP('Données projet'!$B$11,Paramètres!$A$1:$I$89,5,0)</f>
        <v>185.20320000000009</v>
      </c>
      <c r="BF108" s="13">
        <f t="shared" si="91"/>
        <v>46.477875402099386</v>
      </c>
      <c r="BG108" s="20">
        <f t="shared" si="61"/>
        <v>403.5112063253232</v>
      </c>
      <c r="BH108" s="59">
        <f t="shared" si="62"/>
        <v>696.84453965865646</v>
      </c>
      <c r="BI108" s="59">
        <f ca="1">AVERAGE(OFFSET($BH$3,0,0,'Données projet'!$E$11+1,1))-AVERAGE(OFFSET($H$3,0,0,'Données projet'!$E$11+1,1))</f>
        <v>186.80594222554424</v>
      </c>
      <c r="BJ108" s="59">
        <f t="shared" si="92"/>
        <v>179.02867751001872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13.526574185360472</v>
      </c>
      <c r="BQ108" s="21">
        <f>EXP(-LN(2)/25)*BQ107+(1-EXP(-LN(2)/25))/(LN(2)/25)*Calculateur!BL108*Calculateur!BN108*VLOOKUP('Données projet'!$B$11,Paramètres!$A$1:$I$89,3,0)*0.475*44/12</f>
        <v>12.176498809748193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25.703072995108663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5.9865384615384558</v>
      </c>
      <c r="BY108" s="12">
        <f>IF('Données projet'!$A$114&gt;35,BY107+BX108-CG107,IF(A108&lt;'Données projet'!$A$114,$BV$205^A108,IF(A108='Données projet'!$A$114,'Données projet'!$B$114,BY107+BX108-CG107)))</f>
        <v>239.71730769230763</v>
      </c>
      <c r="BZ108" s="13">
        <f>BY108*VLOOKUP('Données projet'!$B$12,Paramètres!$A$1:$I$89,3,0)*VLOOKUP('Données projet'!$B$12,Paramètres!$A$1:$I$89,5,0)</f>
        <v>216.89621999999994</v>
      </c>
      <c r="CA108" s="13">
        <f t="shared" si="93"/>
        <v>53.439737642112412</v>
      </c>
      <c r="CB108" s="20">
        <f t="shared" si="64"/>
        <v>470.83512622667905</v>
      </c>
      <c r="CC108" s="59">
        <f t="shared" si="65"/>
        <v>764.16845956001237</v>
      </c>
      <c r="CD108" s="59">
        <f ca="1">AVERAGE(OFFSET($CC$3,0,0,'Données projet'!$E$12+1,1))-AVERAGE(OFFSET($H$3,0,0,'Données projet'!$E$12+1,1))</f>
        <v>265.17389489035344</v>
      </c>
      <c r="CE108" s="59">
        <f t="shared" si="94"/>
        <v>101.57852403610769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34.399739798652867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34.399739798652867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-1.7053025658242404E-13</v>
      </c>
      <c r="CU108" s="17">
        <f>CT108*VLOOKUP('Données projet'!$B$13,Paramètres!$A$1:$I$89,3,0)*VLOOKUP('Données projet'!$B$13,Paramètres!$A$1:$I$89,5,0)</f>
        <v>-1.0197709343628959E-13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182.34243693018033</v>
      </c>
      <c r="CZ108" s="59">
        <f t="shared" si="96"/>
        <v>182.65916563909786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53.207782329917912</v>
      </c>
      <c r="DG108" s="21">
        <f>EXP(-LN(2)/25)*DG107+(1-EXP(-LN(2)/25))/(LN(2)/25)*Calculateur!DB108*Calculateur!DD108*VLOOKUP('Données projet'!$B$13,Paramètres!$A$1:$I$89,3,0)*0.475*44/12</f>
        <v>10.377967845271787</v>
      </c>
      <c r="DH108" s="21">
        <f>EXP(-LN(2)/2)*DH107+(1-EXP(-LN(2)/2))/(LN(2)/2)*DB108*DE108*VLOOKUP('Données projet'!$B$13,Paramètres!$A$1:$I$89,3,0)*0.475*44/12</f>
        <v>5.3885333331350914E-6</v>
      </c>
      <c r="DI108" s="22">
        <f t="shared" si="69"/>
        <v>63.585755563723033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5.9865384615384558</v>
      </c>
      <c r="DO108" s="12">
        <f>IF('Données projet'!$A$166&gt;35,DO107+DN108-DW107,IF(A108&lt;'Données projet'!$A$166,$DL$205^A108,IF(A108='Données projet'!$A$166,'Données projet'!$B$166,DO107+DN108-DW107)))</f>
        <v>239.71730769230763</v>
      </c>
      <c r="DP108" s="17">
        <f>DO108*VLOOKUP('Données projet'!$B$14,Paramètres!$A$1:$I$89,3,0)*VLOOKUP('Données projet'!$B$14,Paramètres!$A$1:$I$89,5,0)</f>
        <v>228.11498999999992</v>
      </c>
      <c r="DQ108" s="13">
        <f t="shared" si="97"/>
        <v>55.874903289159541</v>
      </c>
      <c r="DR108" s="20">
        <f t="shared" si="70"/>
        <v>494.61573081195274</v>
      </c>
      <c r="DS108" s="59">
        <f t="shared" si="71"/>
        <v>787.949064145286</v>
      </c>
      <c r="DT108" s="59">
        <f ca="1">AVERAGE(OFFSET($DS$3,0,0,'Données projet'!$E$14+1,1))-AVERAGE(OFFSET($H$3,0,0,'Données projet'!$E$14+1,1))</f>
        <v>286.10360882057586</v>
      </c>
      <c r="DU108" s="59">
        <f t="shared" si="98"/>
        <v>109.24531387923128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36.179036684790091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36.179036684790091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466.27696922957591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262.42149466677068</v>
      </c>
      <c r="T109" s="59">
        <f t="shared" si="88"/>
        <v>232.7693253699756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-1.0197709343628959E-13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249.37919739649828</v>
      </c>
      <c r="AO109" s="59">
        <f t="shared" si="90"/>
        <v>315.05045383693073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60.497772687222287</v>
      </c>
      <c r="AV109" s="21">
        <f>EXP(-LN(2)/25)*AV108+(1-EXP(-LN(2)/25))/(LN(2)/25)*Calculateur!AQ109*Calculateur!AS109*VLOOKUP('Données projet'!$B$10,Paramètres!$A$1:$I$89,3,0)*0.475*44/12</f>
        <v>11.050144398277682</v>
      </c>
      <c r="AW109" s="21">
        <f>EXP(-LN(2)/2)*AW108+(1-EXP(-LN(2)/2))/(LN(2)/2)*AQ109*AT109*VLOOKUP('Données projet'!$B$10,Paramètres!$A$1:$I$89,3,0)*0.475*44/12</f>
        <v>1.2042036933544138E-6</v>
      </c>
      <c r="AX109" s="21">
        <f t="shared" si="60"/>
        <v>71.547918289703674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212.00000000000009</v>
      </c>
      <c r="BE109" s="13">
        <f>BD109*VLOOKUP('Données projet'!$B$11,Paramètres!$A$1:$I$89,3,0)*VLOOKUP('Données projet'!$B$11,Paramètres!$A$1:$I$89,5,0)</f>
        <v>185.20320000000009</v>
      </c>
      <c r="BF109" s="13">
        <f t="shared" si="91"/>
        <v>46.477875402099386</v>
      </c>
      <c r="BG109" s="20">
        <f t="shared" si="61"/>
        <v>403.5112063253232</v>
      </c>
      <c r="BH109" s="59">
        <f t="shared" si="62"/>
        <v>696.84453965865646</v>
      </c>
      <c r="BI109" s="59">
        <f ca="1">AVERAGE(OFFSET($BH$3,0,0,'Données projet'!$E$11+1,1))-AVERAGE(OFFSET($H$3,0,0,'Données projet'!$E$11+1,1))</f>
        <v>186.80594222554424</v>
      </c>
      <c r="BJ109" s="59">
        <f t="shared" si="92"/>
        <v>179.02867751001872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13.261326315981147</v>
      </c>
      <c r="BQ109" s="21">
        <f>EXP(-LN(2)/25)*BQ108+(1-EXP(-LN(2)/25))/(LN(2)/25)*Calculateur!BL109*Calculateur!BN109*VLOOKUP('Données projet'!$B$11,Paramètres!$A$1:$I$89,3,0)*0.475*44/12</f>
        <v>11.843531809461386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25.104858125442533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5.9865384615384558</v>
      </c>
      <c r="BY109" s="12">
        <f>IF('Données projet'!$A$114&gt;35,BY108+BX109-CG108,IF(A109&lt;'Données projet'!$A$114,$BV$205^A109,IF(A109='Données projet'!$A$114,'Données projet'!$B$114,BY108+BX109-CG108)))</f>
        <v>245.70384615384609</v>
      </c>
      <c r="BZ109" s="13">
        <f>BY109*VLOOKUP('Données projet'!$B$12,Paramètres!$A$1:$I$89,3,0)*VLOOKUP('Données projet'!$B$12,Paramètres!$A$1:$I$89,5,0)</f>
        <v>222.31283999999994</v>
      </c>
      <c r="CA109" s="13">
        <f t="shared" si="93"/>
        <v>54.617263695846574</v>
      </c>
      <c r="CB109" s="20">
        <f t="shared" si="64"/>
        <v>482.31993060359929</v>
      </c>
      <c r="CC109" s="59">
        <f t="shared" si="65"/>
        <v>775.6532639369326</v>
      </c>
      <c r="CD109" s="59">
        <f ca="1">AVERAGE(OFFSET($CC$3,0,0,'Données projet'!$E$12+1,1))-AVERAGE(OFFSET($H$3,0,0,'Données projet'!$E$12+1,1))</f>
        <v>265.17389489035344</v>
      </c>
      <c r="CE109" s="59">
        <f t="shared" si="94"/>
        <v>101.57852403610769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33.72518188297078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33.72518188297078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-1.7053025658242404E-13</v>
      </c>
      <c r="CU109" s="17">
        <f>CT109*VLOOKUP('Données projet'!$B$13,Paramètres!$A$1:$I$89,3,0)*VLOOKUP('Données projet'!$B$13,Paramètres!$A$1:$I$89,5,0)</f>
        <v>-1.0197709343628959E-13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182.34243693018033</v>
      </c>
      <c r="CZ109" s="59">
        <f t="shared" si="96"/>
        <v>182.65916563909786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52.164410171970921</v>
      </c>
      <c r="DG109" s="21">
        <f>EXP(-LN(2)/25)*DG108+(1-EXP(-LN(2)/25))/(LN(2)/25)*Calculateur!DB109*Calculateur!DD109*VLOOKUP('Données projet'!$B$13,Paramètres!$A$1:$I$89,3,0)*0.475*44/12</f>
        <v>10.09418176878922</v>
      </c>
      <c r="DH109" s="21">
        <f>EXP(-LN(2)/2)*DH108+(1-EXP(-LN(2)/2))/(LN(2)/2)*DB109*DE109*VLOOKUP('Données projet'!$B$13,Paramètres!$A$1:$I$89,3,0)*0.475*44/12</f>
        <v>3.810268460509573E-6</v>
      </c>
      <c r="DI109" s="22">
        <f t="shared" si="69"/>
        <v>62.258595751028601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5.9865384615384558</v>
      </c>
      <c r="DO109" s="12">
        <f>IF('Données projet'!$A$166&gt;35,DO108+DN109-DW108,IF(A109&lt;'Données projet'!$A$166,$DL$205^A109,IF(A109='Données projet'!$A$166,'Données projet'!$B$166,DO108+DN109-DW108)))</f>
        <v>245.70384615384609</v>
      </c>
      <c r="DP109" s="17">
        <f>DO109*VLOOKUP('Données projet'!$B$14,Paramètres!$A$1:$I$89,3,0)*VLOOKUP('Données projet'!$B$14,Paramètres!$A$1:$I$89,5,0)</f>
        <v>233.81177999999994</v>
      </c>
      <c r="DQ109" s="13">
        <f t="shared" si="97"/>
        <v>57.106087371938621</v>
      </c>
      <c r="DR109" s="20">
        <f t="shared" si="70"/>
        <v>506.68195233945966</v>
      </c>
      <c r="DS109" s="59">
        <f t="shared" si="71"/>
        <v>800.01528567279297</v>
      </c>
      <c r="DT109" s="59">
        <f ca="1">AVERAGE(OFFSET($DS$3,0,0,'Données projet'!$E$14+1,1))-AVERAGE(OFFSET($H$3,0,0,'Données projet'!$E$14+1,1))</f>
        <v>286.10360882057586</v>
      </c>
      <c r="DU109" s="59">
        <f t="shared" si="98"/>
        <v>109.24531387923128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35.469587842434798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35.469587842434798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467.86707150011296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262.42149466677068</v>
      </c>
      <c r="T110" s="59">
        <f t="shared" si="88"/>
        <v>232.7693253699756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-1.0197709343628959E-13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249.37919739649828</v>
      </c>
      <c r="AO110" s="59">
        <f t="shared" si="90"/>
        <v>315.05045383693073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59.311448264823625</v>
      </c>
      <c r="AV110" s="21">
        <f>EXP(-LN(2)/25)*AV109+(1-EXP(-LN(2)/25))/(LN(2)/25)*Calculateur!AQ110*Calculateur!AS110*VLOOKUP('Données projet'!$B$10,Paramètres!$A$1:$I$89,3,0)*0.475*44/12</f>
        <v>10.74797761860494</v>
      </c>
      <c r="AW110" s="21">
        <f>EXP(-LN(2)/2)*AW109+(1-EXP(-LN(2)/2))/(LN(2)/2)*AQ110*AT110*VLOOKUP('Données projet'!$B$10,Paramètres!$A$1:$I$89,3,0)*0.475*44/12</f>
        <v>8.5150059750079189E-7</v>
      </c>
      <c r="AX110" s="21">
        <f t="shared" si="60"/>
        <v>70.059426734929161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212.00000000000009</v>
      </c>
      <c r="BE110" s="13">
        <f>BD110*VLOOKUP('Données projet'!$B$11,Paramètres!$A$1:$I$89,3,0)*VLOOKUP('Données projet'!$B$11,Paramètres!$A$1:$I$89,5,0)</f>
        <v>185.20320000000009</v>
      </c>
      <c r="BF110" s="13">
        <f t="shared" si="91"/>
        <v>46.477875402099386</v>
      </c>
      <c r="BG110" s="20">
        <f t="shared" si="61"/>
        <v>403.5112063253232</v>
      </c>
      <c r="BH110" s="59">
        <f t="shared" si="62"/>
        <v>696.84453965865646</v>
      </c>
      <c r="BI110" s="59">
        <f ca="1">AVERAGE(OFFSET($BH$3,0,0,'Données projet'!$E$11+1,1))-AVERAGE(OFFSET($H$3,0,0,'Données projet'!$E$11+1,1))</f>
        <v>186.80594222554424</v>
      </c>
      <c r="BJ110" s="59">
        <f t="shared" si="92"/>
        <v>179.02867751001872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13.001279795535126</v>
      </c>
      <c r="BQ110" s="21">
        <f>EXP(-LN(2)/25)*BQ109+(1-EXP(-LN(2)/25))/(LN(2)/25)*Calculateur!BL110*Calculateur!BN110*VLOOKUP('Données projet'!$B$11,Paramètres!$A$1:$I$89,3,0)*0.475*44/12</f>
        <v>11.519669809307395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24.520949604842521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5.9865384615384558</v>
      </c>
      <c r="BY110" s="12">
        <f>IF('Données projet'!$A$114&gt;35,BY109+BX110-CG109,IF(A110&lt;'Données projet'!$A$114,$BV$205^A110,IF(A110='Données projet'!$A$114,'Données projet'!$B$114,BY109+BX110-CG109)))</f>
        <v>251.69038461538454</v>
      </c>
      <c r="BZ110" s="13">
        <f>BY110*VLOOKUP('Données projet'!$B$12,Paramètres!$A$1:$I$89,3,0)*VLOOKUP('Données projet'!$B$12,Paramètres!$A$1:$I$89,5,0)</f>
        <v>227.7294599999999</v>
      </c>
      <c r="CA110" s="13">
        <f t="shared" si="93"/>
        <v>55.791454586739938</v>
      </c>
      <c r="CB110" s="20">
        <f t="shared" si="64"/>
        <v>493.79892623857194</v>
      </c>
      <c r="CC110" s="59">
        <f t="shared" si="65"/>
        <v>787.13225957190525</v>
      </c>
      <c r="CD110" s="59">
        <f ca="1">AVERAGE(OFFSET($CC$3,0,0,'Données projet'!$E$12+1,1))-AVERAGE(OFFSET($H$3,0,0,'Données projet'!$E$12+1,1))</f>
        <v>265.17389489035344</v>
      </c>
      <c r="CE110" s="59">
        <f t="shared" si="94"/>
        <v>101.57852403610769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33.063851636575521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33.063851636575521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-1.7053025658242404E-13</v>
      </c>
      <c r="CU110" s="17">
        <f>CT110*VLOOKUP('Données projet'!$B$13,Paramètres!$A$1:$I$89,3,0)*VLOOKUP('Données projet'!$B$13,Paramètres!$A$1:$I$89,5,0)</f>
        <v>-1.0197709343628959E-13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182.34243693018033</v>
      </c>
      <c r="CZ110" s="59">
        <f t="shared" si="96"/>
        <v>182.65916563909786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51.141497905647093</v>
      </c>
      <c r="DG110" s="21">
        <f>EXP(-LN(2)/25)*DG109+(1-EXP(-LN(2)/25))/(LN(2)/25)*Calculateur!DB110*Calculateur!DD110*VLOOKUP('Données projet'!$B$13,Paramètres!$A$1:$I$89,3,0)*0.475*44/12</f>
        <v>9.8181558374917302</v>
      </c>
      <c r="DH110" s="21">
        <f>EXP(-LN(2)/2)*DH109+(1-EXP(-LN(2)/2))/(LN(2)/2)*DB110*DE110*VLOOKUP('Données projet'!$B$13,Paramètres!$A$1:$I$89,3,0)*0.475*44/12</f>
        <v>2.6942666665675461E-6</v>
      </c>
      <c r="DI110" s="22">
        <f t="shared" si="69"/>
        <v>60.959656437405492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5.9865384615384558</v>
      </c>
      <c r="DO110" s="12">
        <f>IF('Données projet'!$A$166&gt;35,DO109+DN110-DW109,IF(A110&lt;'Données projet'!$A$166,$DL$205^A110,IF(A110='Données projet'!$A$166,'Données projet'!$B$166,DO109+DN110-DW109)))</f>
        <v>251.69038461538454</v>
      </c>
      <c r="DP110" s="17">
        <f>DO110*VLOOKUP('Données projet'!$B$14,Paramètres!$A$1:$I$89,3,0)*VLOOKUP('Données projet'!$B$14,Paramètres!$A$1:$I$89,5,0)</f>
        <v>239.50856999999991</v>
      </c>
      <c r="DQ110" s="13">
        <f t="shared" si="97"/>
        <v>58.333784313698693</v>
      </c>
      <c r="DR110" s="20">
        <f t="shared" si="70"/>
        <v>518.74210042969173</v>
      </c>
      <c r="DS110" s="59">
        <f t="shared" si="71"/>
        <v>812.0754337630251</v>
      </c>
      <c r="DT110" s="59">
        <f ca="1">AVERAGE(OFFSET($DS$3,0,0,'Données projet'!$E$14+1,1))-AVERAGE(OFFSET($H$3,0,0,'Données projet'!$E$14+1,1))</f>
        <v>286.10360882057586</v>
      </c>
      <c r="DU110" s="59">
        <f t="shared" si="98"/>
        <v>109.24531387923128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34.774050859157022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34.774050859157022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469.45683333128278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262.42149466677068</v>
      </c>
      <c r="T111" s="59">
        <f t="shared" si="88"/>
        <v>232.7693253699756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-1.0197709343628959E-13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249.37919739649828</v>
      </c>
      <c r="AO111" s="59">
        <f t="shared" si="90"/>
        <v>315.05045383693073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58.148386940761753</v>
      </c>
      <c r="AV111" s="21">
        <f>EXP(-LN(2)/25)*AV110+(1-EXP(-LN(2)/25))/(LN(2)/25)*Calculateur!AQ111*Calculateur!AS111*VLOOKUP('Données projet'!$B$10,Paramètres!$A$1:$I$89,3,0)*0.475*44/12</f>
        <v>10.45407360541261</v>
      </c>
      <c r="AW111" s="21">
        <f>EXP(-LN(2)/2)*AW110+(1-EXP(-LN(2)/2))/(LN(2)/2)*AQ111*AT111*VLOOKUP('Données projet'!$B$10,Paramètres!$A$1:$I$89,3,0)*0.475*44/12</f>
        <v>6.0210184667720692E-7</v>
      </c>
      <c r="AX111" s="21">
        <f t="shared" si="60"/>
        <v>68.60246114827622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212.00000000000009</v>
      </c>
      <c r="BE111" s="13">
        <f>BD111*VLOOKUP('Données projet'!$B$11,Paramètres!$A$1:$I$89,3,0)*VLOOKUP('Données projet'!$B$11,Paramètres!$A$1:$I$89,5,0)</f>
        <v>185.20320000000009</v>
      </c>
      <c r="BF111" s="13">
        <f t="shared" si="91"/>
        <v>46.477875402099386</v>
      </c>
      <c r="BG111" s="20">
        <f t="shared" si="61"/>
        <v>403.5112063253232</v>
      </c>
      <c r="BH111" s="59">
        <f t="shared" si="62"/>
        <v>696.84453965865646</v>
      </c>
      <c r="BI111" s="59">
        <f ca="1">AVERAGE(OFFSET($BH$3,0,0,'Données projet'!$E$11+1,1))-AVERAGE(OFFSET($H$3,0,0,'Données projet'!$E$11+1,1))</f>
        <v>186.80594222554424</v>
      </c>
      <c r="BJ111" s="59">
        <f t="shared" si="92"/>
        <v>179.02867751001872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12.746332628742335</v>
      </c>
      <c r="BQ111" s="21">
        <f>EXP(-LN(2)/25)*BQ110+(1-EXP(-LN(2)/25))/(LN(2)/25)*Calculateur!BL111*Calculateur!BN111*VLOOKUP('Données projet'!$B$11,Paramètres!$A$1:$I$89,3,0)*0.475*44/12</f>
        <v>11.204663832578778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23.950996461321111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5.9865384615384558</v>
      </c>
      <c r="BY111" s="12">
        <f>IF('Données projet'!$A$114&gt;35,BY110+BX111-CG110,IF(A111&lt;'Données projet'!$A$114,$BV$205^A111,IF(A111='Données projet'!$A$114,'Données projet'!$B$114,BY110+BX111-CG110)))</f>
        <v>257.676923076923</v>
      </c>
      <c r="BZ111" s="13">
        <f>BY111*VLOOKUP('Données projet'!$B$12,Paramètres!$A$1:$I$89,3,0)*VLOOKUP('Données projet'!$B$12,Paramètres!$A$1:$I$89,5,0)</f>
        <v>233.14607999999996</v>
      </c>
      <c r="CA111" s="13">
        <f t="shared" si="93"/>
        <v>56.96239877088869</v>
      </c>
      <c r="CB111" s="20">
        <f t="shared" si="64"/>
        <v>505.27226719263109</v>
      </c>
      <c r="CC111" s="59">
        <f t="shared" si="65"/>
        <v>798.60560052596441</v>
      </c>
      <c r="CD111" s="59">
        <f ca="1">AVERAGE(OFFSET($CC$3,0,0,'Données projet'!$E$12+1,1))-AVERAGE(OFFSET($H$3,0,0,'Données projet'!$E$12+1,1))</f>
        <v>265.17389489035344</v>
      </c>
      <c r="CE111" s="59">
        <f t="shared" si="94"/>
        <v>101.57852403610769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32.415489672940453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32.415489672940453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-1.7053025658242404E-13</v>
      </c>
      <c r="CU111" s="17">
        <f>CT111*VLOOKUP('Données projet'!$B$13,Paramètres!$A$1:$I$89,3,0)*VLOOKUP('Données projet'!$B$13,Paramètres!$A$1:$I$89,5,0)</f>
        <v>-1.0197709343628959E-13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182.34243693018033</v>
      </c>
      <c r="CZ111" s="59">
        <f t="shared" si="96"/>
        <v>182.65916563909786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50.138644324951002</v>
      </c>
      <c r="DG111" s="21">
        <f>EXP(-LN(2)/25)*DG110+(1-EXP(-LN(2)/25))/(LN(2)/25)*Calculateur!DB111*Calculateur!DD111*VLOOKUP('Données projet'!$B$13,Paramètres!$A$1:$I$89,3,0)*0.475*44/12</f>
        <v>9.5496778498011423</v>
      </c>
      <c r="DH111" s="21">
        <f>EXP(-LN(2)/2)*DH110+(1-EXP(-LN(2)/2))/(LN(2)/2)*DB111*DE111*VLOOKUP('Données projet'!$B$13,Paramètres!$A$1:$I$89,3,0)*0.475*44/12</f>
        <v>1.9051342302547867E-6</v>
      </c>
      <c r="DI111" s="22">
        <f t="shared" si="69"/>
        <v>59.688324079886378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5.9865384615384558</v>
      </c>
      <c r="DO111" s="12">
        <f>IF('Données projet'!$A$166&gt;35,DO110+DN111-DW110,IF(A111&lt;'Données projet'!$A$166,$DL$205^A111,IF(A111='Données projet'!$A$166,'Données projet'!$B$166,DO110+DN111-DW110)))</f>
        <v>257.676923076923</v>
      </c>
      <c r="DP111" s="17">
        <f>DO111*VLOOKUP('Données projet'!$B$14,Paramètres!$A$1:$I$89,3,0)*VLOOKUP('Données projet'!$B$14,Paramètres!$A$1:$I$89,5,0)</f>
        <v>245.20535999999993</v>
      </c>
      <c r="DQ111" s="13">
        <f t="shared" si="97"/>
        <v>59.558086601342247</v>
      </c>
      <c r="DR111" s="20">
        <f t="shared" si="70"/>
        <v>530.79633616400429</v>
      </c>
      <c r="DS111" s="59">
        <f t="shared" si="71"/>
        <v>824.12966949733755</v>
      </c>
      <c r="DT111" s="59">
        <f ca="1">AVERAGE(OFFSET($DS$3,0,0,'Données projet'!$E$14+1,1))-AVERAGE(OFFSET($H$3,0,0,'Données projet'!$E$14+1,1))</f>
        <v>286.10360882057586</v>
      </c>
      <c r="DU111" s="59">
        <f t="shared" si="98"/>
        <v>109.24531387923128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34.092152931885657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34.092152931885657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471.04625824042512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262.42149466677068</v>
      </c>
      <c r="T112" s="59">
        <f t="shared" si="88"/>
        <v>232.7693253699756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-1.0197709343628959E-13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249.37919739649828</v>
      </c>
      <c r="AO112" s="59">
        <f t="shared" si="90"/>
        <v>315.05045383693073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57.008132539867375</v>
      </c>
      <c r="AV112" s="21">
        <f>EXP(-LN(2)/25)*AV111+(1-EXP(-LN(2)/25))/(LN(2)/25)*Calculateur!AQ112*Calculateur!AS112*VLOOKUP('Données projet'!$B$10,Paramètres!$A$1:$I$89,3,0)*0.475*44/12</f>
        <v>10.168206412916764</v>
      </c>
      <c r="AW112" s="21">
        <f>EXP(-LN(2)/2)*AW111+(1-EXP(-LN(2)/2))/(LN(2)/2)*AQ112*AT112*VLOOKUP('Données projet'!$B$10,Paramètres!$A$1:$I$89,3,0)*0.475*44/12</f>
        <v>4.2575029875039594E-7</v>
      </c>
      <c r="AX112" s="21">
        <f t="shared" si="60"/>
        <v>67.176339378534436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212.00000000000009</v>
      </c>
      <c r="BE112" s="13">
        <f>BD112*VLOOKUP('Données projet'!$B$11,Paramètres!$A$1:$I$89,3,0)*VLOOKUP('Données projet'!$B$11,Paramètres!$A$1:$I$89,5,0)</f>
        <v>185.20320000000009</v>
      </c>
      <c r="BF112" s="13">
        <f t="shared" si="91"/>
        <v>46.477875402099386</v>
      </c>
      <c r="BG112" s="20">
        <f t="shared" si="61"/>
        <v>403.5112063253232</v>
      </c>
      <c r="BH112" s="59">
        <f t="shared" si="62"/>
        <v>696.84453965865646</v>
      </c>
      <c r="BI112" s="59">
        <f ca="1">AVERAGE(OFFSET($BH$3,0,0,'Données projet'!$E$11+1,1))-AVERAGE(OFFSET($H$3,0,0,'Données projet'!$E$11+1,1))</f>
        <v>186.80594222554424</v>
      </c>
      <c r="BJ112" s="59">
        <f t="shared" si="92"/>
        <v>179.02867751001872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12.496384820387934</v>
      </c>
      <c r="BQ112" s="21">
        <f>EXP(-LN(2)/25)*BQ111+(1-EXP(-LN(2)/25))/(LN(2)/25)*Calculateur!BL112*Calculateur!BN112*VLOOKUP('Données projet'!$B$11,Paramètres!$A$1:$I$89,3,0)*0.475*44/12</f>
        <v>10.898271710849249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23.394656531237182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5.9865384615384558</v>
      </c>
      <c r="BY112" s="12">
        <f>IF('Données projet'!$A$114&gt;35,BY111+BX112-CG111,IF(A112&lt;'Données projet'!$A$114,$BV$205^A112,IF(A112='Données projet'!$A$114,'Données projet'!$B$114,BY111+BX112-CG111)))</f>
        <v>263.66346153846143</v>
      </c>
      <c r="BZ112" s="13">
        <f>BY112*VLOOKUP('Données projet'!$B$12,Paramètres!$A$1:$I$89,3,0)*VLOOKUP('Données projet'!$B$12,Paramètres!$A$1:$I$89,5,0)</f>
        <v>238.56269999999989</v>
      </c>
      <c r="CA112" s="13">
        <f t="shared" si="93"/>
        <v>58.130180359724058</v>
      </c>
      <c r="CB112" s="20">
        <f t="shared" si="64"/>
        <v>516.74009995985261</v>
      </c>
      <c r="CC112" s="59">
        <f t="shared" si="65"/>
        <v>810.07343329318587</v>
      </c>
      <c r="CD112" s="59">
        <f ca="1">AVERAGE(OFFSET($CC$3,0,0,'Données projet'!$E$12+1,1))-AVERAGE(OFFSET($H$3,0,0,'Données projet'!$E$12+1,1))</f>
        <v>265.17389489035344</v>
      </c>
      <c r="CE112" s="59">
        <f t="shared" si="94"/>
        <v>101.57852403610769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31.779841691950519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31.779841691950519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-1.7053025658242404E-13</v>
      </c>
      <c r="CU112" s="17">
        <f>CT112*VLOOKUP('Données projet'!$B$13,Paramètres!$A$1:$I$89,3,0)*VLOOKUP('Données projet'!$B$13,Paramètres!$A$1:$I$89,5,0)</f>
        <v>-1.0197709343628959E-13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182.34243693018033</v>
      </c>
      <c r="CZ112" s="59">
        <f t="shared" si="96"/>
        <v>182.65916563909786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49.155456091292073</v>
      </c>
      <c r="DG112" s="21">
        <f>EXP(-LN(2)/25)*DG111+(1-EXP(-LN(2)/25))/(LN(2)/25)*Calculateur!DB112*Calculateur!DD112*VLOOKUP('Données projet'!$B$13,Paramètres!$A$1:$I$89,3,0)*0.475*44/12</f>
        <v>9.2885414068025973</v>
      </c>
      <c r="DH112" s="21">
        <f>EXP(-LN(2)/2)*DH111+(1-EXP(-LN(2)/2))/(LN(2)/2)*DB112*DE112*VLOOKUP('Données projet'!$B$13,Paramètres!$A$1:$I$89,3,0)*0.475*44/12</f>
        <v>1.3471333332837733E-6</v>
      </c>
      <c r="DI112" s="22">
        <f t="shared" si="69"/>
        <v>58.443998845228009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5.9865384615384558</v>
      </c>
      <c r="DO112" s="12">
        <f>IF('Données projet'!$A$166&gt;35,DO111+DN112-DW111,IF(A112&lt;'Données projet'!$A$166,$DL$205^A112,IF(A112='Données projet'!$A$166,'Données projet'!$B$166,DO111+DN112-DW111)))</f>
        <v>263.66346153846143</v>
      </c>
      <c r="DP112" s="17">
        <f>DO112*VLOOKUP('Données projet'!$B$14,Paramètres!$A$1:$I$89,3,0)*VLOOKUP('Données projet'!$B$14,Paramètres!$A$1:$I$89,5,0)</f>
        <v>250.90214999999992</v>
      </c>
      <c r="DQ112" s="13">
        <f t="shared" si="97"/>
        <v>60.779082179127812</v>
      </c>
      <c r="DR112" s="20">
        <f t="shared" si="70"/>
        <v>542.84481271198081</v>
      </c>
      <c r="DS112" s="59">
        <f t="shared" si="71"/>
        <v>836.17814604531418</v>
      </c>
      <c r="DT112" s="59">
        <f ca="1">AVERAGE(OFFSET($DS$3,0,0,'Données projet'!$E$14+1,1))-AVERAGE(OFFSET($H$3,0,0,'Données projet'!$E$14+1,1))</f>
        <v>286.10360882057586</v>
      </c>
      <c r="DU112" s="59">
        <f t="shared" si="98"/>
        <v>109.24531387923128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33.423626607051418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33.423626607051418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472.6353496766186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262.42149466677068</v>
      </c>
      <c r="T113" s="59">
        <f t="shared" si="88"/>
        <v>232.7693253699756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-1.0197709343628959E-13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249.37919739649828</v>
      </c>
      <c r="AO113" s="59">
        <f t="shared" si="90"/>
        <v>315.05045383693073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55.890237832288022</v>
      </c>
      <c r="AV113" s="21">
        <f>EXP(-LN(2)/25)*AV112+(1-EXP(-LN(2)/25))/(LN(2)/25)*Calculateur!AQ113*Calculateur!AS113*VLOOKUP('Données projet'!$B$10,Paramètres!$A$1:$I$89,3,0)*0.475*44/12</f>
        <v>9.8901562738328188</v>
      </c>
      <c r="AW113" s="21">
        <f>EXP(-LN(2)/2)*AW112+(1-EXP(-LN(2)/2))/(LN(2)/2)*AQ113*AT113*VLOOKUP('Données projet'!$B$10,Paramètres!$A$1:$I$89,3,0)*0.475*44/12</f>
        <v>3.0105092333860346E-7</v>
      </c>
      <c r="AX113" s="21">
        <f t="shared" si="60"/>
        <v>65.780394407171755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212.00000000000009</v>
      </c>
      <c r="BE113" s="13">
        <f>BD113*VLOOKUP('Données projet'!$B$11,Paramètres!$A$1:$I$89,3,0)*VLOOKUP('Données projet'!$B$11,Paramètres!$A$1:$I$89,5,0)</f>
        <v>185.20320000000009</v>
      </c>
      <c r="BF113" s="13">
        <f t="shared" si="91"/>
        <v>46.477875402099386</v>
      </c>
      <c r="BG113" s="20">
        <f t="shared" si="61"/>
        <v>403.5112063253232</v>
      </c>
      <c r="BH113" s="59">
        <f t="shared" si="62"/>
        <v>696.84453965865646</v>
      </c>
      <c r="BI113" s="59">
        <f ca="1">AVERAGE(OFFSET($BH$3,0,0,'Données projet'!$E$11+1,1))-AVERAGE(OFFSET($H$3,0,0,'Données projet'!$E$11+1,1))</f>
        <v>186.80594222554424</v>
      </c>
      <c r="BJ113" s="59">
        <f t="shared" si="92"/>
        <v>179.02867751001872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12.251338336102254</v>
      </c>
      <c r="BQ113" s="21">
        <f>EXP(-LN(2)/25)*BQ112+(1-EXP(-LN(2)/25))/(LN(2)/25)*Calculateur!BL113*Calculateur!BN113*VLOOKUP('Données projet'!$B$11,Paramètres!$A$1:$I$89,3,0)*0.475*44/12</f>
        <v>10.600257897800875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22.85159623390313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5.9865384615384558</v>
      </c>
      <c r="BY113" s="12">
        <f>IF('Données projet'!$A$114&gt;35,BY112+BX113-CG112,IF(A113&lt;'Données projet'!$A$114,$BV$205^A113,IF(A113='Données projet'!$A$114,'Données projet'!$B$114,BY112+BX113-CG112)))</f>
        <v>269.64999999999986</v>
      </c>
      <c r="BZ113" s="13">
        <f>BY113*VLOOKUP('Données projet'!$B$12,Paramètres!$A$1:$I$89,3,0)*VLOOKUP('Données projet'!$B$12,Paramètres!$A$1:$I$89,5,0)</f>
        <v>243.97931999999986</v>
      </c>
      <c r="CA113" s="13">
        <f t="shared" si="93"/>
        <v>59.294879427135335</v>
      </c>
      <c r="CB113" s="20">
        <f t="shared" si="64"/>
        <v>528.20256400226049</v>
      </c>
      <c r="CC113" s="59">
        <f t="shared" si="65"/>
        <v>821.53589733559375</v>
      </c>
      <c r="CD113" s="59">
        <f ca="1">AVERAGE(OFFSET($CC$3,0,0,'Données projet'!$E$12+1,1))-AVERAGE(OFFSET($H$3,0,0,'Données projet'!$E$12+1,1))</f>
        <v>265.17389489035344</v>
      </c>
      <c r="CE113" s="59">
        <f t="shared" si="94"/>
        <v>101.57852403610769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31.156658380160813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31.156658380160813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-1.7053025658242404E-13</v>
      </c>
      <c r="CU113" s="17">
        <f>CT113*VLOOKUP('Données projet'!$B$13,Paramètres!$A$1:$I$89,3,0)*VLOOKUP('Données projet'!$B$13,Paramètres!$A$1:$I$89,5,0)</f>
        <v>-1.0197709343628959E-13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182.34243693018033</v>
      </c>
      <c r="CZ113" s="59">
        <f t="shared" si="96"/>
        <v>182.65916563909786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48.19154757920959</v>
      </c>
      <c r="DG113" s="21">
        <f>EXP(-LN(2)/25)*DG112+(1-EXP(-LN(2)/25))/(LN(2)/25)*Calculateur!DB113*Calculateur!DD113*VLOOKUP('Données projet'!$B$13,Paramètres!$A$1:$I$89,3,0)*0.475*44/12</f>
        <v>9.0345457535704163</v>
      </c>
      <c r="DH113" s="21">
        <f>EXP(-LN(2)/2)*DH112+(1-EXP(-LN(2)/2))/(LN(2)/2)*DB113*DE113*VLOOKUP('Données projet'!$B$13,Paramètres!$A$1:$I$89,3,0)*0.475*44/12</f>
        <v>9.5256711512739357E-7</v>
      </c>
      <c r="DI113" s="22">
        <f t="shared" si="69"/>
        <v>57.226094285347124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5.9865384615384558</v>
      </c>
      <c r="DO113" s="12">
        <f>IF('Données projet'!$A$166&gt;35,DO112+DN113-DW112,IF(A113&lt;'Données projet'!$A$166,$DL$205^A113,IF(A113='Données projet'!$A$166,'Données projet'!$B$166,DO112+DN113-DW112)))</f>
        <v>269.64999999999986</v>
      </c>
      <c r="DP113" s="17">
        <f>DO113*VLOOKUP('Données projet'!$B$14,Paramètres!$A$1:$I$89,3,0)*VLOOKUP('Données projet'!$B$14,Paramètres!$A$1:$I$89,5,0)</f>
        <v>256.59893999999991</v>
      </c>
      <c r="DQ113" s="13">
        <f t="shared" si="97"/>
        <v>61.996854769786935</v>
      </c>
      <c r="DR113" s="20">
        <f t="shared" si="70"/>
        <v>554.88767589071199</v>
      </c>
      <c r="DS113" s="59">
        <f t="shared" si="71"/>
        <v>848.22100922404525</v>
      </c>
      <c r="DT113" s="59">
        <f ca="1">AVERAGE(OFFSET($DS$3,0,0,'Données projet'!$E$14+1,1))-AVERAGE(OFFSET($H$3,0,0,'Données projet'!$E$14+1,1))</f>
        <v>286.10360882057586</v>
      </c>
      <c r="DU113" s="59">
        <f t="shared" si="98"/>
        <v>109.24531387923128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32.768209675686379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32.768209675686379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474.2241110226139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262.42149466677068</v>
      </c>
      <c r="T114" s="59">
        <f t="shared" si="88"/>
        <v>232.7693253699756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-1.0197709343628959E-13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249.37919739649828</v>
      </c>
      <c r="AO114" s="59">
        <f t="shared" si="90"/>
        <v>315.05045383693073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54.794264358075857</v>
      </c>
      <c r="AV114" s="21">
        <f>EXP(-LN(2)/25)*AV113+(1-EXP(-LN(2)/25))/(LN(2)/25)*Calculateur!AQ114*Calculateur!AS114*VLOOKUP('Données projet'!$B$10,Paramètres!$A$1:$I$89,3,0)*0.475*44/12</f>
        <v>9.6197094304241464</v>
      </c>
      <c r="AW114" s="21">
        <f>EXP(-LN(2)/2)*AW113+(1-EXP(-LN(2)/2))/(LN(2)/2)*AQ114*AT114*VLOOKUP('Données projet'!$B$10,Paramètres!$A$1:$I$89,3,0)*0.475*44/12</f>
        <v>2.1287514937519797E-7</v>
      </c>
      <c r="AX114" s="21">
        <f t="shared" si="60"/>
        <v>64.413974001375152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212.00000000000009</v>
      </c>
      <c r="BE114" s="13">
        <f>BD114*VLOOKUP('Données projet'!$B$11,Paramètres!$A$1:$I$89,3,0)*VLOOKUP('Données projet'!$B$11,Paramètres!$A$1:$I$89,5,0)</f>
        <v>185.20320000000009</v>
      </c>
      <c r="BF114" s="13">
        <f t="shared" si="91"/>
        <v>46.477875402099386</v>
      </c>
      <c r="BG114" s="20">
        <f t="shared" si="61"/>
        <v>403.5112063253232</v>
      </c>
      <c r="BH114" s="59">
        <f t="shared" si="62"/>
        <v>696.84453965865646</v>
      </c>
      <c r="BI114" s="59">
        <f ca="1">AVERAGE(OFFSET($BH$3,0,0,'Données projet'!$E$11+1,1))-AVERAGE(OFFSET($H$3,0,0,'Données projet'!$E$11+1,1))</f>
        <v>186.80594222554424</v>
      </c>
      <c r="BJ114" s="59">
        <f t="shared" si="92"/>
        <v>179.02867751001872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12.011097063909817</v>
      </c>
      <c r="BQ114" s="21">
        <f>EXP(-LN(2)/25)*BQ113+(1-EXP(-LN(2)/25))/(LN(2)/25)*Calculateur!BL114*Calculateur!BN114*VLOOKUP('Données projet'!$B$11,Paramètres!$A$1:$I$89,3,0)*0.475*44/12</f>
        <v>10.310393288142174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22.321490352051992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5.9865384615384558</v>
      </c>
      <c r="BY114" s="12">
        <f>IF('Données projet'!$A$114&gt;35,BY113+BX114-CG113,IF(A114&lt;'Données projet'!$A$114,$BV$205^A114,IF(A114='Données projet'!$A$114,'Données projet'!$B$114,BY113+BX114-CG113)))</f>
        <v>275.63653846153829</v>
      </c>
      <c r="BZ114" s="13">
        <f>BY114*VLOOKUP('Données projet'!$B$12,Paramètres!$A$1:$I$89,3,0)*VLOOKUP('Données projet'!$B$12,Paramètres!$A$1:$I$89,5,0)</f>
        <v>249.39593999999985</v>
      </c>
      <c r="CA114" s="13">
        <f t="shared" si="93"/>
        <v>60.456572288548877</v>
      </c>
      <c r="CB114" s="20">
        <f t="shared" si="64"/>
        <v>539.65979223588909</v>
      </c>
      <c r="CC114" s="59">
        <f t="shared" si="65"/>
        <v>832.99312556922246</v>
      </c>
      <c r="CD114" s="59">
        <f ca="1">AVERAGE(OFFSET($CC$3,0,0,'Données projet'!$E$12+1,1))-AVERAGE(OFFSET($H$3,0,0,'Données projet'!$E$12+1,1))</f>
        <v>265.17389489035344</v>
      </c>
      <c r="CE114" s="59">
        <f t="shared" si="94"/>
        <v>101.57852403610769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30.545695313011013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30.545695313011013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-1.7053025658242404E-13</v>
      </c>
      <c r="CU114" s="17">
        <f>CT114*VLOOKUP('Données projet'!$B$13,Paramètres!$A$1:$I$89,3,0)*VLOOKUP('Données projet'!$B$13,Paramètres!$A$1:$I$89,5,0)</f>
        <v>-1.0197709343628959E-13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182.34243693018033</v>
      </c>
      <c r="CZ114" s="59">
        <f t="shared" si="96"/>
        <v>182.65916563909786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47.246540725122905</v>
      </c>
      <c r="DG114" s="21">
        <f>EXP(-LN(2)/25)*DG113+(1-EXP(-LN(2)/25))/(LN(2)/25)*Calculateur!DB114*Calculateur!DD114*VLOOKUP('Données projet'!$B$13,Paramètres!$A$1:$I$89,3,0)*0.475*44/12</f>
        <v>8.7874956248329212</v>
      </c>
      <c r="DH114" s="21">
        <f>EXP(-LN(2)/2)*DH113+(1-EXP(-LN(2)/2))/(LN(2)/2)*DB114*DE114*VLOOKUP('Données projet'!$B$13,Paramètres!$A$1:$I$89,3,0)*0.475*44/12</f>
        <v>6.7356666664188675E-7</v>
      </c>
      <c r="DI114" s="22">
        <f t="shared" si="69"/>
        <v>56.034037023522494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5.9865384615384558</v>
      </c>
      <c r="DO114" s="12">
        <f>IF('Données projet'!$A$166&gt;35,DO113+DN114-DW113,IF(A114&lt;'Données projet'!$A$166,$DL$205^A114,IF(A114='Données projet'!$A$166,'Données projet'!$B$166,DO113+DN114-DW113)))</f>
        <v>275.63653846153829</v>
      </c>
      <c r="DP114" s="17">
        <f>DO114*VLOOKUP('Données projet'!$B$14,Paramètres!$A$1:$I$89,3,0)*VLOOKUP('Données projet'!$B$14,Paramètres!$A$1:$I$89,5,0)</f>
        <v>262.29572999999988</v>
      </c>
      <c r="DQ114" s="13">
        <f t="shared" si="97"/>
        <v>63.211484166321206</v>
      </c>
      <c r="DR114" s="20">
        <f t="shared" si="70"/>
        <v>566.92506467300927</v>
      </c>
      <c r="DS114" s="59">
        <f t="shared" si="71"/>
        <v>860.25839800634253</v>
      </c>
      <c r="DT114" s="59">
        <f ca="1">AVERAGE(OFFSET($DS$3,0,0,'Données projet'!$E$14+1,1))-AVERAGE(OFFSET($H$3,0,0,'Données projet'!$E$14+1,1))</f>
        <v>286.10360882057586</v>
      </c>
      <c r="DU114" s="59">
        <f t="shared" si="98"/>
        <v>109.24531387923128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32.125645070580553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32.125645070580553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475.81254559669543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262.42149466677068</v>
      </c>
      <c r="T115" s="59">
        <f t="shared" si="88"/>
        <v>232.7693253699756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-1.0197709343628959E-13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249.37919739649828</v>
      </c>
      <c r="AO115" s="59">
        <f t="shared" si="90"/>
        <v>315.05045383693073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53.719782255215179</v>
      </c>
      <c r="AV115" s="21">
        <f>EXP(-LN(2)/25)*AV114+(1-EXP(-LN(2)/25))/(LN(2)/25)*Calculateur!AQ115*Calculateur!AS115*VLOOKUP('Données projet'!$B$10,Paramètres!$A$1:$I$89,3,0)*0.475*44/12</f>
        <v>9.3566579701706658</v>
      </c>
      <c r="AW115" s="21">
        <f>EXP(-LN(2)/2)*AW114+(1-EXP(-LN(2)/2))/(LN(2)/2)*AQ115*AT115*VLOOKUP('Données projet'!$B$10,Paramètres!$A$1:$I$89,3,0)*0.475*44/12</f>
        <v>1.5052546166930173E-7</v>
      </c>
      <c r="AX115" s="21">
        <f t="shared" si="60"/>
        <v>63.076440375911304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212.00000000000009</v>
      </c>
      <c r="BE115" s="13">
        <f>BD115*VLOOKUP('Données projet'!$B$11,Paramètres!$A$1:$I$89,3,0)*VLOOKUP('Données projet'!$B$11,Paramètres!$A$1:$I$89,5,0)</f>
        <v>185.20320000000009</v>
      </c>
      <c r="BF115" s="13">
        <f t="shared" si="91"/>
        <v>46.477875402099386</v>
      </c>
      <c r="BG115" s="20">
        <f t="shared" si="61"/>
        <v>403.5112063253232</v>
      </c>
      <c r="BH115" s="59">
        <f t="shared" si="62"/>
        <v>696.84453965865646</v>
      </c>
      <c r="BI115" s="59">
        <f ca="1">AVERAGE(OFFSET($BH$3,0,0,'Données projet'!$E$11+1,1))-AVERAGE(OFFSET($H$3,0,0,'Données projet'!$E$11+1,1))</f>
        <v>186.80594222554424</v>
      </c>
      <c r="BJ115" s="59">
        <f t="shared" si="92"/>
        <v>179.02867751001872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11.775566776532369</v>
      </c>
      <c r="BQ115" s="21">
        <f>EXP(-LN(2)/25)*BQ114+(1-EXP(-LN(2)/25))/(LN(2)/25)*Calculateur!BL115*Calculateur!BN115*VLOOKUP('Données projet'!$B$11,Paramètres!$A$1:$I$89,3,0)*0.475*44/12</f>
        <v>10.028455041477908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21.804021818010277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5.9865384615384558</v>
      </c>
      <c r="BY115" s="12">
        <f>IF('Données projet'!$A$114&gt;35,BY114+BX115-CG114,IF(A115&lt;'Données projet'!$A$114,$BV$205^A115,IF(A115='Données projet'!$A$114,'Données projet'!$B$114,BY114+BX115-CG114)))</f>
        <v>281.62307692307672</v>
      </c>
      <c r="BZ115" s="13">
        <f>BY115*VLOOKUP('Données projet'!$B$12,Paramètres!$A$1:$I$89,3,0)*VLOOKUP('Données projet'!$B$12,Paramètres!$A$1:$I$89,5,0)</f>
        <v>254.81255999999982</v>
      </c>
      <c r="CA115" s="13">
        <f t="shared" si="93"/>
        <v>61.615331755078437</v>
      </c>
      <c r="CB115" s="20">
        <f t="shared" si="64"/>
        <v>551.11191147342799</v>
      </c>
      <c r="CC115" s="59">
        <f t="shared" si="65"/>
        <v>844.44524480676137</v>
      </c>
      <c r="CD115" s="59">
        <f ca="1">AVERAGE(OFFSET($CC$3,0,0,'Données projet'!$E$12+1,1))-AVERAGE(OFFSET($H$3,0,0,'Données projet'!$E$12+1,1))</f>
        <v>265.17389489035344</v>
      </c>
      <c r="CE115" s="59">
        <f t="shared" si="94"/>
        <v>101.57852403610769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29.946712858957348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29.946712858957348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-1.7053025658242404E-13</v>
      </c>
      <c r="CU115" s="17">
        <f>CT115*VLOOKUP('Données projet'!$B$13,Paramètres!$A$1:$I$89,3,0)*VLOOKUP('Données projet'!$B$13,Paramètres!$A$1:$I$89,5,0)</f>
        <v>-1.0197709343628959E-13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182.34243693018033</v>
      </c>
      <c r="CZ115" s="59">
        <f t="shared" si="96"/>
        <v>182.65916563909786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46.320064879047592</v>
      </c>
      <c r="DG115" s="21">
        <f>EXP(-LN(2)/25)*DG114+(1-EXP(-LN(2)/25))/(LN(2)/25)*Calculateur!DB115*Calculateur!DD115*VLOOKUP('Données projet'!$B$13,Paramètres!$A$1:$I$89,3,0)*0.475*44/12</f>
        <v>8.5472010948575541</v>
      </c>
      <c r="DH115" s="21">
        <f>EXP(-LN(2)/2)*DH114+(1-EXP(-LN(2)/2))/(LN(2)/2)*DB115*DE115*VLOOKUP('Données projet'!$B$13,Paramètres!$A$1:$I$89,3,0)*0.475*44/12</f>
        <v>4.7628355756369684E-7</v>
      </c>
      <c r="DI115" s="22">
        <f t="shared" si="69"/>
        <v>54.867266450188708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5.9865384615384558</v>
      </c>
      <c r="DO115" s="12">
        <f>IF('Données projet'!$A$166&gt;35,DO114+DN115-DW114,IF(A115&lt;'Données projet'!$A$166,$DL$205^A115,IF(A115='Données projet'!$A$166,'Données projet'!$B$166,DO114+DN115-DW114)))</f>
        <v>281.62307692307672</v>
      </c>
      <c r="DP115" s="17">
        <f>DO115*VLOOKUP('Données projet'!$B$14,Paramètres!$A$1:$I$89,3,0)*VLOOKUP('Données projet'!$B$14,Paramètres!$A$1:$I$89,5,0)</f>
        <v>267.99251999999984</v>
      </c>
      <c r="DQ115" s="13">
        <f t="shared" si="97"/>
        <v>64.423046497733466</v>
      </c>
      <c r="DR115" s="20">
        <f t="shared" si="70"/>
        <v>578.95711165021885</v>
      </c>
      <c r="DS115" s="59">
        <f t="shared" si="71"/>
        <v>872.29044498355211</v>
      </c>
      <c r="DT115" s="59">
        <f ca="1">AVERAGE(OFFSET($DS$3,0,0,'Données projet'!$E$14+1,1))-AVERAGE(OFFSET($H$3,0,0,'Données projet'!$E$14+1,1))</f>
        <v>286.10360882057586</v>
      </c>
      <c r="DU115" s="59">
        <f t="shared" si="98"/>
        <v>109.24531387923128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31.495680765455145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31.495680765455145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477.40065665447366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262.42149466677068</v>
      </c>
      <c r="T116" s="59">
        <f t="shared" si="88"/>
        <v>232.7693253699756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-1.0197709343628959E-13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249.37919739649828</v>
      </c>
      <c r="AO116" s="59">
        <f t="shared" si="90"/>
        <v>315.05045383693073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52.66637009102223</v>
      </c>
      <c r="AV116" s="21">
        <f>EXP(-LN(2)/25)*AV115+(1-EXP(-LN(2)/25))/(LN(2)/25)*Calculateur!AQ116*Calculateur!AS116*VLOOKUP('Données projet'!$B$10,Paramètres!$A$1:$I$89,3,0)*0.475*44/12</f>
        <v>9.1007996659310919</v>
      </c>
      <c r="AW116" s="21">
        <f>EXP(-LN(2)/2)*AW115+(1-EXP(-LN(2)/2))/(LN(2)/2)*AQ116*AT116*VLOOKUP('Données projet'!$B$10,Paramètres!$A$1:$I$89,3,0)*0.475*44/12</f>
        <v>1.0643757468759899E-7</v>
      </c>
      <c r="AX116" s="21">
        <f t="shared" si="60"/>
        <v>61.767169863390897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212.00000000000009</v>
      </c>
      <c r="BE116" s="13">
        <f>BD116*VLOOKUP('Données projet'!$B$11,Paramètres!$A$1:$I$89,3,0)*VLOOKUP('Données projet'!$B$11,Paramètres!$A$1:$I$89,5,0)</f>
        <v>185.20320000000009</v>
      </c>
      <c r="BF116" s="13">
        <f t="shared" si="91"/>
        <v>46.477875402099386</v>
      </c>
      <c r="BG116" s="20">
        <f t="shared" si="61"/>
        <v>403.5112063253232</v>
      </c>
      <c r="BH116" s="59">
        <f t="shared" si="62"/>
        <v>696.84453965865646</v>
      </c>
      <c r="BI116" s="59">
        <f ca="1">AVERAGE(OFFSET($BH$3,0,0,'Données projet'!$E$11+1,1))-AVERAGE(OFFSET($H$3,0,0,'Données projet'!$E$11+1,1))</f>
        <v>186.80594222554424</v>
      </c>
      <c r="BJ116" s="59">
        <f t="shared" si="92"/>
        <v>179.02867751001872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11.5446550944311</v>
      </c>
      <c r="BQ116" s="21">
        <f>EXP(-LN(2)/25)*BQ115+(1-EXP(-LN(2)/25))/(LN(2)/25)*Calculateur!BL116*Calculateur!BN116*VLOOKUP('Données projet'!$B$11,Paramètres!$A$1:$I$89,3,0)*0.475*44/12</f>
        <v>9.7542264109951642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21.298881505426266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5.9865384615384558</v>
      </c>
      <c r="BY116" s="12">
        <f>IF('Données projet'!$A$114&gt;35,BY115+BX116-CG115,IF(A116&lt;'Données projet'!$A$114,$BV$205^A116,IF(A116='Données projet'!$A$114,'Données projet'!$B$114,BY115+BX116-CG115)))</f>
        <v>287.60961538461515</v>
      </c>
      <c r="BZ116" s="13">
        <f>BY116*VLOOKUP('Données projet'!$B$12,Paramètres!$A$1:$I$89,3,0)*VLOOKUP('Données projet'!$B$12,Paramètres!$A$1:$I$89,5,0)</f>
        <v>260.22917999999976</v>
      </c>
      <c r="CA116" s="13">
        <f t="shared" si="93"/>
        <v>62.771227365455701</v>
      </c>
      <c r="CB116" s="20">
        <f t="shared" si="64"/>
        <v>562.55904282816812</v>
      </c>
      <c r="CC116" s="59">
        <f t="shared" si="65"/>
        <v>855.89237616150149</v>
      </c>
      <c r="CD116" s="59">
        <f ca="1">AVERAGE(OFFSET($CC$3,0,0,'Données projet'!$E$12+1,1))-AVERAGE(OFFSET($H$3,0,0,'Données projet'!$E$12+1,1))</f>
        <v>265.17389489035344</v>
      </c>
      <c r="CE116" s="59">
        <f t="shared" si="94"/>
        <v>101.57852403610769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29.359476085484452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29.359476085484452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-1.7053025658242404E-13</v>
      </c>
      <c r="CU116" s="17">
        <f>CT116*VLOOKUP('Données projet'!$B$13,Paramètres!$A$1:$I$89,3,0)*VLOOKUP('Données projet'!$B$13,Paramètres!$A$1:$I$89,5,0)</f>
        <v>-1.0197709343628959E-13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182.34243693018033</v>
      </c>
      <c r="CZ116" s="59">
        <f t="shared" si="96"/>
        <v>182.65916563909786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45.41175665921935</v>
      </c>
      <c r="DG116" s="21">
        <f>EXP(-LN(2)/25)*DG115+(1-EXP(-LN(2)/25))/(LN(2)/25)*Calculateur!DB116*Calculateur!DD116*VLOOKUP('Données projet'!$B$13,Paramètres!$A$1:$I$89,3,0)*0.475*44/12</f>
        <v>8.3134774314409032</v>
      </c>
      <c r="DH116" s="21">
        <f>EXP(-LN(2)/2)*DH115+(1-EXP(-LN(2)/2))/(LN(2)/2)*DB116*DE116*VLOOKUP('Données projet'!$B$13,Paramètres!$A$1:$I$89,3,0)*0.475*44/12</f>
        <v>3.3678333332094343E-7</v>
      </c>
      <c r="DI116" s="22">
        <f t="shared" si="69"/>
        <v>53.725234427443581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5.9865384615384558</v>
      </c>
      <c r="DO116" s="12">
        <f>IF('Données projet'!$A$166&gt;35,DO115+DN116-DW115,IF(A116&lt;'Données projet'!$A$166,$DL$205^A116,IF(A116='Données projet'!$A$166,'Données projet'!$B$166,DO115+DN116-DW115)))</f>
        <v>287.60961538461515</v>
      </c>
      <c r="DP116" s="17">
        <f>DO116*VLOOKUP('Données projet'!$B$14,Paramètres!$A$1:$I$89,3,0)*VLOOKUP('Données projet'!$B$14,Paramètres!$A$1:$I$89,5,0)</f>
        <v>273.68930999999975</v>
      </c>
      <c r="DQ116" s="13">
        <f t="shared" si="97"/>
        <v>65.631614471527143</v>
      </c>
      <c r="DR116" s="20">
        <f t="shared" si="70"/>
        <v>590.98394345457598</v>
      </c>
      <c r="DS116" s="59">
        <f t="shared" si="71"/>
        <v>884.31727678790935</v>
      </c>
      <c r="DT116" s="59">
        <f ca="1">AVERAGE(OFFSET($DS$3,0,0,'Données projet'!$E$14+1,1))-AVERAGE(OFFSET($H$3,0,0,'Données projet'!$E$14+1,1))</f>
        <v>286.10360882057586</v>
      </c>
      <c r="DU116" s="59">
        <f t="shared" si="98"/>
        <v>109.24531387923128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30.878069676112961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30.878069676112961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478.98844739061326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262.42149466677068</v>
      </c>
      <c r="T117" s="59">
        <f t="shared" si="88"/>
        <v>232.7693253699756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-1.0197709343628959E-13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249.37919739649828</v>
      </c>
      <c r="AO117" s="59">
        <f t="shared" si="90"/>
        <v>315.05045383693073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51.633614696851126</v>
      </c>
      <c r="AV117" s="21">
        <f>EXP(-LN(2)/25)*AV116+(1-EXP(-LN(2)/25))/(LN(2)/25)*Calculateur!AQ117*Calculateur!AS117*VLOOKUP('Données projet'!$B$10,Paramètres!$A$1:$I$89,3,0)*0.475*44/12</f>
        <v>8.8519378204759516</v>
      </c>
      <c r="AW117" s="21">
        <f>EXP(-LN(2)/2)*AW116+(1-EXP(-LN(2)/2))/(LN(2)/2)*AQ117*AT117*VLOOKUP('Données projet'!$B$10,Paramètres!$A$1:$I$89,3,0)*0.475*44/12</f>
        <v>7.5262730834650864E-8</v>
      </c>
      <c r="AX117" s="21">
        <f t="shared" si="60"/>
        <v>60.485552592589812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212.00000000000009</v>
      </c>
      <c r="BE117" s="13">
        <f>BD117*VLOOKUP('Données projet'!$B$11,Paramètres!$A$1:$I$89,3,0)*VLOOKUP('Données projet'!$B$11,Paramètres!$A$1:$I$89,5,0)</f>
        <v>185.20320000000009</v>
      </c>
      <c r="BF117" s="13">
        <f t="shared" si="91"/>
        <v>46.477875402099386</v>
      </c>
      <c r="BG117" s="20">
        <f t="shared" si="61"/>
        <v>403.5112063253232</v>
      </c>
      <c r="BH117" s="59">
        <f t="shared" si="62"/>
        <v>696.84453965865646</v>
      </c>
      <c r="BI117" s="59">
        <f ca="1">AVERAGE(OFFSET($BH$3,0,0,'Données projet'!$E$11+1,1))-AVERAGE(OFFSET($H$3,0,0,'Données projet'!$E$11+1,1))</f>
        <v>186.80594222554424</v>
      </c>
      <c r="BJ117" s="59">
        <f t="shared" si="92"/>
        <v>179.02867751001872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11.318271449573619</v>
      </c>
      <c r="BQ117" s="21">
        <f>EXP(-LN(2)/25)*BQ116+(1-EXP(-LN(2)/25))/(LN(2)/25)*Calculateur!BL117*Calculateur!BN117*VLOOKUP('Données projet'!$B$11,Paramètres!$A$1:$I$89,3,0)*0.475*44/12</f>
        <v>9.4874965768340278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20.805768026407648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293.59615384615381</v>
      </c>
      <c r="BW117" s="12">
        <f>VLOOKUP(A117,'Données projet'!$A$113:$I$133,9,0)</f>
        <v>5.9865384615384558</v>
      </c>
      <c r="BX117" s="12">
        <f t="array" ref="BX117">INDEX(BW:BW,MIN(IF(ISNUMBER(BW117:BW313),ROW(BW117:BW313),"")))</f>
        <v>5.9865384615384558</v>
      </c>
      <c r="BY117" s="12">
        <f>IF('Données projet'!$A$114&gt;35,BY116+BX117-CG116,IF(A117&lt;'Données projet'!$A$114,$BV$205^A117,IF(A117='Données projet'!$A$114,'Données projet'!$B$114,BY116+BX117-CG116)))</f>
        <v>293.59615384615358</v>
      </c>
      <c r="BZ117" s="13">
        <f>BY117*VLOOKUP('Données projet'!$B$12,Paramètres!$A$1:$I$89,3,0)*VLOOKUP('Données projet'!$B$12,Paramètres!$A$1:$I$89,5,0)</f>
        <v>265.64579999999972</v>
      </c>
      <c r="CA117" s="13">
        <f t="shared" si="93"/>
        <v>63.924325598105078</v>
      </c>
      <c r="CB117" s="20">
        <f t="shared" si="64"/>
        <v>574.00130208336589</v>
      </c>
      <c r="CC117" s="59">
        <f t="shared" si="65"/>
        <v>867.33463541669926</v>
      </c>
      <c r="CD117" s="59">
        <f ca="1">AVERAGE(OFFSET($CC$3,0,0,'Données projet'!$E$12+1,1))-AVERAGE(OFFSET($H$3,0,0,'Données projet'!$E$12+1,1))</f>
        <v>265.17389489035344</v>
      </c>
      <c r="CE117" s="59">
        <f t="shared" si="94"/>
        <v>101.57852403610769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42.78846153846154</v>
      </c>
      <c r="CH117" s="16">
        <f>IF(ISNA(VLOOKUP(A117,'Données projet'!$A$113:$I$133,5,0)),0%,VLOOKUP(A117,'Données projet'!$A$113:$I$133,5,0)*VLOOKUP('Données projet'!$B$12,Paramètres!$A$1:$I$89,7,0))</f>
        <v>0.30099999999999999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41.666038675789366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41.666038675789366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-1.7053025658242404E-13</v>
      </c>
      <c r="CU117" s="17">
        <f>CT117*VLOOKUP('Données projet'!$B$13,Paramètres!$A$1:$I$89,3,0)*VLOOKUP('Données projet'!$B$13,Paramètres!$A$1:$I$89,5,0)</f>
        <v>-1.0197709343628959E-13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182.34243693018033</v>
      </c>
      <c r="CZ117" s="59">
        <f t="shared" si="96"/>
        <v>182.65916563909786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44.521259809568626</v>
      </c>
      <c r="DG117" s="21">
        <f>EXP(-LN(2)/25)*DG116+(1-EXP(-LN(2)/25))/(LN(2)/25)*Calculateur!DB117*Calculateur!DD117*VLOOKUP('Données projet'!$B$13,Paramètres!$A$1:$I$89,3,0)*0.475*44/12</f>
        <v>8.0861449538913739</v>
      </c>
      <c r="DH117" s="21">
        <f>EXP(-LN(2)/2)*DH116+(1-EXP(-LN(2)/2))/(LN(2)/2)*DB117*DE117*VLOOKUP('Données projet'!$B$13,Paramètres!$A$1:$I$89,3,0)*0.475*44/12</f>
        <v>2.3814177878184847E-7</v>
      </c>
      <c r="DI117" s="22">
        <f t="shared" si="69"/>
        <v>52.607405001601776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293.59615384615381</v>
      </c>
      <c r="DM117" s="12">
        <f>VLOOKUP(A117,'Données projet'!$A$165:$I$185,9,0)</f>
        <v>5.9865384615384558</v>
      </c>
      <c r="DN117" s="12">
        <f t="array" ref="DN117">INDEX(DM:DM,MIN(IF(ISNUMBER(DM117:DM313),ROW(DM117:DM313),"")))</f>
        <v>5.9865384615384558</v>
      </c>
      <c r="DO117" s="12">
        <f>IF('Données projet'!$A$166&gt;35,DO116+DN117-DW116,IF(A117&lt;'Données projet'!$A$166,$DL$205^A117,IF(A117='Données projet'!$A$166,'Données projet'!$B$166,DO116+DN117-DW116)))</f>
        <v>293.59615384615358</v>
      </c>
      <c r="DP117" s="17">
        <f>DO117*VLOOKUP('Données projet'!$B$14,Paramètres!$A$1:$I$89,3,0)*VLOOKUP('Données projet'!$B$14,Paramètres!$A$1:$I$89,5,0)</f>
        <v>279.38609999999971</v>
      </c>
      <c r="DQ117" s="13">
        <f t="shared" si="97"/>
        <v>66.837257595444953</v>
      </c>
      <c r="DR117" s="20">
        <f t="shared" si="70"/>
        <v>603.00568114539942</v>
      </c>
      <c r="DS117" s="59">
        <f t="shared" si="71"/>
        <v>896.33901447873268</v>
      </c>
      <c r="DT117" s="59">
        <f ca="1">AVERAGE(OFFSET($DS$3,0,0,'Données projet'!$E$14+1,1))-AVERAGE(OFFSET($H$3,0,0,'Données projet'!$E$14+1,1))</f>
        <v>286.10360882057586</v>
      </c>
      <c r="DU117" s="59">
        <f t="shared" si="98"/>
        <v>109.24531387923128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42.78846153846154</v>
      </c>
      <c r="DX117" s="16">
        <f>IF(ISNA(VLOOKUP(A117,'Données projet'!$A$165:$I$185,5,0)),0%,VLOOKUP(A117,'Données projet'!$A$165:$I$185,5,0)*VLOOKUP('Données projet'!$B$14,Paramètres!$A$1:$I$89,7,0))</f>
        <v>0.30099999999999999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43.821178607295714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43.821178607295714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480.57592094049829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262.42149466677068</v>
      </c>
      <c r="T118" s="59">
        <f t="shared" si="88"/>
        <v>232.7693253699756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-1.0197709343628959E-13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249.37919739649828</v>
      </c>
      <c r="AO118" s="59">
        <f t="shared" si="90"/>
        <v>315.05045383693073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50.621111006041126</v>
      </c>
      <c r="AV118" s="21">
        <f>EXP(-LN(2)/25)*AV117+(1-EXP(-LN(2)/25))/(LN(2)/25)*Calculateur!AQ118*Calculateur!AS118*VLOOKUP('Données projet'!$B$10,Paramètres!$A$1:$I$89,3,0)*0.475*44/12</f>
        <v>8.6098811152718575</v>
      </c>
      <c r="AW118" s="21">
        <f>EXP(-LN(2)/2)*AW117+(1-EXP(-LN(2)/2))/(LN(2)/2)*AQ118*AT118*VLOOKUP('Données projet'!$B$10,Paramètres!$A$1:$I$89,3,0)*0.475*44/12</f>
        <v>5.3218787343799493E-8</v>
      </c>
      <c r="AX118" s="21">
        <f t="shared" si="60"/>
        <v>59.230992174531764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212.00000000000009</v>
      </c>
      <c r="BE118" s="13">
        <f>BD118*VLOOKUP('Données projet'!$B$11,Paramètres!$A$1:$I$89,3,0)*VLOOKUP('Données projet'!$B$11,Paramètres!$A$1:$I$89,5,0)</f>
        <v>185.20320000000009</v>
      </c>
      <c r="BF118" s="13">
        <f t="shared" si="91"/>
        <v>46.477875402099386</v>
      </c>
      <c r="BG118" s="20">
        <f t="shared" si="61"/>
        <v>403.5112063253232</v>
      </c>
      <c r="BH118" s="59">
        <f t="shared" si="62"/>
        <v>696.84453965865646</v>
      </c>
      <c r="BI118" s="59">
        <f ca="1">AVERAGE(OFFSET($BH$3,0,0,'Données projet'!$E$11+1,1))-AVERAGE(OFFSET($H$3,0,0,'Données projet'!$E$11+1,1))</f>
        <v>186.80594222554424</v>
      </c>
      <c r="BJ118" s="59">
        <f t="shared" si="92"/>
        <v>179.02867751001872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11.096327049911404</v>
      </c>
      <c r="BQ118" s="21">
        <f>EXP(-LN(2)/25)*BQ117+(1-EXP(-LN(2)/25))/(LN(2)/25)*Calculateur!BL118*Calculateur!BN118*VLOOKUP('Données projet'!$B$11,Paramètres!$A$1:$I$89,3,0)*0.475*44/12</f>
        <v>9.2280604840147404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20.324387533926142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6.0153846153846189</v>
      </c>
      <c r="BY118" s="12">
        <f>IF('Données projet'!$A$114&gt;35,BY117+BX118-CG117,IF(A118&lt;'Données projet'!$A$114,$BV$205^A118,IF(A118='Données projet'!$A$114,'Données projet'!$B$114,BY117+BX118-CG117)))</f>
        <v>256.82307692307666</v>
      </c>
      <c r="BZ118" s="13">
        <f>BY118*VLOOKUP('Données projet'!$B$12,Paramètres!$A$1:$I$89,3,0)*VLOOKUP('Données projet'!$B$12,Paramètres!$A$1:$I$89,5,0)</f>
        <v>232.37351999999976</v>
      </c>
      <c r="CA118" s="13">
        <f t="shared" si="93"/>
        <v>56.795584989176909</v>
      </c>
      <c r="CB118" s="20">
        <f t="shared" si="64"/>
        <v>503.63619118948264</v>
      </c>
      <c r="CC118" s="59">
        <f t="shared" si="65"/>
        <v>796.96952452281596</v>
      </c>
      <c r="CD118" s="59">
        <f ca="1">AVERAGE(OFFSET($CC$3,0,0,'Données projet'!$E$12+1,1))-AVERAGE(OFFSET($H$3,0,0,'Données projet'!$E$12+1,1))</f>
        <v>265.17389489035344</v>
      </c>
      <c r="CE118" s="59">
        <f t="shared" si="94"/>
        <v>101.57852403610769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40.848993071131325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40.848993071131325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-1.7053025658242404E-13</v>
      </c>
      <c r="CU118" s="17">
        <f>CT118*VLOOKUP('Données projet'!$B$13,Paramètres!$A$1:$I$89,3,0)*VLOOKUP('Données projet'!$B$13,Paramètres!$A$1:$I$89,5,0)</f>
        <v>-1.0197709343628959E-13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182.34243693018033</v>
      </c>
      <c r="CZ118" s="59">
        <f t="shared" si="96"/>
        <v>182.65916563909786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43.648225059990111</v>
      </c>
      <c r="DG118" s="21">
        <f>EXP(-LN(2)/25)*DG117+(1-EXP(-LN(2)/25))/(LN(2)/25)*Calculateur!DB118*Calculateur!DD118*VLOOKUP('Données projet'!$B$13,Paramètres!$A$1:$I$89,3,0)*0.475*44/12</f>
        <v>7.8650288948953326</v>
      </c>
      <c r="DH118" s="21">
        <f>EXP(-LN(2)/2)*DH117+(1-EXP(-LN(2)/2))/(LN(2)/2)*DB118*DE118*VLOOKUP('Données projet'!$B$13,Paramètres!$A$1:$I$89,3,0)*0.475*44/12</f>
        <v>1.6839166666047174E-7</v>
      </c>
      <c r="DI118" s="22">
        <f t="shared" si="69"/>
        <v>51.513254123277108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6.0153846153846189</v>
      </c>
      <c r="DO118" s="12">
        <f>IF('Données projet'!$A$166&gt;35,DO117+DN118-DW117,IF(A118&lt;'Données projet'!$A$166,$DL$205^A118,IF(A118='Données projet'!$A$166,'Données projet'!$B$166,DO117+DN118-DW117)))</f>
        <v>256.82307692307666</v>
      </c>
      <c r="DP118" s="17">
        <f>DO118*VLOOKUP('Données projet'!$B$14,Paramètres!$A$1:$I$89,3,0)*VLOOKUP('Données projet'!$B$14,Paramètres!$A$1:$I$89,5,0)</f>
        <v>244.39283999999978</v>
      </c>
      <c r="DQ118" s="13">
        <f t="shared" si="97"/>
        <v>59.38367137530085</v>
      </c>
      <c r="DR118" s="20">
        <f t="shared" si="70"/>
        <v>529.07742397864865</v>
      </c>
      <c r="DS118" s="59">
        <f t="shared" si="71"/>
        <v>822.41075731198202</v>
      </c>
      <c r="DT118" s="59">
        <f ca="1">AVERAGE(OFFSET($DS$3,0,0,'Données projet'!$E$14+1,1))-AVERAGE(OFFSET($H$3,0,0,'Données projet'!$E$14+1,1))</f>
        <v>286.10360882057586</v>
      </c>
      <c r="DU118" s="59">
        <f t="shared" si="98"/>
        <v>109.24531387923128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42.9618720230864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42.9618720230864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482.16308038183774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262.42149466677068</v>
      </c>
      <c r="T119" s="59">
        <f t="shared" si="88"/>
        <v>232.7693253699756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-1.0197709343628959E-13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249.37919739649828</v>
      </c>
      <c r="AO119" s="59">
        <f t="shared" si="90"/>
        <v>315.05045383693073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49.628461895041639</v>
      </c>
      <c r="AV119" s="21">
        <f>EXP(-LN(2)/25)*AV118+(1-EXP(-LN(2)/25))/(LN(2)/25)*Calculateur!AQ119*Calculateur!AS119*VLOOKUP('Données projet'!$B$10,Paramètres!$A$1:$I$89,3,0)*0.475*44/12</f>
        <v>8.3744434634007785</v>
      </c>
      <c r="AW119" s="21">
        <f>EXP(-LN(2)/2)*AW118+(1-EXP(-LN(2)/2))/(LN(2)/2)*AQ119*AT119*VLOOKUP('Données projet'!$B$10,Paramètres!$A$1:$I$89,3,0)*0.475*44/12</f>
        <v>3.7631365417325432E-8</v>
      </c>
      <c r="AX119" s="21">
        <f t="shared" si="60"/>
        <v>58.002905396073785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212.00000000000009</v>
      </c>
      <c r="BE119" s="13">
        <f>BD119*VLOOKUP('Données projet'!$B$11,Paramètres!$A$1:$I$89,3,0)*VLOOKUP('Données projet'!$B$11,Paramètres!$A$1:$I$89,5,0)</f>
        <v>185.20320000000009</v>
      </c>
      <c r="BF119" s="13">
        <f t="shared" si="91"/>
        <v>46.477875402099386</v>
      </c>
      <c r="BG119" s="20">
        <f t="shared" si="61"/>
        <v>403.5112063253232</v>
      </c>
      <c r="BH119" s="59">
        <f t="shared" si="62"/>
        <v>696.84453965865646</v>
      </c>
      <c r="BI119" s="59">
        <f ca="1">AVERAGE(OFFSET($BH$3,0,0,'Données projet'!$E$11+1,1))-AVERAGE(OFFSET($H$3,0,0,'Données projet'!$E$11+1,1))</f>
        <v>186.80594222554424</v>
      </c>
      <c r="BJ119" s="59">
        <f t="shared" si="92"/>
        <v>179.02867751001872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10.878734844553847</v>
      </c>
      <c r="BQ119" s="21">
        <f>EXP(-LN(2)/25)*BQ118+(1-EXP(-LN(2)/25))/(LN(2)/25)*Calculateur!BL119*Calculateur!BN119*VLOOKUP('Données projet'!$B$11,Paramètres!$A$1:$I$89,3,0)*0.475*44/12</f>
        <v>8.9757186847967478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19.854453529350593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6.0153846153846189</v>
      </c>
      <c r="BY119" s="12">
        <f>IF('Données projet'!$A$114&gt;35,BY118+BX119-CG118,IF(A119&lt;'Données projet'!$A$114,$BV$205^A119,IF(A119='Données projet'!$A$114,'Données projet'!$B$114,BY118+BX119-CG118)))</f>
        <v>262.83846153846127</v>
      </c>
      <c r="BZ119" s="13">
        <f>BY119*VLOOKUP('Données projet'!$B$12,Paramètres!$A$1:$I$89,3,0)*VLOOKUP('Données projet'!$B$12,Paramètres!$A$1:$I$89,5,0)</f>
        <v>237.81623999999974</v>
      </c>
      <c r="CA119" s="13">
        <f t="shared" si="93"/>
        <v>57.969434220881595</v>
      </c>
      <c r="CB119" s="20">
        <f t="shared" si="64"/>
        <v>515.16004926803487</v>
      </c>
      <c r="CC119" s="59">
        <f t="shared" si="65"/>
        <v>808.49338260136824</v>
      </c>
      <c r="CD119" s="59">
        <f ca="1">AVERAGE(OFFSET($CC$3,0,0,'Données projet'!$E$12+1,1))-AVERAGE(OFFSET($H$3,0,0,'Données projet'!$E$12+1,1))</f>
        <v>265.17389489035344</v>
      </c>
      <c r="CE119" s="59">
        <f t="shared" si="94"/>
        <v>101.57852403610769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40.047969232432017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40.047969232432017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-1.7053025658242404E-13</v>
      </c>
      <c r="CU119" s="17">
        <f>CT119*VLOOKUP('Données projet'!$B$13,Paramètres!$A$1:$I$89,3,0)*VLOOKUP('Données projet'!$B$13,Paramètres!$A$1:$I$89,5,0)</f>
        <v>-1.0197709343628959E-13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182.34243693018033</v>
      </c>
      <c r="CZ119" s="59">
        <f t="shared" si="96"/>
        <v>182.65916563909786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42.792309989352212</v>
      </c>
      <c r="DG119" s="21">
        <f>EXP(-LN(2)/25)*DG118+(1-EXP(-LN(2)/25))/(LN(2)/25)*Calculateur!DB119*Calculateur!DD119*VLOOKUP('Données projet'!$B$13,Paramètres!$A$1:$I$89,3,0)*0.475*44/12</f>
        <v>7.6499592661605256</v>
      </c>
      <c r="DH119" s="21">
        <f>EXP(-LN(2)/2)*DH118+(1-EXP(-LN(2)/2))/(LN(2)/2)*DB119*DE119*VLOOKUP('Données projet'!$B$13,Paramètres!$A$1:$I$89,3,0)*0.475*44/12</f>
        <v>1.1907088939092425E-7</v>
      </c>
      <c r="DI119" s="22">
        <f t="shared" si="69"/>
        <v>50.442269374583631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6.0153846153846189</v>
      </c>
      <c r="DO119" s="12">
        <f>IF('Données projet'!$A$166&gt;35,DO118+DN119-DW118,IF(A119&lt;'Données projet'!$A$166,$DL$205^A119,IF(A119='Données projet'!$A$166,'Données projet'!$B$166,DO118+DN119-DW118)))</f>
        <v>262.83846153846127</v>
      </c>
      <c r="DP119" s="17">
        <f>DO119*VLOOKUP('Données projet'!$B$14,Paramètres!$A$1:$I$89,3,0)*VLOOKUP('Données projet'!$B$14,Paramètres!$A$1:$I$89,5,0)</f>
        <v>250.11707999999976</v>
      </c>
      <c r="DQ119" s="13">
        <f t="shared" si="97"/>
        <v>60.611011088994914</v>
      </c>
      <c r="DR119" s="20">
        <f t="shared" si="70"/>
        <v>541.18475864666573</v>
      </c>
      <c r="DS119" s="59">
        <f t="shared" si="71"/>
        <v>834.5180919799991</v>
      </c>
      <c r="DT119" s="59">
        <f ca="1">AVERAGE(OFFSET($DS$3,0,0,'Données projet'!$E$14+1,1))-AVERAGE(OFFSET($H$3,0,0,'Données projet'!$E$14+1,1))</f>
        <v>286.10360882057586</v>
      </c>
      <c r="DU119" s="59">
        <f t="shared" si="98"/>
        <v>109.24531387923128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42.119415916868164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42.119415916868164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483.7499287362146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262.42149466677068</v>
      </c>
      <c r="T120" s="59">
        <f t="shared" si="88"/>
        <v>232.7693253699756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-1.0197709343628959E-13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249.37919739649828</v>
      </c>
      <c r="AO120" s="59">
        <f t="shared" si="90"/>
        <v>315.05045383693073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48.655278027652678</v>
      </c>
      <c r="AV120" s="21">
        <f>EXP(-LN(2)/25)*AV119+(1-EXP(-LN(2)/25))/(LN(2)/25)*Calculateur!AQ120*Calculateur!AS120*VLOOKUP('Données projet'!$B$10,Paramètres!$A$1:$I$89,3,0)*0.475*44/12</f>
        <v>8.1454438665012425</v>
      </c>
      <c r="AW120" s="21">
        <f>EXP(-LN(2)/2)*AW119+(1-EXP(-LN(2)/2))/(LN(2)/2)*AQ120*AT120*VLOOKUP('Données projet'!$B$10,Paramètres!$A$1:$I$89,3,0)*0.475*44/12</f>
        <v>2.6609393671899747E-8</v>
      </c>
      <c r="AX120" s="21">
        <f t="shared" si="60"/>
        <v>56.800721920763316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212.00000000000009</v>
      </c>
      <c r="BE120" s="13">
        <f>BD120*VLOOKUP('Données projet'!$B$11,Paramètres!$A$1:$I$89,3,0)*VLOOKUP('Données projet'!$B$11,Paramètres!$A$1:$I$89,5,0)</f>
        <v>185.20320000000009</v>
      </c>
      <c r="BF120" s="13">
        <f t="shared" si="91"/>
        <v>46.477875402099386</v>
      </c>
      <c r="BG120" s="20">
        <f t="shared" si="61"/>
        <v>403.5112063253232</v>
      </c>
      <c r="BH120" s="59">
        <f t="shared" si="62"/>
        <v>696.84453965865646</v>
      </c>
      <c r="BI120" s="59">
        <f ca="1">AVERAGE(OFFSET($BH$3,0,0,'Données projet'!$E$11+1,1))-AVERAGE(OFFSET($H$3,0,0,'Données projet'!$E$11+1,1))</f>
        <v>186.80594222554424</v>
      </c>
      <c r="BJ120" s="59">
        <f t="shared" si="92"/>
        <v>179.02867751001872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10.665409489625212</v>
      </c>
      <c r="BQ120" s="21">
        <f>EXP(-LN(2)/25)*BQ119+(1-EXP(-LN(2)/25))/(LN(2)/25)*Calculateur!BL120*Calculateur!BN120*VLOOKUP('Données projet'!$B$11,Paramètres!$A$1:$I$89,3,0)*0.475*44/12</f>
        <v>8.7302771853484487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19.395686674973661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6.0153846153846189</v>
      </c>
      <c r="BY120" s="12">
        <f>IF('Données projet'!$A$114&gt;35,BY119+BX120-CG119,IF(A120&lt;'Données projet'!$A$114,$BV$205^A120,IF(A120='Données projet'!$A$114,'Données projet'!$B$114,BY119+BX120-CG119)))</f>
        <v>268.85384615384589</v>
      </c>
      <c r="BZ120" s="13">
        <f>BY120*VLOOKUP('Données projet'!$B$12,Paramètres!$A$1:$I$89,3,0)*VLOOKUP('Données projet'!$B$12,Paramètres!$A$1:$I$89,5,0)</f>
        <v>243.25895999999975</v>
      </c>
      <c r="CA120" s="13">
        <f t="shared" si="93"/>
        <v>59.140160240229264</v>
      </c>
      <c r="CB120" s="20">
        <f t="shared" si="64"/>
        <v>526.67846775173223</v>
      </c>
      <c r="CC120" s="59">
        <f t="shared" si="65"/>
        <v>820.0118010850656</v>
      </c>
      <c r="CD120" s="59">
        <f ca="1">AVERAGE(OFFSET($CC$3,0,0,'Données projet'!$E$12+1,1))-AVERAGE(OFFSET($H$3,0,0,'Données projet'!$E$12+1,1))</f>
        <v>265.17389489035344</v>
      </c>
      <c r="CE120" s="59">
        <f t="shared" si="94"/>
        <v>101.57852403610769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39.262652982633305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39.262652982633305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-1.7053025658242404E-13</v>
      </c>
      <c r="CU120" s="17">
        <f>CT120*VLOOKUP('Données projet'!$B$13,Paramètres!$A$1:$I$89,3,0)*VLOOKUP('Données projet'!$B$13,Paramètres!$A$1:$I$89,5,0)</f>
        <v>-1.0197709343628959E-13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182.34243693018033</v>
      </c>
      <c r="CZ120" s="59">
        <f t="shared" si="96"/>
        <v>182.65916563909786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41.953178891192877</v>
      </c>
      <c r="DG120" s="21">
        <f>EXP(-LN(2)/25)*DG119+(1-EXP(-LN(2)/25))/(LN(2)/25)*Calculateur!DB120*Calculateur!DD120*VLOOKUP('Données projet'!$B$13,Paramètres!$A$1:$I$89,3,0)*0.475*44/12</f>
        <v>7.4407707277334927</v>
      </c>
      <c r="DH120" s="21">
        <f>EXP(-LN(2)/2)*DH119+(1-EXP(-LN(2)/2))/(LN(2)/2)*DB120*DE120*VLOOKUP('Données projet'!$B$13,Paramètres!$A$1:$I$89,3,0)*0.475*44/12</f>
        <v>8.4195833330235883E-8</v>
      </c>
      <c r="DI120" s="22">
        <f t="shared" si="69"/>
        <v>49.393949703122203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6.0153846153846189</v>
      </c>
      <c r="DO120" s="12">
        <f>IF('Données projet'!$A$166&gt;35,DO119+DN120-DW119,IF(A120&lt;'Données projet'!$A$166,$DL$205^A120,IF(A120='Données projet'!$A$166,'Données projet'!$B$166,DO119+DN120-DW119)))</f>
        <v>268.85384615384589</v>
      </c>
      <c r="DP120" s="17">
        <f>DO120*VLOOKUP('Données projet'!$B$14,Paramètres!$A$1:$I$89,3,0)*VLOOKUP('Données projet'!$B$14,Paramètres!$A$1:$I$89,5,0)</f>
        <v>255.84131999999977</v>
      </c>
      <c r="DQ120" s="13">
        <f t="shared" si="97"/>
        <v>61.835085270407106</v>
      </c>
      <c r="DR120" s="20">
        <f t="shared" si="70"/>
        <v>553.2864058459586</v>
      </c>
      <c r="DS120" s="59">
        <f t="shared" si="71"/>
        <v>846.61973917929186</v>
      </c>
      <c r="DT120" s="59">
        <f ca="1">AVERAGE(OFFSET($DS$3,0,0,'Données projet'!$E$14+1,1))-AVERAGE(OFFSET($H$3,0,0,'Données projet'!$E$14+1,1))</f>
        <v>286.10360882057586</v>
      </c>
      <c r="DU120" s="59">
        <f t="shared" si="98"/>
        <v>109.24531387923128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41.293479861045384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41.293479861045384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485.33646897057974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262.42149466677068</v>
      </c>
      <c r="T121" s="59">
        <f t="shared" si="88"/>
        <v>232.7693253699756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-1.0197709343628959E-13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249.37919739649828</v>
      </c>
      <c r="AO121" s="59">
        <f t="shared" si="90"/>
        <v>315.05045383693073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47.701177702319669</v>
      </c>
      <c r="AV121" s="21">
        <f>EXP(-LN(2)/25)*AV120+(1-EXP(-LN(2)/25))/(LN(2)/25)*Calculateur!AQ121*Calculateur!AS121*VLOOKUP('Données projet'!$B$10,Paramètres!$A$1:$I$89,3,0)*0.475*44/12</f>
        <v>7.9227062756214899</v>
      </c>
      <c r="AW121" s="21">
        <f>EXP(-LN(2)/2)*AW120+(1-EXP(-LN(2)/2))/(LN(2)/2)*AQ121*AT121*VLOOKUP('Données projet'!$B$10,Paramètres!$A$1:$I$89,3,0)*0.475*44/12</f>
        <v>1.8815682708662716E-8</v>
      </c>
      <c r="AX121" s="21">
        <f t="shared" si="60"/>
        <v>55.623883996756845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212.00000000000009</v>
      </c>
      <c r="BE121" s="13">
        <f>BD121*VLOOKUP('Données projet'!$B$11,Paramètres!$A$1:$I$89,3,0)*VLOOKUP('Données projet'!$B$11,Paramètres!$A$1:$I$89,5,0)</f>
        <v>185.20320000000009</v>
      </c>
      <c r="BF121" s="13">
        <f t="shared" si="91"/>
        <v>46.477875402099386</v>
      </c>
      <c r="BG121" s="20">
        <f t="shared" si="61"/>
        <v>403.5112063253232</v>
      </c>
      <c r="BH121" s="59">
        <f t="shared" si="62"/>
        <v>696.84453965865646</v>
      </c>
      <c r="BI121" s="59">
        <f ca="1">AVERAGE(OFFSET($BH$3,0,0,'Données projet'!$E$11+1,1))-AVERAGE(OFFSET($H$3,0,0,'Données projet'!$E$11+1,1))</f>
        <v>186.80594222554424</v>
      </c>
      <c r="BJ121" s="59">
        <f t="shared" si="92"/>
        <v>179.02867751001872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10.456267314791109</v>
      </c>
      <c r="BQ121" s="21">
        <f>EXP(-LN(2)/25)*BQ120+(1-EXP(-LN(2)/25))/(LN(2)/25)*Calculateur!BL121*Calculateur!BN121*VLOOKUP('Données projet'!$B$11,Paramètres!$A$1:$I$89,3,0)*0.475*44/12</f>
        <v>8.491547296609772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18.947814611400879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6.0153846153846189</v>
      </c>
      <c r="BY121" s="12">
        <f>IF('Données projet'!$A$114&gt;35,BY120+BX121-CG120,IF(A121&lt;'Données projet'!$A$114,$BV$205^A121,IF(A121='Données projet'!$A$114,'Données projet'!$B$114,BY120+BX121-CG120)))</f>
        <v>274.86923076923051</v>
      </c>
      <c r="BZ121" s="13">
        <f>BY121*VLOOKUP('Données projet'!$B$12,Paramètres!$A$1:$I$89,3,0)*VLOOKUP('Données projet'!$B$12,Paramètres!$A$1:$I$89,5,0)</f>
        <v>248.70167999999973</v>
      </c>
      <c r="CA121" s="13">
        <f t="shared" si="93"/>
        <v>60.307840972128631</v>
      </c>
      <c r="CB121" s="20">
        <f t="shared" si="64"/>
        <v>538.19158235979023</v>
      </c>
      <c r="CC121" s="59">
        <f t="shared" si="65"/>
        <v>831.5249156931236</v>
      </c>
      <c r="CD121" s="59">
        <f ca="1">AVERAGE(OFFSET($CC$3,0,0,'Données projet'!$E$12+1,1))-AVERAGE(OFFSET($H$3,0,0,'Données projet'!$E$12+1,1))</f>
        <v>265.17389489035344</v>
      </c>
      <c r="CE121" s="59">
        <f t="shared" si="94"/>
        <v>101.57852403610769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38.49273630549753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38.49273630549753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-1.7053025658242404E-13</v>
      </c>
      <c r="CU121" s="17">
        <f>CT121*VLOOKUP('Données projet'!$B$13,Paramètres!$A$1:$I$89,3,0)*VLOOKUP('Données projet'!$B$13,Paramètres!$A$1:$I$89,5,0)</f>
        <v>-1.0197709343628959E-13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182.34243693018033</v>
      </c>
      <c r="CZ121" s="59">
        <f t="shared" si="96"/>
        <v>182.65916563909786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41.130502642049017</v>
      </c>
      <c r="DG121" s="21">
        <f>EXP(-LN(2)/25)*DG120+(1-EXP(-LN(2)/25))/(LN(2)/25)*Calculateur!DB121*Calculateur!DD121*VLOOKUP('Données projet'!$B$13,Paramètres!$A$1:$I$89,3,0)*0.475*44/12</f>
        <v>7.2373024608904934</v>
      </c>
      <c r="DH121" s="21">
        <f>EXP(-LN(2)/2)*DH120+(1-EXP(-LN(2)/2))/(LN(2)/2)*DB121*DE121*VLOOKUP('Données projet'!$B$13,Paramètres!$A$1:$I$89,3,0)*0.475*44/12</f>
        <v>5.9535444695462131E-8</v>
      </c>
      <c r="DI121" s="22">
        <f t="shared" si="69"/>
        <v>48.367805162474959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6.0153846153846189</v>
      </c>
      <c r="DO121" s="12">
        <f>IF('Données projet'!$A$166&gt;35,DO120+DN121-DW120,IF(A121&lt;'Données projet'!$A$166,$DL$205^A121,IF(A121='Données projet'!$A$166,'Données projet'!$B$166,DO120+DN121-DW120)))</f>
        <v>274.86923076923051</v>
      </c>
      <c r="DP121" s="17">
        <f>DO121*VLOOKUP('Données projet'!$B$14,Paramètres!$A$1:$I$89,3,0)*VLOOKUP('Données projet'!$B$14,Paramètres!$A$1:$I$89,5,0)</f>
        <v>261.56555999999978</v>
      </c>
      <c r="DQ121" s="13">
        <f t="shared" si="97"/>
        <v>63.055975395363056</v>
      </c>
      <c r="DR121" s="20">
        <f t="shared" si="70"/>
        <v>565.382507480257</v>
      </c>
      <c r="DS121" s="59">
        <f t="shared" si="71"/>
        <v>858.71584081359038</v>
      </c>
      <c r="DT121" s="59">
        <f ca="1">AVERAGE(OFFSET($DS$3,0,0,'Données projet'!$E$14+1,1))-AVERAGE(OFFSET($H$3,0,0,'Données projet'!$E$14+1,1))</f>
        <v>286.10360882057586</v>
      </c>
      <c r="DU121" s="59">
        <f t="shared" si="98"/>
        <v>109.24531387923128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40.483739907506035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40.483739907506035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486.92270399869466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262.42149466677068</v>
      </c>
      <c r="T122" s="59">
        <f t="shared" si="88"/>
        <v>232.7693253699756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-1.0197709343628959E-13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249.37919739649828</v>
      </c>
      <c r="AO122" s="59">
        <f t="shared" si="90"/>
        <v>315.05045383693073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46.765786702422702</v>
      </c>
      <c r="AV122" s="21">
        <f>EXP(-LN(2)/25)*AV121+(1-EXP(-LN(2)/25))/(LN(2)/25)*Calculateur!AQ122*Calculateur!AS122*VLOOKUP('Données projet'!$B$10,Paramètres!$A$1:$I$89,3,0)*0.475*44/12</f>
        <v>7.7060594558776048</v>
      </c>
      <c r="AW122" s="21">
        <f>EXP(-LN(2)/2)*AW121+(1-EXP(-LN(2)/2))/(LN(2)/2)*AQ122*AT122*VLOOKUP('Données projet'!$B$10,Paramètres!$A$1:$I$89,3,0)*0.475*44/12</f>
        <v>1.3304696835949873E-8</v>
      </c>
      <c r="AX122" s="21">
        <f t="shared" si="60"/>
        <v>54.471846171605009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212.00000000000009</v>
      </c>
      <c r="BE122" s="13">
        <f>BD122*VLOOKUP('Données projet'!$B$11,Paramètres!$A$1:$I$89,3,0)*VLOOKUP('Données projet'!$B$11,Paramètres!$A$1:$I$89,5,0)</f>
        <v>185.20320000000009</v>
      </c>
      <c r="BF122" s="13">
        <f t="shared" si="91"/>
        <v>46.477875402099386</v>
      </c>
      <c r="BG122" s="20">
        <f t="shared" si="61"/>
        <v>403.5112063253232</v>
      </c>
      <c r="BH122" s="59">
        <f t="shared" si="62"/>
        <v>696.84453965865646</v>
      </c>
      <c r="BI122" s="59">
        <f ca="1">AVERAGE(OFFSET($BH$3,0,0,'Données projet'!$E$11+1,1))-AVERAGE(OFFSET($H$3,0,0,'Données projet'!$E$11+1,1))</f>
        <v>186.80594222554424</v>
      </c>
      <c r="BJ122" s="59">
        <f t="shared" si="92"/>
        <v>179.02867751001872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10.251226290441373</v>
      </c>
      <c r="BQ122" s="21">
        <f>EXP(-LN(2)/25)*BQ121+(1-EXP(-LN(2)/25))/(LN(2)/25)*Calculateur!BL122*Calculateur!BN122*VLOOKUP('Données projet'!$B$11,Paramètres!$A$1:$I$89,3,0)*0.475*44/12</f>
        <v>8.2593454892329135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18.510571779674287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6.0153846153846189</v>
      </c>
      <c r="BY122" s="12">
        <f>IF('Données projet'!$A$114&gt;35,BY121+BX122-CG121,IF(A122&lt;'Données projet'!$A$114,$BV$205^A122,IF(A122='Données projet'!$A$114,'Données projet'!$B$114,BY121+BX122-CG121)))</f>
        <v>280.88461538461513</v>
      </c>
      <c r="BZ122" s="13">
        <f>BY122*VLOOKUP('Données projet'!$B$12,Paramètres!$A$1:$I$89,3,0)*VLOOKUP('Données projet'!$B$12,Paramètres!$A$1:$I$89,5,0)</f>
        <v>254.14439999999976</v>
      </c>
      <c r="CA122" s="13">
        <f t="shared" si="93"/>
        <v>61.472550736013424</v>
      </c>
      <c r="CB122" s="20">
        <f t="shared" si="64"/>
        <v>549.69952253188956</v>
      </c>
      <c r="CC122" s="59">
        <f t="shared" si="65"/>
        <v>843.03285586522293</v>
      </c>
      <c r="CD122" s="59">
        <f ca="1">AVERAGE(OFFSET($CC$3,0,0,'Données projet'!$E$12+1,1))-AVERAGE(OFFSET($H$3,0,0,'Données projet'!$E$12+1,1))</f>
        <v>265.17389489035344</v>
      </c>
      <c r="CE122" s="59">
        <f t="shared" si="94"/>
        <v>101.57852403610769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37.737917224797584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37.737917224797584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-1.7053025658242404E-13</v>
      </c>
      <c r="CU122" s="17">
        <f>CT122*VLOOKUP('Données projet'!$B$13,Paramètres!$A$1:$I$89,3,0)*VLOOKUP('Données projet'!$B$13,Paramètres!$A$1:$I$89,5,0)</f>
        <v>-1.0197709343628959E-13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182.34243693018033</v>
      </c>
      <c r="CZ122" s="59">
        <f t="shared" si="96"/>
        <v>182.65916563909786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40.3239585723679</v>
      </c>
      <c r="DG122" s="21">
        <f>EXP(-LN(2)/25)*DG121+(1-EXP(-LN(2)/25))/(LN(2)/25)*Calculateur!DB122*Calculateur!DD122*VLOOKUP('Données projet'!$B$13,Paramètres!$A$1:$I$89,3,0)*0.475*44/12</f>
        <v>7.0393980445042477</v>
      </c>
      <c r="DH122" s="21">
        <f>EXP(-LN(2)/2)*DH121+(1-EXP(-LN(2)/2))/(LN(2)/2)*DB122*DE122*VLOOKUP('Données projet'!$B$13,Paramètres!$A$1:$I$89,3,0)*0.475*44/12</f>
        <v>4.2097916665117948E-8</v>
      </c>
      <c r="DI122" s="22">
        <f t="shared" si="69"/>
        <v>47.363356658970062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6.0153846153846189</v>
      </c>
      <c r="DO122" s="12">
        <f>IF('Données projet'!$A$166&gt;35,DO121+DN122-DW121,IF(A122&lt;'Données projet'!$A$166,$DL$205^A122,IF(A122='Données projet'!$A$166,'Données projet'!$B$166,DO121+DN122-DW121)))</f>
        <v>280.88461538461513</v>
      </c>
      <c r="DP122" s="17">
        <f>DO122*VLOOKUP('Données projet'!$B$14,Paramètres!$A$1:$I$89,3,0)*VLOOKUP('Données projet'!$B$14,Paramètres!$A$1:$I$89,5,0)</f>
        <v>267.28979999999979</v>
      </c>
      <c r="DQ122" s="13">
        <f t="shared" si="97"/>
        <v>64.273759169917355</v>
      </c>
      <c r="DR122" s="20">
        <f t="shared" si="70"/>
        <v>577.47319888760569</v>
      </c>
      <c r="DS122" s="59">
        <f t="shared" si="71"/>
        <v>870.80653222093906</v>
      </c>
      <c r="DT122" s="59">
        <f ca="1">AVERAGE(OFFSET($DS$3,0,0,'Données projet'!$E$14+1,1))-AVERAGE(OFFSET($H$3,0,0,'Données projet'!$E$14+1,1))</f>
        <v>286.10360882057586</v>
      </c>
      <c r="DU122" s="59">
        <f t="shared" si="98"/>
        <v>109.24531387923128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39.689878460562987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39.689878460562987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488.50863668252316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262.42149466677068</v>
      </c>
      <c r="T123" s="59">
        <f t="shared" si="88"/>
        <v>232.7693253699756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-1.0197709343628959E-13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249.37919739649828</v>
      </c>
      <c r="AO123" s="59">
        <f t="shared" si="90"/>
        <v>315.05045383693073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45.848738149501536</v>
      </c>
      <c r="AV123" s="21">
        <f>EXP(-LN(2)/25)*AV122+(1-EXP(-LN(2)/25))/(LN(2)/25)*Calculateur!AQ123*Calculateur!AS123*VLOOKUP('Données projet'!$B$10,Paramètres!$A$1:$I$89,3,0)*0.475*44/12</f>
        <v>7.4953368548125772</v>
      </c>
      <c r="AW123" s="21">
        <f>EXP(-LN(2)/2)*AW122+(1-EXP(-LN(2)/2))/(LN(2)/2)*AQ123*AT123*VLOOKUP('Données projet'!$B$10,Paramètres!$A$1:$I$89,3,0)*0.475*44/12</f>
        <v>9.4078413543313581E-9</v>
      </c>
      <c r="AX123" s="21">
        <f t="shared" si="60"/>
        <v>53.344075013721955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212.00000000000009</v>
      </c>
      <c r="BE123" s="13">
        <f>BD123*VLOOKUP('Données projet'!$B$11,Paramètres!$A$1:$I$89,3,0)*VLOOKUP('Données projet'!$B$11,Paramètres!$A$1:$I$89,5,0)</f>
        <v>185.20320000000009</v>
      </c>
      <c r="BF123" s="13">
        <f t="shared" si="91"/>
        <v>46.477875402099386</v>
      </c>
      <c r="BG123" s="20">
        <f t="shared" si="61"/>
        <v>403.5112063253232</v>
      </c>
      <c r="BH123" s="59">
        <f t="shared" si="62"/>
        <v>696.84453965865646</v>
      </c>
      <c r="BI123" s="59">
        <f ca="1">AVERAGE(OFFSET($BH$3,0,0,'Données projet'!$E$11+1,1))-AVERAGE(OFFSET($H$3,0,0,'Données projet'!$E$11+1,1))</f>
        <v>186.80594222554424</v>
      </c>
      <c r="BJ123" s="59">
        <f t="shared" si="92"/>
        <v>179.02867751001872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10.050205995516459</v>
      </c>
      <c r="BQ123" s="21">
        <f>EXP(-LN(2)/25)*BQ122+(1-EXP(-LN(2)/25))/(LN(2)/25)*Calculateur!BL123*Calculateur!BN123*VLOOKUP('Données projet'!$B$11,Paramètres!$A$1:$I$89,3,0)*0.475*44/12</f>
        <v>8.0334932524897376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18.083699248006198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6.0153846153846189</v>
      </c>
      <c r="BY123" s="12">
        <f>IF('Données projet'!$A$114&gt;35,BY122+BX123-CG122,IF(A123&lt;'Données projet'!$A$114,$BV$205^A123,IF(A123='Données projet'!$A$114,'Données projet'!$B$114,BY122+BX123-CG122)))</f>
        <v>286.89999999999975</v>
      </c>
      <c r="BZ123" s="13">
        <f>BY123*VLOOKUP('Données projet'!$B$12,Paramètres!$A$1:$I$89,3,0)*VLOOKUP('Données projet'!$B$12,Paramètres!$A$1:$I$89,5,0)</f>
        <v>259.58711999999974</v>
      </c>
      <c r="CA123" s="13">
        <f t="shared" si="93"/>
        <v>62.634360486247317</v>
      </c>
      <c r="CB123" s="20">
        <f t="shared" si="64"/>
        <v>561.2024118468803</v>
      </c>
      <c r="CC123" s="59">
        <f t="shared" si="65"/>
        <v>854.53574518021355</v>
      </c>
      <c r="CD123" s="59">
        <f ca="1">AVERAGE(OFFSET($CC$3,0,0,'Données projet'!$E$12+1,1))-AVERAGE(OFFSET($H$3,0,0,'Données projet'!$E$12+1,1))</f>
        <v>265.17389489035344</v>
      </c>
      <c r="CE123" s="59">
        <f t="shared" si="94"/>
        <v>101.57852403610769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36.997899685875986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36.997899685875986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-1.7053025658242404E-13</v>
      </c>
      <c r="CU123" s="17">
        <f>CT123*VLOOKUP('Données projet'!$B$13,Paramètres!$A$1:$I$89,3,0)*VLOOKUP('Données projet'!$B$13,Paramètres!$A$1:$I$89,5,0)</f>
        <v>-1.0197709343628959E-13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182.34243693018033</v>
      </c>
      <c r="CZ123" s="59">
        <f t="shared" si="96"/>
        <v>182.65916563909786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39.533230339949924</v>
      </c>
      <c r="DG123" s="21">
        <f>EXP(-LN(2)/25)*DG122+(1-EXP(-LN(2)/25))/(LN(2)/25)*Calculateur!DB123*Calculateur!DD123*VLOOKUP('Données projet'!$B$13,Paramètres!$A$1:$I$89,3,0)*0.475*44/12</f>
        <v>6.8469053347914244</v>
      </c>
      <c r="DH123" s="21">
        <f>EXP(-LN(2)/2)*DH122+(1-EXP(-LN(2)/2))/(LN(2)/2)*DB123*DE123*VLOOKUP('Données projet'!$B$13,Paramètres!$A$1:$I$89,3,0)*0.475*44/12</f>
        <v>2.9767722347731072E-8</v>
      </c>
      <c r="DI123" s="22">
        <f t="shared" si="69"/>
        <v>46.380135704509065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6.0153846153846189</v>
      </c>
      <c r="DO123" s="12">
        <f>IF('Données projet'!$A$166&gt;35,DO122+DN123-DW122,IF(A123&lt;'Données projet'!$A$166,$DL$205^A123,IF(A123='Données projet'!$A$166,'Données projet'!$B$166,DO122+DN123-DW122)))</f>
        <v>286.89999999999975</v>
      </c>
      <c r="DP123" s="17">
        <f>DO123*VLOOKUP('Données projet'!$B$14,Paramètres!$A$1:$I$89,3,0)*VLOOKUP('Données projet'!$B$14,Paramètres!$A$1:$I$89,5,0)</f>
        <v>273.01403999999974</v>
      </c>
      <c r="DQ123" s="13">
        <f t="shared" si="97"/>
        <v>65.488510781713472</v>
      </c>
      <c r="DR123" s="20">
        <f t="shared" si="70"/>
        <v>589.55860927815058</v>
      </c>
      <c r="DS123" s="59">
        <f t="shared" si="71"/>
        <v>882.89194261148396</v>
      </c>
      <c r="DT123" s="59">
        <f ca="1">AVERAGE(OFFSET($DS$3,0,0,'Données projet'!$E$14+1,1))-AVERAGE(OFFSET($H$3,0,0,'Données projet'!$E$14+1,1))</f>
        <v>286.10360882057586</v>
      </c>
      <c r="DU123" s="59">
        <f t="shared" si="98"/>
        <v>109.24531387923128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38.911584152386823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38.911584152386823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490.09426983357662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262.42149466677068</v>
      </c>
      <c r="T124" s="59">
        <f t="shared" si="88"/>
        <v>232.7693253699756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-1.0197709343628959E-13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249.37919739649828</v>
      </c>
      <c r="AO124" s="59">
        <f t="shared" si="90"/>
        <v>315.05045383693073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44.949672359358772</v>
      </c>
      <c r="AV124" s="21">
        <f>EXP(-LN(2)/25)*AV123+(1-EXP(-LN(2)/25))/(LN(2)/25)*Calculateur!AQ124*Calculateur!AS124*VLOOKUP('Données projet'!$B$10,Paramètres!$A$1:$I$89,3,0)*0.475*44/12</f>
        <v>7.2903764743550932</v>
      </c>
      <c r="AW124" s="21">
        <f>EXP(-LN(2)/2)*AW123+(1-EXP(-LN(2)/2))/(LN(2)/2)*AQ124*AT124*VLOOKUP('Données projet'!$B$10,Paramètres!$A$1:$I$89,3,0)*0.475*44/12</f>
        <v>6.6523484179749366E-9</v>
      </c>
      <c r="AX124" s="21">
        <f t="shared" si="60"/>
        <v>52.240048840366214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212.00000000000009</v>
      </c>
      <c r="BE124" s="13">
        <f>BD124*VLOOKUP('Données projet'!$B$11,Paramètres!$A$1:$I$89,3,0)*VLOOKUP('Données projet'!$B$11,Paramètres!$A$1:$I$89,5,0)</f>
        <v>185.20320000000009</v>
      </c>
      <c r="BF124" s="13">
        <f t="shared" si="91"/>
        <v>46.477875402099386</v>
      </c>
      <c r="BG124" s="20">
        <f t="shared" si="61"/>
        <v>403.5112063253232</v>
      </c>
      <c r="BH124" s="59">
        <f t="shared" si="62"/>
        <v>696.84453965865646</v>
      </c>
      <c r="BI124" s="59">
        <f ca="1">AVERAGE(OFFSET($BH$3,0,0,'Données projet'!$E$11+1,1))-AVERAGE(OFFSET($H$3,0,0,'Données projet'!$E$11+1,1))</f>
        <v>186.80594222554424</v>
      </c>
      <c r="BJ124" s="59">
        <f t="shared" si="92"/>
        <v>179.02867751001872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9.8531275859647494</v>
      </c>
      <c r="BQ124" s="21">
        <f>EXP(-LN(2)/25)*BQ123+(1-EXP(-LN(2)/25))/(LN(2)/25)*Calculateur!BL124*Calculateur!BN124*VLOOKUP('Données projet'!$B$11,Paramètres!$A$1:$I$89,3,0)*0.475*44/12</f>
        <v>7.8138169570373561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17.666944543002106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6.0153846153846189</v>
      </c>
      <c r="BY124" s="12">
        <f>IF('Données projet'!$A$114&gt;35,BY123+BX124-CG123,IF(A124&lt;'Données projet'!$A$114,$BV$205^A124,IF(A124='Données projet'!$A$114,'Données projet'!$B$114,BY123+BX124-CG123)))</f>
        <v>292.91538461538437</v>
      </c>
      <c r="BZ124" s="13">
        <f>BY124*VLOOKUP('Données projet'!$B$12,Paramètres!$A$1:$I$89,3,0)*VLOOKUP('Données projet'!$B$12,Paramètres!$A$1:$I$89,5,0)</f>
        <v>265.02983999999975</v>
      </c>
      <c r="CA124" s="13">
        <f t="shared" si="93"/>
        <v>63.793338031797148</v>
      </c>
      <c r="CB124" s="20">
        <f t="shared" si="64"/>
        <v>572.70036840537955</v>
      </c>
      <c r="CC124" s="59">
        <f t="shared" si="65"/>
        <v>866.03370173871281</v>
      </c>
      <c r="CD124" s="59">
        <f ca="1">AVERAGE(OFFSET($CC$3,0,0,'Données projet'!$E$12+1,1))-AVERAGE(OFFSET($H$3,0,0,'Données projet'!$E$12+1,1))</f>
        <v>265.17389489035344</v>
      </c>
      <c r="CE124" s="59">
        <f t="shared" si="94"/>
        <v>101.57852403610769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36.27239343952651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36.27239343952651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-1.7053025658242404E-13</v>
      </c>
      <c r="CU124" s="17">
        <f>CT124*VLOOKUP('Données projet'!$B$13,Paramètres!$A$1:$I$89,3,0)*VLOOKUP('Données projet'!$B$13,Paramètres!$A$1:$I$89,5,0)</f>
        <v>-1.0197709343628959E-13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182.34243693018033</v>
      </c>
      <c r="CZ124" s="59">
        <f t="shared" si="96"/>
        <v>182.65916563909786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38.758007805873063</v>
      </c>
      <c r="DG124" s="21">
        <f>EXP(-LN(2)/25)*DG123+(1-EXP(-LN(2)/25))/(LN(2)/25)*Calculateur!DB124*Calculateur!DD124*VLOOKUP('Données projet'!$B$13,Paramètres!$A$1:$I$89,3,0)*0.475*44/12</f>
        <v>6.6596763483484498</v>
      </c>
      <c r="DH124" s="21">
        <f>EXP(-LN(2)/2)*DH123+(1-EXP(-LN(2)/2))/(LN(2)/2)*DB124*DE124*VLOOKUP('Données projet'!$B$13,Paramètres!$A$1:$I$89,3,0)*0.475*44/12</f>
        <v>2.1048958332558977E-8</v>
      </c>
      <c r="DI124" s="22">
        <f t="shared" si="69"/>
        <v>45.417684175270473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6.0153846153846189</v>
      </c>
      <c r="DO124" s="12">
        <f>IF('Données projet'!$A$166&gt;35,DO123+DN124-DW123,IF(A124&lt;'Données projet'!$A$166,$DL$205^A124,IF(A124='Données projet'!$A$166,'Données projet'!$B$166,DO123+DN124-DW123)))</f>
        <v>292.91538461538437</v>
      </c>
      <c r="DP124" s="17">
        <f>DO124*VLOOKUP('Données projet'!$B$14,Paramètres!$A$1:$I$89,3,0)*VLOOKUP('Données projet'!$B$14,Paramètres!$A$1:$I$89,5,0)</f>
        <v>278.73827999999975</v>
      </c>
      <c r="DQ124" s="13">
        <f t="shared" si="97"/>
        <v>66.700301129667508</v>
      </c>
      <c r="DR124" s="20">
        <f t="shared" si="70"/>
        <v>601.63886213417038</v>
      </c>
      <c r="DS124" s="59">
        <f t="shared" si="71"/>
        <v>894.97219546750375</v>
      </c>
      <c r="DT124" s="59">
        <f ca="1">AVERAGE(OFFSET($DS$3,0,0,'Données projet'!$E$14+1,1))-AVERAGE(OFFSET($H$3,0,0,'Données projet'!$E$14+1,1))</f>
        <v>286.10360882057586</v>
      </c>
      <c r="DU124" s="59">
        <f t="shared" si="98"/>
        <v>109.24531387923128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38.148551720881336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38.148551720881336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491.67960621421241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262.42149466677068</v>
      </c>
      <c r="T125" s="59">
        <f t="shared" si="88"/>
        <v>232.7693253699756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-1.0197709343628959E-13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249.37919739649828</v>
      </c>
      <c r="AO125" s="59">
        <f t="shared" si="90"/>
        <v>315.05045383693073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44.06823670098472</v>
      </c>
      <c r="AV125" s="21">
        <f>EXP(-LN(2)/25)*AV124+(1-EXP(-LN(2)/25))/(LN(2)/25)*Calculateur!AQ125*Calculateur!AS125*VLOOKUP('Données projet'!$B$10,Paramètres!$A$1:$I$89,3,0)*0.475*44/12</f>
        <v>7.0910207462796171</v>
      </c>
      <c r="AW125" s="21">
        <f>EXP(-LN(2)/2)*AW124+(1-EXP(-LN(2)/2))/(LN(2)/2)*AQ125*AT125*VLOOKUP('Données projet'!$B$10,Paramètres!$A$1:$I$89,3,0)*0.475*44/12</f>
        <v>4.703920677165679E-9</v>
      </c>
      <c r="AX125" s="21">
        <f t="shared" si="60"/>
        <v>51.159257451968259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212.00000000000009</v>
      </c>
      <c r="BE125" s="13">
        <f>BD125*VLOOKUP('Données projet'!$B$11,Paramètres!$A$1:$I$89,3,0)*VLOOKUP('Données projet'!$B$11,Paramètres!$A$1:$I$89,5,0)</f>
        <v>185.20320000000009</v>
      </c>
      <c r="BF125" s="13">
        <f t="shared" si="91"/>
        <v>46.477875402099386</v>
      </c>
      <c r="BG125" s="20">
        <f t="shared" si="61"/>
        <v>403.5112063253232</v>
      </c>
      <c r="BH125" s="59">
        <f t="shared" si="62"/>
        <v>696.84453965865646</v>
      </c>
      <c r="BI125" s="59">
        <f ca="1">AVERAGE(OFFSET($BH$3,0,0,'Données projet'!$E$11+1,1))-AVERAGE(OFFSET($H$3,0,0,'Données projet'!$E$11+1,1))</f>
        <v>186.80594222554424</v>
      </c>
      <c r="BJ125" s="59">
        <f t="shared" si="92"/>
        <v>179.02867751001872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9.6599137638183876</v>
      </c>
      <c r="BQ125" s="21">
        <f>EXP(-LN(2)/25)*BQ124+(1-EXP(-LN(2)/25))/(LN(2)/25)*Calculateur!BL125*Calculateur!BN125*VLOOKUP('Données projet'!$B$11,Paramètres!$A$1:$I$89,3,0)*0.475*44/12</f>
        <v>7.6001477214363948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17.260061485254781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6.0153846153846189</v>
      </c>
      <c r="BY125" s="12">
        <f>IF('Données projet'!$A$114&gt;35,BY124+BX125-CG124,IF(A125&lt;'Données projet'!$A$114,$BV$205^A125,IF(A125='Données projet'!$A$114,'Données projet'!$B$114,BY124+BX125-CG124)))</f>
        <v>298.93076923076899</v>
      </c>
      <c r="BZ125" s="13">
        <f>BY125*VLOOKUP('Données projet'!$B$12,Paramètres!$A$1:$I$89,3,0)*VLOOKUP('Données projet'!$B$12,Paramètres!$A$1:$I$89,5,0)</f>
        <v>270.47255999999976</v>
      </c>
      <c r="CA125" s="13">
        <f t="shared" si="93"/>
        <v>64.949548237352417</v>
      </c>
      <c r="CB125" s="20">
        <f t="shared" si="64"/>
        <v>584.19350518005501</v>
      </c>
      <c r="CC125" s="59">
        <f t="shared" si="65"/>
        <v>877.52683851338838</v>
      </c>
      <c r="CD125" s="59">
        <f ca="1">AVERAGE(OFFSET($CC$3,0,0,'Données projet'!$E$12+1,1))-AVERAGE(OFFSET($H$3,0,0,'Données projet'!$E$12+1,1))</f>
        <v>265.17389489035344</v>
      </c>
      <c r="CE125" s="59">
        <f t="shared" si="94"/>
        <v>101.57852403610769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35.561113928152835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35.561113928152835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-1.7053025658242404E-13</v>
      </c>
      <c r="CU125" s="17">
        <f>CT125*VLOOKUP('Données projet'!$B$13,Paramètres!$A$1:$I$89,3,0)*VLOOKUP('Données projet'!$B$13,Paramètres!$A$1:$I$89,5,0)</f>
        <v>-1.0197709343628959E-13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182.34243693018033</v>
      </c>
      <c r="CZ125" s="59">
        <f t="shared" si="96"/>
        <v>182.65916563909786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37.997986912850394</v>
      </c>
      <c r="DG125" s="21">
        <f>EXP(-LN(2)/25)*DG124+(1-EXP(-LN(2)/25))/(LN(2)/25)*Calculateur!DB125*Calculateur!DD125*VLOOKUP('Données projet'!$B$13,Paramètres!$A$1:$I$89,3,0)*0.475*44/12</f>
        <v>6.4775671483857034</v>
      </c>
      <c r="DH125" s="21">
        <f>EXP(-LN(2)/2)*DH124+(1-EXP(-LN(2)/2))/(LN(2)/2)*DB125*DE125*VLOOKUP('Données projet'!$B$13,Paramètres!$A$1:$I$89,3,0)*0.475*44/12</f>
        <v>1.4883861173865538E-8</v>
      </c>
      <c r="DI125" s="22">
        <f t="shared" si="69"/>
        <v>44.475554076119955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6.0153846153846189</v>
      </c>
      <c r="DO125" s="12">
        <f>IF('Données projet'!$A$166&gt;35,DO124+DN125-DW124,IF(A125&lt;'Données projet'!$A$166,$DL$205^A125,IF(A125='Données projet'!$A$166,'Données projet'!$B$166,DO124+DN125-DW124)))</f>
        <v>298.93076923076899</v>
      </c>
      <c r="DP125" s="17">
        <f>DO125*VLOOKUP('Données projet'!$B$14,Paramètres!$A$1:$I$89,3,0)*VLOOKUP('Données projet'!$B$14,Paramètres!$A$1:$I$89,5,0)</f>
        <v>284.46251999999976</v>
      </c>
      <c r="DQ125" s="13">
        <f t="shared" si="97"/>
        <v>67.909198034251659</v>
      </c>
      <c r="DR125" s="20">
        <f t="shared" si="70"/>
        <v>613.71407557632119</v>
      </c>
      <c r="DS125" s="59">
        <f t="shared" si="71"/>
        <v>907.04740890965445</v>
      </c>
      <c r="DT125" s="59">
        <f ca="1">AVERAGE(OFFSET($DS$3,0,0,'Données projet'!$E$14+1,1))-AVERAGE(OFFSET($H$3,0,0,'Données projet'!$E$14+1,1))</f>
        <v>286.10360882057586</v>
      </c>
      <c r="DU125" s="59">
        <f t="shared" si="98"/>
        <v>109.24531387923128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37.400481889953845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37.400481889953845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493.26464853888888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262.42149466677068</v>
      </c>
      <c r="T126" s="59">
        <f t="shared" si="88"/>
        <v>232.7693253699756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-1.0197709343628959E-13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249.37919739649828</v>
      </c>
      <c r="AO126" s="59">
        <f t="shared" si="90"/>
        <v>315.05045383693073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43.20408545824872</v>
      </c>
      <c r="AV126" s="21">
        <f>EXP(-LN(2)/25)*AV125+(1-EXP(-LN(2)/25))/(LN(2)/25)*Calculateur!AQ126*Calculateur!AS126*VLOOKUP('Données projet'!$B$10,Paramètres!$A$1:$I$89,3,0)*0.475*44/12</f>
        <v>6.8971164110720267</v>
      </c>
      <c r="AW126" s="21">
        <f>EXP(-LN(2)/2)*AW125+(1-EXP(-LN(2)/2))/(LN(2)/2)*AQ126*AT126*VLOOKUP('Données projet'!$B$10,Paramètres!$A$1:$I$89,3,0)*0.475*44/12</f>
        <v>3.3261742089874683E-9</v>
      </c>
      <c r="AX126" s="21">
        <f t="shared" si="60"/>
        <v>50.101201872646918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212.00000000000009</v>
      </c>
      <c r="BE126" s="13">
        <f>BD126*VLOOKUP('Données projet'!$B$11,Paramètres!$A$1:$I$89,3,0)*VLOOKUP('Données projet'!$B$11,Paramètres!$A$1:$I$89,5,0)</f>
        <v>185.20320000000009</v>
      </c>
      <c r="BF126" s="13">
        <f t="shared" si="91"/>
        <v>46.477875402099386</v>
      </c>
      <c r="BG126" s="20">
        <f t="shared" si="61"/>
        <v>403.5112063253232</v>
      </c>
      <c r="BH126" s="59">
        <f t="shared" si="62"/>
        <v>696.84453965865646</v>
      </c>
      <c r="BI126" s="59">
        <f ca="1">AVERAGE(OFFSET($BH$3,0,0,'Données projet'!$E$11+1,1))-AVERAGE(OFFSET($H$3,0,0,'Données projet'!$E$11+1,1))</f>
        <v>186.80594222554424</v>
      </c>
      <c r="BJ126" s="59">
        <f t="shared" si="92"/>
        <v>179.02867751001872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9.470488746875521</v>
      </c>
      <c r="BQ126" s="21">
        <f>EXP(-LN(2)/25)*BQ125+(1-EXP(-LN(2)/25))/(LN(2)/25)*Calculateur!BL126*Calculateur!BN126*VLOOKUP('Données projet'!$B$11,Paramètres!$A$1:$I$89,3,0)*0.475*44/12</f>
        <v>7.3923212823193181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16.86281002919484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6.0153846153846189</v>
      </c>
      <c r="BY126" s="12">
        <f>IF('Données projet'!$A$114&gt;35,BY125+BX126-CG125,IF(A126&lt;'Données projet'!$A$114,$BV$205^A126,IF(A126='Données projet'!$A$114,'Données projet'!$B$114,BY125+BX126-CG125)))</f>
        <v>304.94615384615361</v>
      </c>
      <c r="BZ126" s="13">
        <f>BY126*VLOOKUP('Données projet'!$B$12,Paramètres!$A$1:$I$89,3,0)*VLOOKUP('Données projet'!$B$12,Paramètres!$A$1:$I$89,5,0)</f>
        <v>275.91527999999977</v>
      </c>
      <c r="CA126" s="13">
        <f t="shared" si="93"/>
        <v>66.103053207798197</v>
      </c>
      <c r="CB126" s="20">
        <f t="shared" si="64"/>
        <v>595.68193033691477</v>
      </c>
      <c r="CC126" s="59">
        <f t="shared" si="65"/>
        <v>889.01526367024803</v>
      </c>
      <c r="CD126" s="59">
        <f ca="1">AVERAGE(OFFSET($CC$3,0,0,'Données projet'!$E$12+1,1))-AVERAGE(OFFSET($H$3,0,0,'Données projet'!$E$12+1,1))</f>
        <v>265.17389489035344</v>
      </c>
      <c r="CE126" s="59">
        <f t="shared" si="94"/>
        <v>101.57852403610769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34.863782174159532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34.863782174159532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-1.7053025658242404E-13</v>
      </c>
      <c r="CU126" s="17">
        <f>CT126*VLOOKUP('Données projet'!$B$13,Paramètres!$A$1:$I$89,3,0)*VLOOKUP('Données projet'!$B$13,Paramètres!$A$1:$I$89,5,0)</f>
        <v>-1.0197709343628959E-13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182.34243693018033</v>
      </c>
      <c r="CZ126" s="59">
        <f t="shared" si="96"/>
        <v>182.65916563909786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37.252869565972929</v>
      </c>
      <c r="DG126" s="21">
        <f>EXP(-LN(2)/25)*DG125+(1-EXP(-LN(2)/25))/(LN(2)/25)*Calculateur!DB126*Calculateur!DD126*VLOOKUP('Données projet'!$B$13,Paramètres!$A$1:$I$89,3,0)*0.475*44/12</f>
        <v>6.300437734072645</v>
      </c>
      <c r="DH126" s="21">
        <f>EXP(-LN(2)/2)*DH125+(1-EXP(-LN(2)/2))/(LN(2)/2)*DB126*DE126*VLOOKUP('Données projet'!$B$13,Paramètres!$A$1:$I$89,3,0)*0.475*44/12</f>
        <v>1.052447916627949E-8</v>
      </c>
      <c r="DI126" s="22">
        <f t="shared" si="69"/>
        <v>43.553307310570055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6.0153846153846189</v>
      </c>
      <c r="DO126" s="12">
        <f>IF('Données projet'!$A$166&gt;35,DO125+DN126-DW125,IF(A126&lt;'Données projet'!$A$166,$DL$205^A126,IF(A126='Données projet'!$A$166,'Données projet'!$B$166,DO125+DN126-DW125)))</f>
        <v>304.94615384615361</v>
      </c>
      <c r="DP126" s="17">
        <f>DO126*VLOOKUP('Données projet'!$B$14,Paramètres!$A$1:$I$89,3,0)*VLOOKUP('Données projet'!$B$14,Paramètres!$A$1:$I$89,5,0)</f>
        <v>290.18675999999977</v>
      </c>
      <c r="DQ126" s="13">
        <f t="shared" si="97"/>
        <v>69.115266430373978</v>
      </c>
      <c r="DR126" s="20">
        <f t="shared" si="70"/>
        <v>625.78436269956762</v>
      </c>
      <c r="DS126" s="59">
        <f t="shared" si="71"/>
        <v>919.11769603290099</v>
      </c>
      <c r="DT126" s="59">
        <f ca="1">AVERAGE(OFFSET($DS$3,0,0,'Données projet'!$E$14+1,1))-AVERAGE(OFFSET($H$3,0,0,'Données projet'!$E$14+1,1))</f>
        <v>286.10360882057586</v>
      </c>
      <c r="DU126" s="59">
        <f t="shared" si="98"/>
        <v>109.24531387923128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36.6670812521333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36.6670812521333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494.84939947537879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262.42149466677068</v>
      </c>
      <c r="T127" s="59">
        <f t="shared" si="88"/>
        <v>232.7693253699756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-1.0197709343628959E-13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249.37919739649828</v>
      </c>
      <c r="AO127" s="59">
        <f t="shared" si="90"/>
        <v>315.05045383693073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42.356879694302556</v>
      </c>
      <c r="AV127" s="21">
        <f>EXP(-LN(2)/25)*AV126+(1-EXP(-LN(2)/25))/(LN(2)/25)*Calculateur!AQ127*Calculateur!AS127*VLOOKUP('Données projet'!$B$10,Paramètres!$A$1:$I$89,3,0)*0.475*44/12</f>
        <v>6.7085144001076733</v>
      </c>
      <c r="AW127" s="21">
        <f>EXP(-LN(2)/2)*AW126+(1-EXP(-LN(2)/2))/(LN(2)/2)*AQ127*AT127*VLOOKUP('Données projet'!$B$10,Paramètres!$A$1:$I$89,3,0)*0.475*44/12</f>
        <v>2.3519603385828395E-9</v>
      </c>
      <c r="AX127" s="21">
        <f t="shared" si="60"/>
        <v>49.065394096762191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212.00000000000009</v>
      </c>
      <c r="BE127" s="13">
        <f>BD127*VLOOKUP('Données projet'!$B$11,Paramètres!$A$1:$I$89,3,0)*VLOOKUP('Données projet'!$B$11,Paramètres!$A$1:$I$89,5,0)</f>
        <v>185.20320000000009</v>
      </c>
      <c r="BF127" s="13">
        <f t="shared" si="91"/>
        <v>46.477875402099386</v>
      </c>
      <c r="BG127" s="20">
        <f t="shared" si="61"/>
        <v>403.5112063253232</v>
      </c>
      <c r="BH127" s="59">
        <f t="shared" si="62"/>
        <v>696.84453965865646</v>
      </c>
      <c r="BI127" s="59">
        <f ca="1">AVERAGE(OFFSET($BH$3,0,0,'Données projet'!$E$11+1,1))-AVERAGE(OFFSET($H$3,0,0,'Données projet'!$E$11+1,1))</f>
        <v>186.80594222554424</v>
      </c>
      <c r="BJ127" s="59">
        <f t="shared" si="92"/>
        <v>179.02867751001872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9.2847782389770526</v>
      </c>
      <c r="BQ127" s="21">
        <f>EXP(-LN(2)/25)*BQ126+(1-EXP(-LN(2)/25))/(LN(2)/25)*Calculateur!BL127*Calculateur!BN127*VLOOKUP('Données projet'!$B$11,Paramètres!$A$1:$I$89,3,0)*0.475*44/12</f>
        <v>7.1901778681090152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16.474956107086069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310.96153846153845</v>
      </c>
      <c r="BW127" s="12">
        <f>VLOOKUP(A127,'Données projet'!$A$113:$I$133,9,0)</f>
        <v>6.0153846153846189</v>
      </c>
      <c r="BX127" s="12">
        <f t="array" ref="BX127">INDEX(BW:BW,MIN(IF(ISNUMBER(BW127:BW323),ROW(BW127:BW323),"")))</f>
        <v>6.0153846153846189</v>
      </c>
      <c r="BY127" s="12">
        <f>IF('Données projet'!$A$114&gt;35,BY126+BX127-CG126,IF(A127&lt;'Données projet'!$A$114,$BV$205^A127,IF(A127='Données projet'!$A$114,'Données projet'!$B$114,BY126+BX127-CG126)))</f>
        <v>310.96153846153823</v>
      </c>
      <c r="BZ127" s="13">
        <f>BY127*VLOOKUP('Données projet'!$B$12,Paramètres!$A$1:$I$89,3,0)*VLOOKUP('Données projet'!$B$12,Paramètres!$A$1:$I$89,5,0)</f>
        <v>281.35799999999978</v>
      </c>
      <c r="CA127" s="13">
        <f t="shared" si="93"/>
        <v>67.253912457721626</v>
      </c>
      <c r="CB127" s="20">
        <f t="shared" si="64"/>
        <v>607.16574753053146</v>
      </c>
      <c r="CC127" s="59">
        <f t="shared" si="65"/>
        <v>900.49908086386472</v>
      </c>
      <c r="CD127" s="59">
        <f ca="1">AVERAGE(OFFSET($CC$3,0,0,'Données projet'!$E$12+1,1))-AVERAGE(OFFSET($H$3,0,0,'Données projet'!$E$12+1,1))</f>
        <v>265.17389489035344</v>
      </c>
      <c r="CE127" s="59">
        <f t="shared" si="94"/>
        <v>101.57852403610769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39.820512820512818</v>
      </c>
      <c r="CH127" s="16">
        <f>IF(ISNA(VLOOKUP(A127,'Données projet'!$A$113:$I$133,5,0)),0%,VLOOKUP(A127,'Données projet'!$A$113:$I$133,5,0)*VLOOKUP('Données projet'!$B$12,Paramètres!$A$1:$I$89,7,0))</f>
        <v>0.30099999999999999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46.168851002044192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46.168851002044192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-1.7053025658242404E-13</v>
      </c>
      <c r="CU127" s="17">
        <f>CT127*VLOOKUP('Données projet'!$B$13,Paramètres!$A$1:$I$89,3,0)*VLOOKUP('Données projet'!$B$13,Paramètres!$A$1:$I$89,5,0)</f>
        <v>-1.0197709343628959E-13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182.34243693018033</v>
      </c>
      <c r="CZ127" s="59">
        <f t="shared" si="96"/>
        <v>182.65916563909786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36.522363515791021</v>
      </c>
      <c r="DG127" s="21">
        <f>EXP(-LN(2)/25)*DG126+(1-EXP(-LN(2)/25))/(LN(2)/25)*Calculateur!DB127*Calculateur!DD127*VLOOKUP('Données projet'!$B$13,Paramètres!$A$1:$I$89,3,0)*0.475*44/12</f>
        <v>6.1281519329088079</v>
      </c>
      <c r="DH127" s="21">
        <f>EXP(-LN(2)/2)*DH126+(1-EXP(-LN(2)/2))/(LN(2)/2)*DB127*DE127*VLOOKUP('Données projet'!$B$13,Paramètres!$A$1:$I$89,3,0)*0.475*44/12</f>
        <v>7.4419305869327706E-9</v>
      </c>
      <c r="DI127" s="22">
        <f t="shared" si="69"/>
        <v>42.650515456141761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>
        <f>VLOOKUP(A127,'Données projet'!$A$165:$I$185,2,0)</f>
        <v>310.96153846153845</v>
      </c>
      <c r="DM127" s="12">
        <f>VLOOKUP(A127,'Données projet'!$A$165:$I$185,9,0)</f>
        <v>6.0153846153846189</v>
      </c>
      <c r="DN127" s="12">
        <f t="array" ref="DN127">INDEX(DM:DM,MIN(IF(ISNUMBER(DM127:DM323),ROW(DM127:DM323),"")))</f>
        <v>6.0153846153846189</v>
      </c>
      <c r="DO127" s="12">
        <f>IF('Données projet'!$A$166&gt;35,DO126+DN127-DW126,IF(A127&lt;'Données projet'!$A$166,$DL$205^A127,IF(A127='Données projet'!$A$166,'Données projet'!$B$166,DO126+DN127-DW126)))</f>
        <v>310.96153846153823</v>
      </c>
      <c r="DP127" s="17">
        <f>DO127*VLOOKUP('Données projet'!$B$14,Paramètres!$A$1:$I$89,3,0)*VLOOKUP('Données projet'!$B$14,Paramètres!$A$1:$I$89,5,0)</f>
        <v>295.91099999999977</v>
      </c>
      <c r="DQ127" s="13">
        <f t="shared" si="97"/>
        <v>70.318568544608894</v>
      </c>
      <c r="DR127" s="20">
        <f t="shared" si="70"/>
        <v>637.84983188186015</v>
      </c>
      <c r="DS127" s="59">
        <f t="shared" si="71"/>
        <v>931.18316521519341</v>
      </c>
      <c r="DT127" s="59">
        <f ca="1">AVERAGE(OFFSET($DS$3,0,0,'Données projet'!$E$14+1,1))-AVERAGE(OFFSET($H$3,0,0,'Données projet'!$E$14+1,1))</f>
        <v>286.10360882057586</v>
      </c>
      <c r="DU127" s="59">
        <f t="shared" si="98"/>
        <v>109.24531387923128</v>
      </c>
      <c r="DV127" s="15">
        <f>IF(ISNA(VLOOKUP(A127,'Données projet'!$A$165:$I$185,3,0)),0,VLOOKUP(A127,'Données projet'!$A$165:$I$185,3,0))</f>
        <v>10</v>
      </c>
      <c r="DW127" s="15">
        <f>IF(ISNA(VLOOKUP(A127,'Données projet'!$A$165:$I$185,4,0)),0,VLOOKUP(A127,'Données projet'!$A$165:$I$185,4,0))</f>
        <v>39.820512820512818</v>
      </c>
      <c r="DX127" s="16">
        <f>IF(ISNA(VLOOKUP(A127,'Données projet'!$A$165:$I$185,5,0)),0%,VLOOKUP(A127,'Données projet'!$A$165:$I$185,5,0)*VLOOKUP('Données projet'!$B$14,Paramètres!$A$1:$I$89,7,0))</f>
        <v>0.30099999999999999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48.556895019391312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48.556895019391312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496.43386164594193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262.42149466677068</v>
      </c>
      <c r="T128" s="59">
        <f t="shared" si="88"/>
        <v>232.7693253699756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-1.0197709343628959E-13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249.37919739649828</v>
      </c>
      <c r="AO128" s="59">
        <f t="shared" si="90"/>
        <v>315.05045383693073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41.526287118642891</v>
      </c>
      <c r="AV128" s="21">
        <f>EXP(-LN(2)/25)*AV127+(1-EXP(-LN(2)/25))/(LN(2)/25)*Calculateur!AQ128*Calculateur!AS128*VLOOKUP('Données projet'!$B$10,Paramètres!$A$1:$I$89,3,0)*0.475*44/12</f>
        <v>6.5250697210512891</v>
      </c>
      <c r="AW128" s="21">
        <f>EXP(-LN(2)/2)*AW127+(1-EXP(-LN(2)/2))/(LN(2)/2)*AQ128*AT128*VLOOKUP('Données projet'!$B$10,Paramètres!$A$1:$I$89,3,0)*0.475*44/12</f>
        <v>1.6630871044937342E-9</v>
      </c>
      <c r="AX128" s="21">
        <f t="shared" si="60"/>
        <v>48.051356841357268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212.00000000000009</v>
      </c>
      <c r="BE128" s="13">
        <f>BD128*VLOOKUP('Données projet'!$B$11,Paramètres!$A$1:$I$89,3,0)*VLOOKUP('Données projet'!$B$11,Paramètres!$A$1:$I$89,5,0)</f>
        <v>185.20320000000009</v>
      </c>
      <c r="BF128" s="13">
        <f t="shared" si="91"/>
        <v>46.477875402099386</v>
      </c>
      <c r="BG128" s="20">
        <f t="shared" si="61"/>
        <v>403.5112063253232</v>
      </c>
      <c r="BH128" s="59">
        <f t="shared" si="62"/>
        <v>696.84453965865646</v>
      </c>
      <c r="BI128" s="59">
        <f ca="1">AVERAGE(OFFSET($BH$3,0,0,'Données projet'!$E$11+1,1))-AVERAGE(OFFSET($H$3,0,0,'Données projet'!$E$11+1,1))</f>
        <v>186.80594222554424</v>
      </c>
      <c r="BJ128" s="59">
        <f t="shared" si="92"/>
        <v>179.02867751001872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9.1027094008662477</v>
      </c>
      <c r="BQ128" s="21">
        <f>EXP(-LN(2)/25)*BQ127+(1-EXP(-LN(2)/25))/(LN(2)/25)*Calculateur!BL128*Calculateur!BN128*VLOOKUP('Données projet'!$B$11,Paramètres!$A$1:$I$89,3,0)*0.475*44/12</f>
        <v>6.9935620761905533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16.096271477056803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6.0711538461538508</v>
      </c>
      <c r="BY128" s="12">
        <f>IF('Données projet'!$A$114&gt;35,BY127+BX128-CG127,IF(A128&lt;'Données projet'!$A$114,$BV$205^A128,IF(A128='Données projet'!$A$114,'Données projet'!$B$114,BY127+BX128-CG127)))</f>
        <v>277.21217948717924</v>
      </c>
      <c r="BZ128" s="13">
        <f>BY128*VLOOKUP('Données projet'!$B$12,Paramètres!$A$1:$I$89,3,0)*VLOOKUP('Données projet'!$B$12,Paramètres!$A$1:$I$89,5,0)</f>
        <v>250.82157999999976</v>
      </c>
      <c r="CA128" s="13">
        <f t="shared" si="93"/>
        <v>60.761836236258191</v>
      </c>
      <c r="CB128" s="20">
        <f t="shared" si="64"/>
        <v>542.67444994481593</v>
      </c>
      <c r="CC128" s="59">
        <f t="shared" si="65"/>
        <v>836.00778327814919</v>
      </c>
      <c r="CD128" s="59">
        <f ca="1">AVERAGE(OFFSET($CC$3,0,0,'Données projet'!$E$12+1,1))-AVERAGE(OFFSET($H$3,0,0,'Données projet'!$E$12+1,1))</f>
        <v>265.17389489035344</v>
      </c>
      <c r="CE128" s="59">
        <f t="shared" si="94"/>
        <v>101.57852403610769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45.263507994112629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45.263507994112629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-1.7053025658242404E-13</v>
      </c>
      <c r="CU128" s="17">
        <f>CT128*VLOOKUP('Données projet'!$B$13,Paramètres!$A$1:$I$89,3,0)*VLOOKUP('Données projet'!$B$13,Paramètres!$A$1:$I$89,5,0)</f>
        <v>-1.0197709343628959E-13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182.34243693018033</v>
      </c>
      <c r="CZ128" s="59">
        <f t="shared" si="96"/>
        <v>182.65916563909786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35.80618224368849</v>
      </c>
      <c r="DG128" s="21">
        <f>EXP(-LN(2)/25)*DG127+(1-EXP(-LN(2)/25))/(LN(2)/25)*Calculateur!DB128*Calculateur!DD128*VLOOKUP('Données projet'!$B$13,Paramètres!$A$1:$I$89,3,0)*0.475*44/12</f>
        <v>5.9605772960379122</v>
      </c>
      <c r="DH128" s="21">
        <f>EXP(-LN(2)/2)*DH127+(1-EXP(-LN(2)/2))/(LN(2)/2)*DB128*DE128*VLOOKUP('Données projet'!$B$13,Paramètres!$A$1:$I$89,3,0)*0.475*44/12</f>
        <v>5.262239583139746E-9</v>
      </c>
      <c r="DI128" s="22">
        <f t="shared" si="69"/>
        <v>41.766759544988638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6.0711538461538508</v>
      </c>
      <c r="DO128" s="12">
        <f>IF('Données projet'!$A$166&gt;35,DO127+DN128-DW127,IF(A128&lt;'Données projet'!$A$166,$DL$205^A128,IF(A128='Données projet'!$A$166,'Données projet'!$B$166,DO127+DN128-DW127)))</f>
        <v>277.21217948717924</v>
      </c>
      <c r="DP128" s="17">
        <f>DO128*VLOOKUP('Données projet'!$B$14,Paramètres!$A$1:$I$89,3,0)*VLOOKUP('Données projet'!$B$14,Paramètres!$A$1:$I$89,5,0)</f>
        <v>263.79510999999974</v>
      </c>
      <c r="DQ128" s="13">
        <f t="shared" si="97"/>
        <v>63.530658516879463</v>
      </c>
      <c r="DR128" s="20">
        <f t="shared" si="70"/>
        <v>570.0923801668979</v>
      </c>
      <c r="DS128" s="59">
        <f t="shared" si="71"/>
        <v>863.42571350023127</v>
      </c>
      <c r="DT128" s="59">
        <f ca="1">AVERAGE(OFFSET($DS$3,0,0,'Données projet'!$E$14+1,1))-AVERAGE(OFFSET($H$3,0,0,'Données projet'!$E$14+1,1))</f>
        <v>286.10360882057586</v>
      </c>
      <c r="DU128" s="59">
        <f t="shared" si="98"/>
        <v>109.24531387923128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47.604723924842595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47.604723924842595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498.0180376284593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262.42149466677068</v>
      </c>
      <c r="T129" s="59">
        <f t="shared" si="88"/>
        <v>232.7693253699756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-1.0197709343628959E-13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249.37919739649828</v>
      </c>
      <c r="AO129" s="59">
        <f t="shared" si="90"/>
        <v>315.05045383693073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40.711981956780463</v>
      </c>
      <c r="AV129" s="21">
        <f>EXP(-LN(2)/25)*AV128+(1-EXP(-LN(2)/25))/(LN(2)/25)*Calculateur!AQ129*Calculateur!AS129*VLOOKUP('Données projet'!$B$10,Paramètres!$A$1:$I$89,3,0)*0.475*44/12</f>
        <v>6.3466413463906379</v>
      </c>
      <c r="AW129" s="21">
        <f>EXP(-LN(2)/2)*AW128+(1-EXP(-LN(2)/2))/(LN(2)/2)*AQ129*AT129*VLOOKUP('Données projet'!$B$10,Paramètres!$A$1:$I$89,3,0)*0.475*44/12</f>
        <v>1.1759801692914198E-9</v>
      </c>
      <c r="AX129" s="21">
        <f t="shared" si="60"/>
        <v>47.05862330434708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212.00000000000009</v>
      </c>
      <c r="BE129" s="13">
        <f>BD129*VLOOKUP('Données projet'!$B$11,Paramètres!$A$1:$I$89,3,0)*VLOOKUP('Données projet'!$B$11,Paramètres!$A$1:$I$89,5,0)</f>
        <v>185.20320000000009</v>
      </c>
      <c r="BF129" s="13">
        <f t="shared" si="91"/>
        <v>46.477875402099386</v>
      </c>
      <c r="BG129" s="20">
        <f t="shared" si="61"/>
        <v>403.5112063253232</v>
      </c>
      <c r="BH129" s="59">
        <f t="shared" si="62"/>
        <v>696.84453965865646</v>
      </c>
      <c r="BI129" s="59">
        <f ca="1">AVERAGE(OFFSET($BH$3,0,0,'Données projet'!$E$11+1,1))-AVERAGE(OFFSET($H$3,0,0,'Données projet'!$E$11+1,1))</f>
        <v>186.80594222554424</v>
      </c>
      <c r="BJ129" s="59">
        <f t="shared" si="92"/>
        <v>179.02867751001872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8.92421082161977</v>
      </c>
      <c r="BQ129" s="21">
        <f>EXP(-LN(2)/25)*BQ128+(1-EXP(-LN(2)/25))/(LN(2)/25)*Calculateur!BL129*Calculateur!BN129*VLOOKUP('Données projet'!$B$11,Paramètres!$A$1:$I$89,3,0)*0.475*44/12</f>
        <v>6.8023227534416772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15.726533575061447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6.0711538461538508</v>
      </c>
      <c r="BY129" s="12">
        <f>IF('Données projet'!$A$114&gt;35,BY128+BX129-CG128,IF(A129&lt;'Données projet'!$A$114,$BV$205^A129,IF(A129='Données projet'!$A$114,'Données projet'!$B$114,BY128+BX129-CG128)))</f>
        <v>283.28333333333308</v>
      </c>
      <c r="BZ129" s="13">
        <f>BY129*VLOOKUP('Données projet'!$B$12,Paramètres!$A$1:$I$89,3,0)*VLOOKUP('Données projet'!$B$12,Paramètres!$A$1:$I$89,5,0)</f>
        <v>256.31475999999975</v>
      </c>
      <c r="CA129" s="13">
        <f t="shared" si="93"/>
        <v>61.936182251682439</v>
      </c>
      <c r="CB129" s="20">
        <f t="shared" si="64"/>
        <v>554.28705775501305</v>
      </c>
      <c r="CC129" s="59">
        <f t="shared" si="65"/>
        <v>847.62039108834642</v>
      </c>
      <c r="CD129" s="59">
        <f ca="1">AVERAGE(OFFSET($CC$3,0,0,'Données projet'!$E$12+1,1))-AVERAGE(OFFSET($H$3,0,0,'Données projet'!$E$12+1,1))</f>
        <v>265.17389489035344</v>
      </c>
      <c r="CE129" s="59">
        <f t="shared" si="94"/>
        <v>101.57852403610769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44.375918210361895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44.375918210361895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-1.7053025658242404E-13</v>
      </c>
      <c r="CU129" s="17">
        <f>CT129*VLOOKUP('Données projet'!$B$13,Paramètres!$A$1:$I$89,3,0)*VLOOKUP('Données projet'!$B$13,Paramètres!$A$1:$I$89,5,0)</f>
        <v>-1.0197709343628959E-13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182.34243693018033</v>
      </c>
      <c r="CZ129" s="59">
        <f t="shared" si="96"/>
        <v>182.65916563909786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35.104044849504447</v>
      </c>
      <c r="DG129" s="21">
        <f>EXP(-LN(2)/25)*DG128+(1-EXP(-LN(2)/25))/(LN(2)/25)*Calculateur!DB129*Calculateur!DD129*VLOOKUP('Données projet'!$B$13,Paramètres!$A$1:$I$89,3,0)*0.475*44/12</f>
        <v>5.7975849964246189</v>
      </c>
      <c r="DH129" s="21">
        <f>EXP(-LN(2)/2)*DH128+(1-EXP(-LN(2)/2))/(LN(2)/2)*DB129*DE129*VLOOKUP('Données projet'!$B$13,Paramètres!$A$1:$I$89,3,0)*0.475*44/12</f>
        <v>3.7209652934663857E-9</v>
      </c>
      <c r="DI129" s="22">
        <f t="shared" si="69"/>
        <v>40.901629849650028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6.0711538461538508</v>
      </c>
      <c r="DO129" s="12">
        <f>IF('Données projet'!$A$166&gt;35,DO128+DN129-DW128,IF(A129&lt;'Données projet'!$A$166,$DL$205^A129,IF(A129='Données projet'!$A$166,'Données projet'!$B$166,DO128+DN129-DW128)))</f>
        <v>283.28333333333308</v>
      </c>
      <c r="DP129" s="17">
        <f>DO129*VLOOKUP('Données projet'!$B$14,Paramètres!$A$1:$I$89,3,0)*VLOOKUP('Données projet'!$B$14,Paramètres!$A$1:$I$89,5,0)</f>
        <v>269.57241999999979</v>
      </c>
      <c r="DQ129" s="13">
        <f t="shared" si="97"/>
        <v>64.758517651953724</v>
      </c>
      <c r="DR129" s="20">
        <f t="shared" si="70"/>
        <v>582.29304974381898</v>
      </c>
      <c r="DS129" s="59">
        <f t="shared" si="71"/>
        <v>875.62638307715224</v>
      </c>
      <c r="DT129" s="59">
        <f ca="1">AVERAGE(OFFSET($DS$3,0,0,'Données projet'!$E$14+1,1))-AVERAGE(OFFSET($H$3,0,0,'Données projet'!$E$14+1,1))</f>
        <v>286.10360882057586</v>
      </c>
      <c r="DU129" s="59">
        <f t="shared" si="98"/>
        <v>109.24531387923128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46.671224324690961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46.671224324690961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499.60192995753027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262.42149466677068</v>
      </c>
      <c r="T130" s="59">
        <f t="shared" si="88"/>
        <v>232.7693253699756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-1.0197709343628959E-13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249.37919739649828</v>
      </c>
      <c r="AO130" s="59">
        <f t="shared" si="90"/>
        <v>315.05045383693073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39.913644822465052</v>
      </c>
      <c r="AV130" s="21">
        <f>EXP(-LN(2)/25)*AV129+(1-EXP(-LN(2)/25))/(LN(2)/25)*Calculateur!AQ130*Calculateur!AS130*VLOOKUP('Données projet'!$B$10,Paramètres!$A$1:$I$89,3,0)*0.475*44/12</f>
        <v>6.173092105018223</v>
      </c>
      <c r="AW130" s="21">
        <f>EXP(-LN(2)/2)*AW129+(1-EXP(-LN(2)/2))/(LN(2)/2)*AQ130*AT130*VLOOKUP('Données projet'!$B$10,Paramètres!$A$1:$I$89,3,0)*0.475*44/12</f>
        <v>8.3154355224686708E-10</v>
      </c>
      <c r="AX130" s="21">
        <f t="shared" si="60"/>
        <v>46.086736928314814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212.00000000000009</v>
      </c>
      <c r="BE130" s="13">
        <f>BD130*VLOOKUP('Données projet'!$B$11,Paramètres!$A$1:$I$89,3,0)*VLOOKUP('Données projet'!$B$11,Paramètres!$A$1:$I$89,5,0)</f>
        <v>185.20320000000009</v>
      </c>
      <c r="BF130" s="13">
        <f t="shared" si="91"/>
        <v>46.477875402099386</v>
      </c>
      <c r="BG130" s="20">
        <f t="shared" si="61"/>
        <v>403.5112063253232</v>
      </c>
      <c r="BH130" s="59">
        <f t="shared" si="62"/>
        <v>696.84453965865646</v>
      </c>
      <c r="BI130" s="59">
        <f ca="1">AVERAGE(OFFSET($BH$3,0,0,'Données projet'!$E$11+1,1))-AVERAGE(OFFSET($H$3,0,0,'Données projet'!$E$11+1,1))</f>
        <v>186.80594222554424</v>
      </c>
      <c r="BJ130" s="59">
        <f t="shared" si="92"/>
        <v>179.02867751001872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8.7492124906389339</v>
      </c>
      <c r="BQ130" s="21">
        <f>EXP(-LN(2)/25)*BQ129+(1-EXP(-LN(2)/25))/(LN(2)/25)*Calculateur!BL130*Calculateur!BN130*VLOOKUP('Données projet'!$B$11,Paramètres!$A$1:$I$89,3,0)*0.475*44/12</f>
        <v>6.6163128800302076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15.365525370669141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6.0711538461538508</v>
      </c>
      <c r="BY130" s="12">
        <f>IF('Données projet'!$A$114&gt;35,BY129+BX130-CG129,IF(A130&lt;'Données projet'!$A$114,$BV$205^A130,IF(A130='Données projet'!$A$114,'Données projet'!$B$114,BY129+BX130-CG129)))</f>
        <v>289.35448717948691</v>
      </c>
      <c r="BZ130" s="13">
        <f>BY130*VLOOKUP('Données projet'!$B$12,Paramètres!$A$1:$I$89,3,0)*VLOOKUP('Données projet'!$B$12,Paramètres!$A$1:$I$89,5,0)</f>
        <v>261.80793999999975</v>
      </c>
      <c r="CA130" s="13">
        <f t="shared" si="93"/>
        <v>63.107602142412418</v>
      </c>
      <c r="CB130" s="20">
        <f t="shared" si="64"/>
        <v>565.89456923136788</v>
      </c>
      <c r="CC130" s="59">
        <f t="shared" si="65"/>
        <v>859.22790256470125</v>
      </c>
      <c r="CD130" s="59">
        <f ca="1">AVERAGE(OFFSET($CC$3,0,0,'Données projet'!$E$12+1,1))-AVERAGE(OFFSET($H$3,0,0,'Données projet'!$E$12+1,1))</f>
        <v>265.17389489035344</v>
      </c>
      <c r="CE130" s="59">
        <f t="shared" si="94"/>
        <v>101.57852403610769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43.505733520894196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43.505733520894196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-1.7053025658242404E-13</v>
      </c>
      <c r="CU130" s="17">
        <f>CT130*VLOOKUP('Données projet'!$B$13,Paramètres!$A$1:$I$89,3,0)*VLOOKUP('Données projet'!$B$13,Paramètres!$A$1:$I$89,5,0)</f>
        <v>-1.0197709343628959E-13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182.34243693018033</v>
      </c>
      <c r="CZ130" s="59">
        <f t="shared" si="96"/>
        <v>182.65916563909786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34.415675941358828</v>
      </c>
      <c r="DG130" s="21">
        <f>EXP(-LN(2)/25)*DG129+(1-EXP(-LN(2)/25))/(LN(2)/25)*Calculateur!DB130*Calculateur!DD130*VLOOKUP('Données projet'!$B$13,Paramètres!$A$1:$I$89,3,0)*0.475*44/12</f>
        <v>5.6390497298156435</v>
      </c>
      <c r="DH130" s="21">
        <f>EXP(-LN(2)/2)*DH129+(1-EXP(-LN(2)/2))/(LN(2)/2)*DB130*DE130*VLOOKUP('Données projet'!$B$13,Paramètres!$A$1:$I$89,3,0)*0.475*44/12</f>
        <v>2.6311197915698734E-9</v>
      </c>
      <c r="DI130" s="22">
        <f t="shared" si="69"/>
        <v>40.054725673805592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6.0711538461538508</v>
      </c>
      <c r="DO130" s="12">
        <f>IF('Données projet'!$A$166&gt;35,DO129+DN130-DW129,IF(A130&lt;'Données projet'!$A$166,$DL$205^A130,IF(A130='Données projet'!$A$166,'Données projet'!$B$166,DO129+DN130-DW129)))</f>
        <v>289.35448717948691</v>
      </c>
      <c r="DP130" s="17">
        <f>DO130*VLOOKUP('Données projet'!$B$14,Paramètres!$A$1:$I$89,3,0)*VLOOKUP('Données projet'!$B$14,Paramètres!$A$1:$I$89,5,0)</f>
        <v>275.34972999999974</v>
      </c>
      <c r="DQ130" s="13">
        <f t="shared" si="97"/>
        <v>65.983317323386856</v>
      </c>
      <c r="DR130" s="20">
        <f t="shared" si="70"/>
        <v>594.48839075489832</v>
      </c>
      <c r="DS130" s="59">
        <f t="shared" si="71"/>
        <v>887.82172408823158</v>
      </c>
      <c r="DT130" s="59">
        <f ca="1">AVERAGE(OFFSET($DS$3,0,0,'Données projet'!$E$14+1,1))-AVERAGE(OFFSET($H$3,0,0,'Données projet'!$E$14+1,1))</f>
        <v>286.10360882057586</v>
      </c>
      <c r="DU130" s="59">
        <f t="shared" si="98"/>
        <v>109.24531387923128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45.756030082319761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45.756030082319761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501.18554112553443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262.42149466677068</v>
      </c>
      <c r="T131" s="59">
        <f t="shared" si="88"/>
        <v>232.7693253699756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-1.0197709343628959E-13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249.37919739649828</v>
      </c>
      <c r="AO131" s="59">
        <f t="shared" si="90"/>
        <v>315.05045383693073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39.13096259241599</v>
      </c>
      <c r="AV131" s="21">
        <f>EXP(-LN(2)/25)*AV130+(1-EXP(-LN(2)/25))/(LN(2)/25)*Calculateur!AQ131*Calculateur!AS131*VLOOKUP('Données projet'!$B$10,Paramètres!$A$1:$I$89,3,0)*0.475*44/12</f>
        <v>6.0042885767776948</v>
      </c>
      <c r="AW131" s="21">
        <f>EXP(-LN(2)/2)*AW130+(1-EXP(-LN(2)/2))/(LN(2)/2)*AQ131*AT131*VLOOKUP('Données projet'!$B$10,Paramètres!$A$1:$I$89,3,0)*0.475*44/12</f>
        <v>5.8799008464570988E-10</v>
      </c>
      <c r="AX131" s="21">
        <f t="shared" si="60"/>
        <v>45.135251169781675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212.00000000000009</v>
      </c>
      <c r="BE131" s="13">
        <f>BD131*VLOOKUP('Données projet'!$B$11,Paramètres!$A$1:$I$89,3,0)*VLOOKUP('Données projet'!$B$11,Paramètres!$A$1:$I$89,5,0)</f>
        <v>185.20320000000009</v>
      </c>
      <c r="BF131" s="13">
        <f t="shared" si="91"/>
        <v>46.477875402099386</v>
      </c>
      <c r="BG131" s="20">
        <f t="shared" si="61"/>
        <v>403.5112063253232</v>
      </c>
      <c r="BH131" s="59">
        <f t="shared" si="62"/>
        <v>696.84453965865646</v>
      </c>
      <c r="BI131" s="59">
        <f ca="1">AVERAGE(OFFSET($BH$3,0,0,'Données projet'!$E$11+1,1))-AVERAGE(OFFSET($H$3,0,0,'Données projet'!$E$11+1,1))</f>
        <v>186.80594222554424</v>
      </c>
      <c r="BJ131" s="59">
        <f t="shared" si="92"/>
        <v>179.02867751001872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8.5776457701901894</v>
      </c>
      <c r="BQ131" s="21">
        <f>EXP(-LN(2)/25)*BQ130+(1-EXP(-LN(2)/25))/(LN(2)/25)*Calculateur!BL131*Calculateur!BN131*VLOOKUP('Données projet'!$B$11,Paramètres!$A$1:$I$89,3,0)*0.475*44/12</f>
        <v>6.4353894563890091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15.013035226579198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6.0711538461538508</v>
      </c>
      <c r="BY131" s="12">
        <f>IF('Données projet'!$A$114&gt;35,BY130+BX131-CG130,IF(A131&lt;'Données projet'!$A$114,$BV$205^A131,IF(A131='Données projet'!$A$114,'Données projet'!$B$114,BY130+BX131-CG130)))</f>
        <v>295.42564102564074</v>
      </c>
      <c r="BZ131" s="13">
        <f>BY131*VLOOKUP('Données projet'!$B$12,Paramètres!$A$1:$I$89,3,0)*VLOOKUP('Données projet'!$B$12,Paramètres!$A$1:$I$89,5,0)</f>
        <v>267.30111999999974</v>
      </c>
      <c r="CA131" s="13">
        <f t="shared" si="93"/>
        <v>64.276164376472181</v>
      </c>
      <c r="CB131" s="20">
        <f t="shared" si="64"/>
        <v>577.49710362235521</v>
      </c>
      <c r="CC131" s="59">
        <f t="shared" si="65"/>
        <v>870.83043695568858</v>
      </c>
      <c r="CD131" s="59">
        <f ca="1">AVERAGE(OFFSET($CC$3,0,0,'Données projet'!$E$12+1,1))-AVERAGE(OFFSET($H$3,0,0,'Données projet'!$E$12+1,1))</f>
        <v>265.17389489035344</v>
      </c>
      <c r="CE131" s="59">
        <f t="shared" si="94"/>
        <v>101.57852403610769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42.652612622426709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42.652612622426709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-1.7053025658242404E-13</v>
      </c>
      <c r="CU131" s="17">
        <f>CT131*VLOOKUP('Données projet'!$B$13,Paramètres!$A$1:$I$89,3,0)*VLOOKUP('Données projet'!$B$13,Paramètres!$A$1:$I$89,5,0)</f>
        <v>-1.0197709343628959E-13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182.34243693018033</v>
      </c>
      <c r="CZ131" s="59">
        <f t="shared" si="96"/>
        <v>182.65916563909786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33.740805527638365</v>
      </c>
      <c r="DG131" s="21">
        <f>EXP(-LN(2)/25)*DG130+(1-EXP(-LN(2)/25))/(LN(2)/25)*Calculateur!DB131*Calculateur!DD131*VLOOKUP('Données projet'!$B$13,Paramètres!$A$1:$I$89,3,0)*0.475*44/12</f>
        <v>5.4848496184090978</v>
      </c>
      <c r="DH131" s="21">
        <f>EXP(-LN(2)/2)*DH130+(1-EXP(-LN(2)/2))/(LN(2)/2)*DB131*DE131*VLOOKUP('Données projet'!$B$13,Paramètres!$A$1:$I$89,3,0)*0.475*44/12</f>
        <v>1.8604826467331931E-9</v>
      </c>
      <c r="DI131" s="22">
        <f t="shared" si="69"/>
        <v>39.22565514790795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6.0711538461538508</v>
      </c>
      <c r="DO131" s="12">
        <f>IF('Données projet'!$A$166&gt;35,DO130+DN131-DW130,IF(A131&lt;'Données projet'!$A$166,$DL$205^A131,IF(A131='Données projet'!$A$166,'Données projet'!$B$166,DO130+DN131-DW130)))</f>
        <v>295.42564102564074</v>
      </c>
      <c r="DP131" s="17">
        <f>DO131*VLOOKUP('Données projet'!$B$14,Paramètres!$A$1:$I$89,3,0)*VLOOKUP('Données projet'!$B$14,Paramètres!$A$1:$I$89,5,0)</f>
        <v>281.12703999999974</v>
      </c>
      <c r="DQ131" s="13">
        <f t="shared" si="97"/>
        <v>67.205129119184363</v>
      </c>
      <c r="DR131" s="20">
        <f t="shared" si="70"/>
        <v>606.67852788257892</v>
      </c>
      <c r="DS131" s="59">
        <f t="shared" si="71"/>
        <v>900.01186121591218</v>
      </c>
      <c r="DT131" s="59">
        <f ca="1">AVERAGE(OFFSET($DS$3,0,0,'Données projet'!$E$14+1,1))-AVERAGE(OFFSET($H$3,0,0,'Données projet'!$E$14+1,1))</f>
        <v>286.10360882057586</v>
      </c>
      <c r="DU131" s="59">
        <f t="shared" si="98"/>
        <v>109.24531387923128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44.858782240828091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44.858782240828091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502.76887358365883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262.42149466677068</v>
      </c>
      <c r="T132" s="59">
        <f t="shared" si="88"/>
        <v>232.7693253699756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-1.0197709343628959E-13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249.37919739649828</v>
      </c>
      <c r="AO132" s="59">
        <f t="shared" si="90"/>
        <v>315.05045383693073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38.363628283509172</v>
      </c>
      <c r="AV132" s="21">
        <f>EXP(-LN(2)/25)*AV131+(1-EXP(-LN(2)/25))/(LN(2)/25)*Calculateur!AQ132*Calculateur!AS132*VLOOKUP('Données projet'!$B$10,Paramètres!$A$1:$I$89,3,0)*0.475*44/12</f>
        <v>5.8401009898938954</v>
      </c>
      <c r="AW132" s="21">
        <f>EXP(-LN(2)/2)*AW131+(1-EXP(-LN(2)/2))/(LN(2)/2)*AQ132*AT132*VLOOKUP('Données projet'!$B$10,Paramètres!$A$1:$I$89,3,0)*0.475*44/12</f>
        <v>4.1577177612343354E-10</v>
      </c>
      <c r="AX132" s="21">
        <f t="shared" ref="AX132:AX153" si="114">SUM(AU132:AW132)</f>
        <v>44.203729273818844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212.00000000000009</v>
      </c>
      <c r="BE132" s="13">
        <f>BD132*VLOOKUP('Données projet'!$B$11,Paramètres!$A$1:$I$89,3,0)*VLOOKUP('Données projet'!$B$11,Paramètres!$A$1:$I$89,5,0)</f>
        <v>185.20320000000009</v>
      </c>
      <c r="BF132" s="13">
        <f t="shared" si="91"/>
        <v>46.477875402099386</v>
      </c>
      <c r="BG132" s="20">
        <f t="shared" ref="BG132:BG153" si="115">(BE132+BF132)*0.475*44/12</f>
        <v>403.5112063253232</v>
      </c>
      <c r="BH132" s="59">
        <f t="shared" ref="BH132:BH195" si="116">BG132+(AY132+AZ132)*44/12</f>
        <v>696.84453965865646</v>
      </c>
      <c r="BI132" s="59">
        <f ca="1">AVERAGE(OFFSET($BH$3,0,0,'Données projet'!$E$11+1,1))-AVERAGE(OFFSET($H$3,0,0,'Données projet'!$E$11+1,1))</f>
        <v>186.80594222554424</v>
      </c>
      <c r="BJ132" s="59">
        <f t="shared" si="92"/>
        <v>179.02867751001872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8.4094433684840784</v>
      </c>
      <c r="BQ132" s="21">
        <f>EXP(-LN(2)/25)*BQ131+(1-EXP(-LN(2)/25))/(LN(2)/25)*Calculateur!BL132*Calculateur!BN132*VLOOKUP('Données projet'!$B$11,Paramètres!$A$1:$I$89,3,0)*0.475*44/12</f>
        <v>6.259413393281628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14.668856761765706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6.0711538461538508</v>
      </c>
      <c r="BY132" s="12">
        <f>IF('Données projet'!$A$114&gt;35,BY131+BX132-CG131,IF(A132&lt;'Données projet'!$A$114,$BV$205^A132,IF(A132='Données projet'!$A$114,'Données projet'!$B$114,BY131+BX132-CG131)))</f>
        <v>301.49679487179458</v>
      </c>
      <c r="BZ132" s="13">
        <f>BY132*VLOOKUP('Données projet'!$B$12,Paramètres!$A$1:$I$89,3,0)*VLOOKUP('Données projet'!$B$12,Paramètres!$A$1:$I$89,5,0)</f>
        <v>272.79429999999974</v>
      </c>
      <c r="CA132" s="13">
        <f t="shared" si="93"/>
        <v>65.441934446926723</v>
      </c>
      <c r="CB132" s="20">
        <f t="shared" ref="CB132:CB153" si="118">(BZ132+CA132)*0.475*44/12</f>
        <v>589.09477499506363</v>
      </c>
      <c r="CC132" s="59">
        <f t="shared" ref="CC132:CC195" si="119">CB132+(BT132+BU132)*44/12</f>
        <v>882.428108328397</v>
      </c>
      <c r="CD132" s="59">
        <f ca="1">AVERAGE(OFFSET($CC$3,0,0,'Données projet'!$E$12+1,1))-AVERAGE(OFFSET($H$3,0,0,'Données projet'!$E$12+1,1))</f>
        <v>265.17389489035344</v>
      </c>
      <c r="CE132" s="59">
        <f t="shared" si="94"/>
        <v>101.57852403610769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41.816220904425798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41.816220904425798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-1.7053025658242404E-13</v>
      </c>
      <c r="CU132" s="17">
        <f>CT132*VLOOKUP('Données projet'!$B$13,Paramètres!$A$1:$I$89,3,0)*VLOOKUP('Données projet'!$B$13,Paramètres!$A$1:$I$89,5,0)</f>
        <v>-1.0197709343628959E-13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182.34243693018033</v>
      </c>
      <c r="CZ132" s="59">
        <f t="shared" si="96"/>
        <v>182.65916563909786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33.079168911100659</v>
      </c>
      <c r="DG132" s="21">
        <f>EXP(-LN(2)/25)*DG131+(1-EXP(-LN(2)/25))/(LN(2)/25)*Calculateur!DB132*Calculateur!DD132*VLOOKUP('Données projet'!$B$13,Paramètres!$A$1:$I$89,3,0)*0.475*44/12</f>
        <v>5.3348661171579952</v>
      </c>
      <c r="DH132" s="21">
        <f>EXP(-LN(2)/2)*DH131+(1-EXP(-LN(2)/2))/(LN(2)/2)*DB132*DE132*VLOOKUP('Données projet'!$B$13,Paramètres!$A$1:$I$89,3,0)*0.475*44/12</f>
        <v>1.3155598957849369E-9</v>
      </c>
      <c r="DI132" s="22">
        <f t="shared" ref="DI132:DI153" si="123">SUM(DF132:DH132)</f>
        <v>38.414035029574215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6.0711538461538508</v>
      </c>
      <c r="DO132" s="12">
        <f>IF('Données projet'!$A$166&gt;35,DO131+DN132-DW131,IF(A132&lt;'Données projet'!$A$166,$DL$205^A132,IF(A132='Données projet'!$A$166,'Données projet'!$B$166,DO131+DN132-DW131)))</f>
        <v>301.49679487179458</v>
      </c>
      <c r="DP132" s="17">
        <f>DO132*VLOOKUP('Données projet'!$B$14,Paramètres!$A$1:$I$89,3,0)*VLOOKUP('Données projet'!$B$14,Paramètres!$A$1:$I$89,5,0)</f>
        <v>286.90434999999974</v>
      </c>
      <c r="DQ132" s="13">
        <f t="shared" si="97"/>
        <v>68.424021516828049</v>
      </c>
      <c r="DR132" s="20">
        <f t="shared" ref="DR132:DR153" si="124">(DP132+DQ132)*0.475*44/12</f>
        <v>618.86358039180845</v>
      </c>
      <c r="DS132" s="59">
        <f t="shared" ref="DS132:DS195" si="125">DR132+(DJ132+DK132)*44/12</f>
        <v>912.19691372514171</v>
      </c>
      <c r="DT132" s="59">
        <f ca="1">AVERAGE(OFFSET($DS$3,0,0,'Données projet'!$E$14+1,1))-AVERAGE(OFFSET($H$3,0,0,'Données projet'!$E$14+1,1))</f>
        <v>286.10360882057586</v>
      </c>
      <c r="DU132" s="59">
        <f t="shared" si="98"/>
        <v>109.24531387923128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43.979128882240929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43.979128882240929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504.35192974289276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262.42149466677068</v>
      </c>
      <c r="T133" s="59">
        <f t="shared" ref="T133:T196" si="142">$T$3</f>
        <v>232.7693253699756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-1.0197709343628959E-13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249.37919739649828</v>
      </c>
      <c r="AO133" s="59">
        <f t="shared" ref="AO133:AO196" si="144">$AO$3</f>
        <v>315.05045383693073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37.6113409323723</v>
      </c>
      <c r="AV133" s="21">
        <f>EXP(-LN(2)/25)*AV132+(1-EXP(-LN(2)/25))/(LN(2)/25)*Calculateur!AQ133*Calculateur!AS133*VLOOKUP('Données projet'!$B$10,Paramètres!$A$1:$I$89,3,0)*0.475*44/12</f>
        <v>5.6804031212076831</v>
      </c>
      <c r="AW133" s="21">
        <f>EXP(-LN(2)/2)*AW132+(1-EXP(-LN(2)/2))/(LN(2)/2)*AQ133*AT133*VLOOKUP('Données projet'!$B$10,Paramètres!$A$1:$I$89,3,0)*0.475*44/12</f>
        <v>2.9399504232285494E-10</v>
      </c>
      <c r="AX133" s="21">
        <f t="shared" si="114"/>
        <v>43.291744053873977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212.00000000000009</v>
      </c>
      <c r="BE133" s="13">
        <f>BD133*VLOOKUP('Données projet'!$B$11,Paramètres!$A$1:$I$89,3,0)*VLOOKUP('Données projet'!$B$11,Paramètres!$A$1:$I$89,5,0)</f>
        <v>185.20320000000009</v>
      </c>
      <c r="BF133" s="13">
        <f t="shared" ref="BF133:BF153" si="145">EXP(-1.0587+0.8836*LN(BE133)+0.284)</f>
        <v>46.477875402099386</v>
      </c>
      <c r="BG133" s="20">
        <f t="shared" si="115"/>
        <v>403.5112063253232</v>
      </c>
      <c r="BH133" s="59">
        <f t="shared" si="116"/>
        <v>696.84453965865646</v>
      </c>
      <c r="BI133" s="59">
        <f ca="1">AVERAGE(OFFSET($BH$3,0,0,'Données projet'!$E$11+1,1))-AVERAGE(OFFSET($H$3,0,0,'Données projet'!$E$11+1,1))</f>
        <v>186.80594222554424</v>
      </c>
      <c r="BJ133" s="59">
        <f t="shared" ref="BJ133:BJ196" si="146">$BJ$3</f>
        <v>179.02867751001872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8.2445393132820879</v>
      </c>
      <c r="BQ133" s="21">
        <f>EXP(-LN(2)/25)*BQ132+(1-EXP(-LN(2)/25))/(LN(2)/25)*Calculateur!BL133*Calculateur!BN133*VLOOKUP('Données projet'!$B$11,Paramètres!$A$1:$I$89,3,0)*0.475*44/12</f>
        <v>6.088249404874098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14.332788718156186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6.0711538461538508</v>
      </c>
      <c r="BY133" s="12">
        <f>IF('Données projet'!$A$114&gt;35,BY132+BX133-CG132,IF(A133&lt;'Données projet'!$A$114,$BV$205^A133,IF(A133='Données projet'!$A$114,'Données projet'!$B$114,BY132+BX133-CG132)))</f>
        <v>307.56794871794841</v>
      </c>
      <c r="BZ133" s="13">
        <f>BY133*VLOOKUP('Données projet'!$B$12,Paramètres!$A$1:$I$89,3,0)*VLOOKUP('Données projet'!$B$12,Paramètres!$A$1:$I$89,5,0)</f>
        <v>278.28747999999968</v>
      </c>
      <c r="CA133" s="13">
        <f t="shared" ref="CA133:CA153" si="147">EXP(-1.0587+0.8836*LN(BZ133)+0.284)</f>
        <v>66.60497505840425</v>
      </c>
      <c r="CB133" s="20">
        <f t="shared" si="118"/>
        <v>600.68769256005351</v>
      </c>
      <c r="CC133" s="59">
        <f t="shared" si="119"/>
        <v>894.02102589338688</v>
      </c>
      <c r="CD133" s="59">
        <f ca="1">AVERAGE(OFFSET($CC$3,0,0,'Données projet'!$E$12+1,1))-AVERAGE(OFFSET($H$3,0,0,'Données projet'!$E$12+1,1))</f>
        <v>265.17389489035344</v>
      </c>
      <c r="CE133" s="59">
        <f t="shared" ref="CE133:CE196" si="148">$CE$3</f>
        <v>101.57852403610769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40.996230317866313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40.996230317866313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-1.7053025658242404E-13</v>
      </c>
      <c r="CU133" s="17">
        <f>CT133*VLOOKUP('Données projet'!$B$13,Paramètres!$A$1:$I$89,3,0)*VLOOKUP('Données projet'!$B$13,Paramètres!$A$1:$I$89,5,0)</f>
        <v>-1.0197709343628959E-13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182.34243693018033</v>
      </c>
      <c r="CZ133" s="59">
        <f t="shared" ref="CZ133:CZ196" si="150">$CZ$3</f>
        <v>182.65916563909786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32.430506585054765</v>
      </c>
      <c r="DG133" s="21">
        <f>EXP(-LN(2)/25)*DG132+(1-EXP(-LN(2)/25))/(LN(2)/25)*Calculateur!DB133*Calculateur!DD133*VLOOKUP('Données projet'!$B$13,Paramètres!$A$1:$I$89,3,0)*0.475*44/12</f>
        <v>5.1889839226358934</v>
      </c>
      <c r="DH133" s="21">
        <f>EXP(-LN(2)/2)*DH132+(1-EXP(-LN(2)/2))/(LN(2)/2)*DB133*DE133*VLOOKUP('Données projet'!$B$13,Paramètres!$A$1:$I$89,3,0)*0.475*44/12</f>
        <v>9.3024132336659673E-10</v>
      </c>
      <c r="DI133" s="22">
        <f t="shared" si="123"/>
        <v>37.619490508620899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6.0711538461538508</v>
      </c>
      <c r="DO133" s="12">
        <f>IF('Données projet'!$A$166&gt;35,DO132+DN133-DW132,IF(A133&lt;'Données projet'!$A$166,$DL$205^A133,IF(A133='Données projet'!$A$166,'Données projet'!$B$166,DO132+DN133-DW132)))</f>
        <v>307.56794871794841</v>
      </c>
      <c r="DP133" s="17">
        <f>DO133*VLOOKUP('Données projet'!$B$14,Paramètres!$A$1:$I$89,3,0)*VLOOKUP('Données projet'!$B$14,Paramètres!$A$1:$I$89,5,0)</f>
        <v>292.68165999999968</v>
      </c>
      <c r="DQ133" s="13">
        <f t="shared" ref="DQ133:DQ153" si="151">EXP(-1.0587+0.8836*LN(DP133)+0.284)</f>
        <v>69.640060078298418</v>
      </c>
      <c r="DR133" s="20">
        <f t="shared" si="124"/>
        <v>631.04366246970255</v>
      </c>
      <c r="DS133" s="59">
        <f t="shared" si="125"/>
        <v>924.37699580303592</v>
      </c>
      <c r="DT133" s="59">
        <f ca="1">AVERAGE(OFFSET($DS$3,0,0,'Données projet'!$E$14+1,1))-AVERAGE(OFFSET($H$3,0,0,'Données projet'!$E$14+1,1))</f>
        <v>286.10360882057586</v>
      </c>
      <c r="DU133" s="59">
        <f t="shared" ref="DU133:DU196" si="152">$DU$3</f>
        <v>109.24531387923128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43.11672498948009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43.11672498948009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505.93471197499105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262.42149466677068</v>
      </c>
      <c r="T134" s="59">
        <f t="shared" si="142"/>
        <v>232.7693253699756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-1.0197709343628959E-13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249.37919739649828</v>
      </c>
      <c r="AO134" s="59">
        <f t="shared" si="144"/>
        <v>315.05045383693073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36.87380547734125</v>
      </c>
      <c r="AV134" s="21">
        <f>EXP(-LN(2)/25)*AV133+(1-EXP(-LN(2)/25))/(LN(2)/25)*Calculateur!AQ134*Calculateur!AS134*VLOOKUP('Données projet'!$B$10,Paramètres!$A$1:$I$89,3,0)*0.475*44/12</f>
        <v>5.5250721991388412</v>
      </c>
      <c r="AW134" s="21">
        <f>EXP(-LN(2)/2)*AW133+(1-EXP(-LN(2)/2))/(LN(2)/2)*AQ134*AT134*VLOOKUP('Données projet'!$B$10,Paramètres!$A$1:$I$89,3,0)*0.475*44/12</f>
        <v>2.0788588806171677E-10</v>
      </c>
      <c r="AX134" s="21">
        <f t="shared" si="114"/>
        <v>42.398877676687974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212.00000000000009</v>
      </c>
      <c r="BE134" s="13">
        <f>BD134*VLOOKUP('Données projet'!$B$11,Paramètres!$A$1:$I$89,3,0)*VLOOKUP('Données projet'!$B$11,Paramètres!$A$1:$I$89,5,0)</f>
        <v>185.20320000000009</v>
      </c>
      <c r="BF134" s="13">
        <f t="shared" si="145"/>
        <v>46.477875402099386</v>
      </c>
      <c r="BG134" s="20">
        <f t="shared" si="115"/>
        <v>403.5112063253232</v>
      </c>
      <c r="BH134" s="59">
        <f t="shared" si="116"/>
        <v>696.84453965865646</v>
      </c>
      <c r="BI134" s="59">
        <f ca="1">AVERAGE(OFFSET($BH$3,0,0,'Données projet'!$E$11+1,1))-AVERAGE(OFFSET($H$3,0,0,'Données projet'!$E$11+1,1))</f>
        <v>186.80594222554424</v>
      </c>
      <c r="BJ134" s="59">
        <f t="shared" si="146"/>
        <v>179.02867751001872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8.0828689260210673</v>
      </c>
      <c r="BQ134" s="21">
        <f>EXP(-LN(2)/25)*BQ133+(1-EXP(-LN(2)/25))/(LN(2)/25)*Calculateur!BL134*Calculateur!BN134*VLOOKUP('Données projet'!$B$11,Paramètres!$A$1:$I$89,3,0)*0.475*44/12</f>
        <v>5.9217659047306945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14.004634830751762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6.0711538461538508</v>
      </c>
      <c r="BY134" s="12">
        <f>IF('Données projet'!$A$114&gt;35,BY133+BX134-CG133,IF(A134&lt;'Données projet'!$A$114,$BV$205^A134,IF(A134='Données projet'!$A$114,'Données projet'!$B$114,BY133+BX134-CG133)))</f>
        <v>313.63910256410225</v>
      </c>
      <c r="BZ134" s="13">
        <f>BY134*VLOOKUP('Données projet'!$B$12,Paramètres!$A$1:$I$89,3,0)*VLOOKUP('Données projet'!$B$12,Paramètres!$A$1:$I$89,5,0)</f>
        <v>283.78065999999973</v>
      </c>
      <c r="CA134" s="13">
        <f t="shared" si="147"/>
        <v>67.76534629847545</v>
      </c>
      <c r="CB134" s="20">
        <f t="shared" si="118"/>
        <v>612.27596096984428</v>
      </c>
      <c r="CC134" s="59">
        <f t="shared" si="119"/>
        <v>905.60929430317765</v>
      </c>
      <c r="CD134" s="59">
        <f ca="1">AVERAGE(OFFSET($CC$3,0,0,'Données projet'!$E$12+1,1))-AVERAGE(OFFSET($H$3,0,0,'Données projet'!$E$12+1,1))</f>
        <v>265.17389489035344</v>
      </c>
      <c r="CE134" s="59">
        <f t="shared" si="148"/>
        <v>101.57852403610769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40.192319246564388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40.192319246564388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-1.7053025658242404E-13</v>
      </c>
      <c r="CU134" s="17">
        <f>CT134*VLOOKUP('Données projet'!$B$13,Paramètres!$A$1:$I$89,3,0)*VLOOKUP('Données projet'!$B$13,Paramètres!$A$1:$I$89,5,0)</f>
        <v>-1.0197709343628959E-13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182.34243693018033</v>
      </c>
      <c r="CZ134" s="59">
        <f t="shared" si="150"/>
        <v>182.65916563909786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31.79456413157768</v>
      </c>
      <c r="DG134" s="21">
        <f>EXP(-LN(2)/25)*DG133+(1-EXP(-LN(2)/25))/(LN(2)/25)*Calculateur!DB134*Calculateur!DD134*VLOOKUP('Données projet'!$B$13,Paramètres!$A$1:$I$89,3,0)*0.475*44/12</f>
        <v>5.0470908843946098</v>
      </c>
      <c r="DH134" s="21">
        <f>EXP(-LN(2)/2)*DH133+(1-EXP(-LN(2)/2))/(LN(2)/2)*DB134*DE134*VLOOKUP('Données projet'!$B$13,Paramètres!$A$1:$I$89,3,0)*0.475*44/12</f>
        <v>6.5777994789246856E-10</v>
      </c>
      <c r="DI134" s="22">
        <f t="shared" si="123"/>
        <v>36.841655016630071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6.0711538461538508</v>
      </c>
      <c r="DO134" s="12">
        <f>IF('Données projet'!$A$166&gt;35,DO133+DN134-DW133,IF(A134&lt;'Données projet'!$A$166,$DL$205^A134,IF(A134='Données projet'!$A$166,'Données projet'!$B$166,DO133+DN134-DW133)))</f>
        <v>313.63910256410225</v>
      </c>
      <c r="DP134" s="17">
        <f>DO134*VLOOKUP('Données projet'!$B$14,Paramètres!$A$1:$I$89,3,0)*VLOOKUP('Données projet'!$B$14,Paramètres!$A$1:$I$89,5,0)</f>
        <v>298.45896999999974</v>
      </c>
      <c r="DQ134" s="13">
        <f t="shared" si="151"/>
        <v>70.853307629263398</v>
      </c>
      <c r="DR134" s="20">
        <f t="shared" si="124"/>
        <v>643.21888353763325</v>
      </c>
      <c r="DS134" s="59">
        <f t="shared" si="125"/>
        <v>936.5522168709665</v>
      </c>
      <c r="DT134" s="59">
        <f ca="1">AVERAGE(OFFSET($DS$3,0,0,'Données projet'!$E$14+1,1))-AVERAGE(OFFSET($H$3,0,0,'Données projet'!$E$14+1,1))</f>
        <v>286.10360882057586</v>
      </c>
      <c r="DU134" s="59">
        <f t="shared" si="152"/>
        <v>109.24531387923128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42.271232311041857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42.271232311041857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507.51722261340717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262.42149466677068</v>
      </c>
      <c r="T135" s="59">
        <f t="shared" si="142"/>
        <v>232.7693253699756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-1.0197709343628959E-13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249.37919739649828</v>
      </c>
      <c r="AO135" s="59">
        <f t="shared" si="144"/>
        <v>315.05045383693073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36.15073264273115</v>
      </c>
      <c r="AV135" s="21">
        <f>EXP(-LN(2)/25)*AV134+(1-EXP(-LN(2)/25))/(LN(2)/25)*Calculateur!AQ135*Calculateur!AS135*VLOOKUP('Données projet'!$B$10,Paramètres!$A$1:$I$89,3,0)*0.475*44/12</f>
        <v>5.3739888093024701</v>
      </c>
      <c r="AW135" s="21">
        <f>EXP(-LN(2)/2)*AW134+(1-EXP(-LN(2)/2))/(LN(2)/2)*AQ135*AT135*VLOOKUP('Données projet'!$B$10,Paramètres!$A$1:$I$89,3,0)*0.475*44/12</f>
        <v>1.4699752116142747E-10</v>
      </c>
      <c r="AX135" s="21">
        <f t="shared" si="114"/>
        <v>41.524721452180614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212.00000000000009</v>
      </c>
      <c r="BE135" s="13">
        <f>BD135*VLOOKUP('Données projet'!$B$11,Paramètres!$A$1:$I$89,3,0)*VLOOKUP('Données projet'!$B$11,Paramètres!$A$1:$I$89,5,0)</f>
        <v>185.20320000000009</v>
      </c>
      <c r="BF135" s="13">
        <f t="shared" si="145"/>
        <v>46.477875402099386</v>
      </c>
      <c r="BG135" s="20">
        <f t="shared" si="115"/>
        <v>403.5112063253232</v>
      </c>
      <c r="BH135" s="59">
        <f t="shared" si="116"/>
        <v>696.84453965865646</v>
      </c>
      <c r="BI135" s="59">
        <f ca="1">AVERAGE(OFFSET($BH$3,0,0,'Données projet'!$E$11+1,1))-AVERAGE(OFFSET($H$3,0,0,'Données projet'!$E$11+1,1))</f>
        <v>186.80594222554424</v>
      </c>
      <c r="BJ135" s="59">
        <f t="shared" si="146"/>
        <v>179.02867751001872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7.9243687964450356</v>
      </c>
      <c r="BQ135" s="21">
        <f>EXP(-LN(2)/25)*BQ134+(1-EXP(-LN(2)/25))/(LN(2)/25)*Calculateur!BL135*Calculateur!BN135*VLOOKUP('Données projet'!$B$11,Paramètres!$A$1:$I$89,3,0)*0.475*44/12</f>
        <v>5.7598349046536992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13.684203701098735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6.0711538461538508</v>
      </c>
      <c r="BY135" s="12">
        <f>IF('Données projet'!$A$114&gt;35,BY134+BX135-CG134,IF(A135&lt;'Données projet'!$A$114,$BV$205^A135,IF(A135='Données projet'!$A$114,'Données projet'!$B$114,BY134+BX135-CG134)))</f>
        <v>319.71025641025608</v>
      </c>
      <c r="BZ135" s="13">
        <f>BY135*VLOOKUP('Données projet'!$B$12,Paramètres!$A$1:$I$89,3,0)*VLOOKUP('Données projet'!$B$12,Paramètres!$A$1:$I$89,5,0)</f>
        <v>289.27383999999967</v>
      </c>
      <c r="CA135" s="13">
        <f t="shared" si="147"/>
        <v>68.923105795388125</v>
      </c>
      <c r="CB135" s="20">
        <f t="shared" si="118"/>
        <v>623.8596805936337</v>
      </c>
      <c r="CC135" s="59">
        <f t="shared" si="119"/>
        <v>917.19301392696707</v>
      </c>
      <c r="CD135" s="59">
        <f ca="1">AVERAGE(OFFSET($CC$3,0,0,'Données projet'!$E$12+1,1))-AVERAGE(OFFSET($H$3,0,0,'Données projet'!$E$12+1,1))</f>
        <v>265.17389489035344</v>
      </c>
      <c r="CE135" s="59">
        <f t="shared" si="148"/>
        <v>101.57852403610769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39.404172381033355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39.404172381033355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-1.7053025658242404E-13</v>
      </c>
      <c r="CU135" s="17">
        <f>CT135*VLOOKUP('Données projet'!$B$13,Paramètres!$A$1:$I$89,3,0)*VLOOKUP('Données projet'!$B$13,Paramètres!$A$1:$I$89,5,0)</f>
        <v>-1.0197709343628959E-13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182.34243693018033</v>
      </c>
      <c r="CZ135" s="59">
        <f t="shared" si="150"/>
        <v>182.65916563909786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31.171092121726684</v>
      </c>
      <c r="DG135" s="21">
        <f>EXP(-LN(2)/25)*DG134+(1-EXP(-LN(2)/25))/(LN(2)/25)*Calculateur!DB135*Calculateur!DD135*VLOOKUP('Données projet'!$B$13,Paramètres!$A$1:$I$89,3,0)*0.475*44/12</f>
        <v>4.9090779187458651</v>
      </c>
      <c r="DH135" s="21">
        <f>EXP(-LN(2)/2)*DH134+(1-EXP(-LN(2)/2))/(LN(2)/2)*DB135*DE135*VLOOKUP('Données projet'!$B$13,Paramètres!$A$1:$I$89,3,0)*0.475*44/12</f>
        <v>4.6512066168329842E-10</v>
      </c>
      <c r="DI135" s="22">
        <f t="shared" si="123"/>
        <v>36.080170040937674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6.0711538461538508</v>
      </c>
      <c r="DO135" s="12">
        <f>IF('Données projet'!$A$166&gt;35,DO134+DN135-DW134,IF(A135&lt;'Données projet'!$A$166,$DL$205^A135,IF(A135='Données projet'!$A$166,'Données projet'!$B$166,DO134+DN135-DW134)))</f>
        <v>319.71025641025608</v>
      </c>
      <c r="DP135" s="17">
        <f>DO135*VLOOKUP('Données projet'!$B$14,Paramètres!$A$1:$I$89,3,0)*VLOOKUP('Données projet'!$B$14,Paramètres!$A$1:$I$89,5,0)</f>
        <v>304.23627999999968</v>
      </c>
      <c r="DQ135" s="13">
        <f t="shared" si="151"/>
        <v>72.063824424000117</v>
      </c>
      <c r="DR135" s="20">
        <f t="shared" si="124"/>
        <v>655.38934853846638</v>
      </c>
      <c r="DS135" s="59">
        <f t="shared" si="125"/>
        <v>948.72268187179975</v>
      </c>
      <c r="DT135" s="59">
        <f ca="1">AVERAGE(OFFSET($DS$3,0,0,'Données projet'!$E$14+1,1))-AVERAGE(OFFSET($H$3,0,0,'Données projet'!$E$14+1,1))</f>
        <v>286.10360882057586</v>
      </c>
      <c r="DU135" s="59">
        <f t="shared" si="152"/>
        <v>109.24531387923128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41.442319228328188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41.442319228328188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509.09946395419666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262.42149466677068</v>
      </c>
      <c r="T136" s="59">
        <f t="shared" si="142"/>
        <v>232.7693253699756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-1.0197709343628959E-13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249.37919739649828</v>
      </c>
      <c r="AO136" s="59">
        <f t="shared" si="144"/>
        <v>315.05045383693073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35.44183882537687</v>
      </c>
      <c r="AV136" s="21">
        <f>EXP(-LN(2)/25)*AV135+(1-EXP(-LN(2)/25))/(LN(2)/25)*Calculateur!AQ136*Calculateur!AS136*VLOOKUP('Données projet'!$B$10,Paramètres!$A$1:$I$89,3,0)*0.475*44/12</f>
        <v>5.227036802706305</v>
      </c>
      <c r="AW136" s="21">
        <f>EXP(-LN(2)/2)*AW135+(1-EXP(-LN(2)/2))/(LN(2)/2)*AQ136*AT136*VLOOKUP('Données projet'!$B$10,Paramètres!$A$1:$I$89,3,0)*0.475*44/12</f>
        <v>1.0394294403085838E-10</v>
      </c>
      <c r="AX136" s="21">
        <f t="shared" si="114"/>
        <v>40.668875628187116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212.00000000000009</v>
      </c>
      <c r="BE136" s="13">
        <f>BD136*VLOOKUP('Données projet'!$B$11,Paramètres!$A$1:$I$89,3,0)*VLOOKUP('Données projet'!$B$11,Paramètres!$A$1:$I$89,5,0)</f>
        <v>185.20320000000009</v>
      </c>
      <c r="BF136" s="13">
        <f t="shared" si="145"/>
        <v>46.477875402099386</v>
      </c>
      <c r="BG136" s="20">
        <f t="shared" si="115"/>
        <v>403.5112063253232</v>
      </c>
      <c r="BH136" s="59">
        <f t="shared" si="116"/>
        <v>696.84453965865646</v>
      </c>
      <c r="BI136" s="59">
        <f ca="1">AVERAGE(OFFSET($BH$3,0,0,'Données projet'!$E$11+1,1))-AVERAGE(OFFSET($H$3,0,0,'Données projet'!$E$11+1,1))</f>
        <v>186.80594222554424</v>
      </c>
      <c r="BJ136" s="59">
        <f t="shared" si="146"/>
        <v>179.02867751001872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7.7689767577344568</v>
      </c>
      <c r="BQ136" s="21">
        <f>EXP(-LN(2)/25)*BQ135+(1-EXP(-LN(2)/25))/(LN(2)/25)*Calculateur!BL136*Calculateur!BN136*VLOOKUP('Données projet'!$B$11,Paramètres!$A$1:$I$89,3,0)*0.475*44/12</f>
        <v>5.6023319162893905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13.371308674023847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6.0711538461538508</v>
      </c>
      <c r="BY136" s="12">
        <f>IF('Données projet'!$A$114&gt;35,BY135+BX136-CG135,IF(A136&lt;'Données projet'!$A$114,$BV$205^A136,IF(A136='Données projet'!$A$114,'Données projet'!$B$114,BY135+BX136-CG135)))</f>
        <v>325.78141025640991</v>
      </c>
      <c r="BZ136" s="13">
        <f>BY136*VLOOKUP('Données projet'!$B$12,Paramètres!$A$1:$I$89,3,0)*VLOOKUP('Données projet'!$B$12,Paramètres!$A$1:$I$89,5,0)</f>
        <v>294.76701999999966</v>
      </c>
      <c r="CA136" s="13">
        <f t="shared" si="147"/>
        <v>70.078308863481737</v>
      </c>
      <c r="CB136" s="20">
        <f t="shared" si="118"/>
        <v>635.43894777056346</v>
      </c>
      <c r="CC136" s="59">
        <f t="shared" si="119"/>
        <v>928.77228110389683</v>
      </c>
      <c r="CD136" s="59">
        <f ca="1">AVERAGE(OFFSET($CC$3,0,0,'Données projet'!$E$12+1,1))-AVERAGE(OFFSET($H$3,0,0,'Données projet'!$E$12+1,1))</f>
        <v>265.17389489035344</v>
      </c>
      <c r="CE136" s="59">
        <f t="shared" si="148"/>
        <v>101.57852403610769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38.631480594813269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38.631480594813269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-1.7053025658242404E-13</v>
      </c>
      <c r="CU136" s="17">
        <f>CT136*VLOOKUP('Données projet'!$B$13,Paramètres!$A$1:$I$89,3,0)*VLOOKUP('Données projet'!$B$13,Paramètres!$A$1:$I$89,5,0)</f>
        <v>-1.0197709343628959E-13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182.34243693018033</v>
      </c>
      <c r="CZ136" s="59">
        <f t="shared" si="150"/>
        <v>182.65916563909786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30.559846017708491</v>
      </c>
      <c r="DG136" s="21">
        <f>EXP(-LN(2)/25)*DG135+(1-EXP(-LN(2)/25))/(LN(2)/25)*Calculateur!DB136*Calculateur!DD136*VLOOKUP('Données projet'!$B$13,Paramètres!$A$1:$I$89,3,0)*0.475*44/12</f>
        <v>4.7748389249005712</v>
      </c>
      <c r="DH136" s="21">
        <f>EXP(-LN(2)/2)*DH135+(1-EXP(-LN(2)/2))/(LN(2)/2)*DB136*DE136*VLOOKUP('Données projet'!$B$13,Paramètres!$A$1:$I$89,3,0)*0.475*44/12</f>
        <v>3.2888997394623433E-10</v>
      </c>
      <c r="DI136" s="22">
        <f t="shared" si="123"/>
        <v>35.334684942937947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6.0711538461538508</v>
      </c>
      <c r="DO136" s="12">
        <f>IF('Données projet'!$A$166&gt;35,DO135+DN136-DW135,IF(A136&lt;'Données projet'!$A$166,$DL$205^A136,IF(A136='Données projet'!$A$166,'Données projet'!$B$166,DO135+DN136-DW135)))</f>
        <v>325.78141025640991</v>
      </c>
      <c r="DP136" s="17">
        <f>DO136*VLOOKUP('Données projet'!$B$14,Paramètres!$A$1:$I$89,3,0)*VLOOKUP('Données projet'!$B$14,Paramètres!$A$1:$I$89,5,0)</f>
        <v>310.01358999999968</v>
      </c>
      <c r="DQ136" s="13">
        <f t="shared" si="151"/>
        <v>73.271668297436463</v>
      </c>
      <c r="DR136" s="20">
        <f t="shared" si="124"/>
        <v>667.55515820136793</v>
      </c>
      <c r="DS136" s="59">
        <f t="shared" si="125"/>
        <v>960.88849153470119</v>
      </c>
      <c r="DT136" s="59">
        <f ca="1">AVERAGE(OFFSET($DS$3,0,0,'Données projet'!$E$14+1,1))-AVERAGE(OFFSET($H$3,0,0,'Données projet'!$E$14+1,1))</f>
        <v>286.10360882057586</v>
      </c>
      <c r="DU136" s="59">
        <f t="shared" si="152"/>
        <v>109.24531387923128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40.629660625579476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40.629660625579476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510.68143825689367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262.42149466677068</v>
      </c>
      <c r="T137" s="59">
        <f t="shared" si="142"/>
        <v>232.7693253699756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-1.0197709343628959E-13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249.37919739649828</v>
      </c>
      <c r="AO137" s="59">
        <f t="shared" si="144"/>
        <v>315.05045383693073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34.746845983398373</v>
      </c>
      <c r="AV137" s="21">
        <f>EXP(-LN(2)/25)*AV136+(1-EXP(-LN(2)/25))/(LN(2)/25)*Calculateur!AQ137*Calculateur!AS137*VLOOKUP('Données projet'!$B$10,Paramètres!$A$1:$I$89,3,0)*0.475*44/12</f>
        <v>5.0841032064583818</v>
      </c>
      <c r="AW137" s="21">
        <f>EXP(-LN(2)/2)*AW136+(1-EXP(-LN(2)/2))/(LN(2)/2)*AQ137*AT137*VLOOKUP('Données projet'!$B$10,Paramètres!$A$1:$I$89,3,0)*0.475*44/12</f>
        <v>7.3498760580713735E-11</v>
      </c>
      <c r="AX137" s="21">
        <f t="shared" si="114"/>
        <v>39.830949189930251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212.00000000000009</v>
      </c>
      <c r="BE137" s="13">
        <f>BD137*VLOOKUP('Données projet'!$B$11,Paramètres!$A$1:$I$89,3,0)*VLOOKUP('Données projet'!$B$11,Paramètres!$A$1:$I$89,5,0)</f>
        <v>185.20320000000009</v>
      </c>
      <c r="BF137" s="13">
        <f t="shared" si="145"/>
        <v>46.477875402099386</v>
      </c>
      <c r="BG137" s="20">
        <f t="shared" si="115"/>
        <v>403.5112063253232</v>
      </c>
      <c r="BH137" s="59">
        <f t="shared" si="116"/>
        <v>696.84453965865646</v>
      </c>
      <c r="BI137" s="59">
        <f ca="1">AVERAGE(OFFSET($BH$3,0,0,'Données projet'!$E$11+1,1))-AVERAGE(OFFSET($H$3,0,0,'Données projet'!$E$11+1,1))</f>
        <v>186.80594222554424</v>
      </c>
      <c r="BJ137" s="59">
        <f t="shared" si="146"/>
        <v>179.02867751001872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7.6166318621232074</v>
      </c>
      <c r="BQ137" s="21">
        <f>EXP(-LN(2)/25)*BQ136+(1-EXP(-LN(2)/25))/(LN(2)/25)*Calculateur!BL137*Calculateur!BN137*VLOOKUP('Données projet'!$B$11,Paramètres!$A$1:$I$89,3,0)*0.475*44/12</f>
        <v>5.4491358554246263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13.065767717547834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331.85256410256414</v>
      </c>
      <c r="BW137" s="12">
        <f>VLOOKUP(A137,'Données projet'!$A$113:$I$133,9,0)</f>
        <v>6.0711538461538508</v>
      </c>
      <c r="BX137" s="12">
        <f t="array" ref="BX137">INDEX(BW:BW,MIN(IF(ISNUMBER(BW137:BW333),ROW(BW137:BW333),"")))</f>
        <v>6.0711538461538508</v>
      </c>
      <c r="BY137" s="12">
        <f>IF('Données projet'!$A$114&gt;35,BY136+BX137-CG136,IF(A137&lt;'Données projet'!$A$114,$BV$205^A137,IF(A137='Données projet'!$A$114,'Données projet'!$B$114,BY136+BX137-CG136)))</f>
        <v>331.85256410256375</v>
      </c>
      <c r="BZ137" s="13">
        <f>BY137*VLOOKUP('Données projet'!$B$12,Paramètres!$A$1:$I$89,3,0)*VLOOKUP('Données projet'!$B$12,Paramètres!$A$1:$I$89,5,0)</f>
        <v>300.26019999999971</v>
      </c>
      <c r="CA137" s="13">
        <f t="shared" si="147"/>
        <v>71.231008637455531</v>
      </c>
      <c r="CB137" s="20">
        <f t="shared" si="118"/>
        <v>647.0138550435679</v>
      </c>
      <c r="CC137" s="59">
        <f t="shared" si="119"/>
        <v>940.34718837690116</v>
      </c>
      <c r="CD137" s="59">
        <f ca="1">AVERAGE(OFFSET($CC$3,0,0,'Données projet'!$E$12+1,1))-AVERAGE(OFFSET($H$3,0,0,'Données projet'!$E$12+1,1))</f>
        <v>265.17389489035344</v>
      </c>
      <c r="CE137" s="59">
        <f t="shared" si="148"/>
        <v>101.57852403610769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41.666666666666664</v>
      </c>
      <c r="CH137" s="16">
        <f>IF(ISNA(VLOOKUP(A137,'Données projet'!$A$113:$I$133,5,0)),0%,VLOOKUP(A137,'Données projet'!$A$113:$I$133,5,0)*VLOOKUP('Données projet'!$B$12,Paramètres!$A$1:$I$89,7,0))</f>
        <v>0.30099999999999999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50.418487049051564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50.418487049051564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-1.7053025658242404E-13</v>
      </c>
      <c r="CU137" s="17">
        <f>CT137*VLOOKUP('Données projet'!$B$13,Paramètres!$A$1:$I$89,3,0)*VLOOKUP('Données projet'!$B$13,Paramètres!$A$1:$I$89,5,0)</f>
        <v>-1.0197709343628959E-13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182.34243693018033</v>
      </c>
      <c r="CZ137" s="59">
        <f t="shared" si="150"/>
        <v>182.65916563909786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29.960586076966784</v>
      </c>
      <c r="DG137" s="21">
        <f>EXP(-LN(2)/25)*DG136+(1-EXP(-LN(2)/25))/(LN(2)/25)*Calculateur!DB137*Calculateur!DD137*VLOOKUP('Données projet'!$B$13,Paramètres!$A$1:$I$89,3,0)*0.475*44/12</f>
        <v>4.6442707034012987</v>
      </c>
      <c r="DH137" s="21">
        <f>EXP(-LN(2)/2)*DH136+(1-EXP(-LN(2)/2))/(LN(2)/2)*DB137*DE137*VLOOKUP('Données projet'!$B$13,Paramètres!$A$1:$I$89,3,0)*0.475*44/12</f>
        <v>2.3256033084164926E-10</v>
      </c>
      <c r="DI137" s="22">
        <f t="shared" si="123"/>
        <v>34.604856780600642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>
        <f>VLOOKUP(A137,'Données projet'!$A$165:$I$185,2,0)</f>
        <v>331.85256410256414</v>
      </c>
      <c r="DM137" s="12">
        <f>VLOOKUP(A137,'Données projet'!$A$165:$I$185,9,0)</f>
        <v>6.0711538461538508</v>
      </c>
      <c r="DN137" s="12">
        <f t="array" ref="DN137">INDEX(DM:DM,MIN(IF(ISNUMBER(DM137:DM333),ROW(DM137:DM333),"")))</f>
        <v>6.0711538461538508</v>
      </c>
      <c r="DO137" s="12">
        <f>IF('Données projet'!$A$166&gt;35,DO136+DN137-DW136,IF(A137&lt;'Données projet'!$A$166,$DL$205^A137,IF(A137='Données projet'!$A$166,'Données projet'!$B$166,DO136+DN137-DW136)))</f>
        <v>331.85256410256375</v>
      </c>
      <c r="DP137" s="17">
        <f>DO137*VLOOKUP('Données projet'!$B$14,Paramètres!$A$1:$I$89,3,0)*VLOOKUP('Données projet'!$B$14,Paramètres!$A$1:$I$89,5,0)</f>
        <v>315.79089999999968</v>
      </c>
      <c r="DQ137" s="13">
        <f t="shared" si="151"/>
        <v>74.476894805537185</v>
      </c>
      <c r="DR137" s="20">
        <f t="shared" si="124"/>
        <v>679.71640928631007</v>
      </c>
      <c r="DS137" s="59">
        <f t="shared" si="125"/>
        <v>973.04974261964344</v>
      </c>
      <c r="DT137" s="59">
        <f ca="1">AVERAGE(OFFSET($DS$3,0,0,'Données projet'!$E$14+1,1))-AVERAGE(OFFSET($H$3,0,0,'Données projet'!$E$14+1,1))</f>
        <v>286.10360882057586</v>
      </c>
      <c r="DU137" s="59">
        <f t="shared" si="152"/>
        <v>109.24531387923128</v>
      </c>
      <c r="DV137" s="15">
        <f>IF(ISNA(VLOOKUP(A137,'Données projet'!$A$165:$I$185,3,0)),0,VLOOKUP(A137,'Données projet'!$A$165:$I$185,3,0))</f>
        <v>11</v>
      </c>
      <c r="DW137" s="15">
        <f>IF(ISNA(VLOOKUP(A137,'Données projet'!$A$165:$I$185,4,0)),0,VLOOKUP(A137,'Données projet'!$A$165:$I$185,4,0))</f>
        <v>41.666666666666664</v>
      </c>
      <c r="DX137" s="16">
        <f>IF(ISNA(VLOOKUP(A137,'Données projet'!$A$165:$I$185,5,0)),0%,VLOOKUP(A137,'Données projet'!$A$165:$I$185,5,0)*VLOOKUP('Données projet'!$B$14,Paramètres!$A$1:$I$89,7,0))</f>
        <v>0.30099999999999999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53.026339827450784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53.026339827450784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512.26314774535967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262.42149466677068</v>
      </c>
      <c r="T138" s="59">
        <f t="shared" si="142"/>
        <v>232.7693253699756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-1.0197709343628959E-13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249.37919739649828</v>
      </c>
      <c r="AO138" s="59">
        <f t="shared" si="144"/>
        <v>315.05045383693073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34.065481527147298</v>
      </c>
      <c r="AV138" s="21">
        <f>EXP(-LN(2)/25)*AV137+(1-EXP(-LN(2)/25))/(LN(2)/25)*Calculateur!AQ138*Calculateur!AS138*VLOOKUP('Données projet'!$B$10,Paramètres!$A$1:$I$89,3,0)*0.475*44/12</f>
        <v>4.9450781369164094</v>
      </c>
      <c r="AW138" s="21">
        <f>EXP(-LN(2)/2)*AW137+(1-EXP(-LN(2)/2))/(LN(2)/2)*AQ138*AT138*VLOOKUP('Données projet'!$B$10,Paramètres!$A$1:$I$89,3,0)*0.475*44/12</f>
        <v>5.1971472015429192E-11</v>
      </c>
      <c r="AX138" s="21">
        <f t="shared" si="114"/>
        <v>39.010559664115675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212.00000000000009</v>
      </c>
      <c r="BE138" s="13">
        <f>BD138*VLOOKUP('Données projet'!$B$11,Paramètres!$A$1:$I$89,3,0)*VLOOKUP('Données projet'!$B$11,Paramètres!$A$1:$I$89,5,0)</f>
        <v>185.20320000000009</v>
      </c>
      <c r="BF138" s="13">
        <f t="shared" si="145"/>
        <v>46.477875402099386</v>
      </c>
      <c r="BG138" s="20">
        <f t="shared" si="115"/>
        <v>403.5112063253232</v>
      </c>
      <c r="BH138" s="59">
        <f t="shared" si="116"/>
        <v>696.84453965865646</v>
      </c>
      <c r="BI138" s="59">
        <f ca="1">AVERAGE(OFFSET($BH$3,0,0,'Données projet'!$E$11+1,1))-AVERAGE(OFFSET($H$3,0,0,'Données projet'!$E$11+1,1))</f>
        <v>186.80594222554424</v>
      </c>
      <c r="BJ138" s="59">
        <f t="shared" si="146"/>
        <v>179.02867751001872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7.4672743569936841</v>
      </c>
      <c r="BQ138" s="21">
        <f>EXP(-LN(2)/25)*BQ137+(1-EXP(-LN(2)/25))/(LN(2)/25)*Calculateur!BL138*Calculateur!BN138*VLOOKUP('Données projet'!$B$11,Paramètres!$A$1:$I$89,3,0)*0.475*44/12</f>
        <v>5.3001289489004391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12.767403305894124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6.1378205128205137</v>
      </c>
      <c r="BY138" s="12">
        <f>IF('Données projet'!$A$114&gt;35,BY137+BX138-CG137,IF(A138&lt;'Données projet'!$A$114,$BV$205^A138,IF(A138='Données projet'!$A$114,'Données projet'!$B$114,BY137+BX138-CG137)))</f>
        <v>296.32371794871756</v>
      </c>
      <c r="BZ138" s="13">
        <f>BY138*VLOOKUP('Données projet'!$B$12,Paramètres!$A$1:$I$89,3,0)*VLOOKUP('Données projet'!$B$12,Paramètres!$A$1:$I$89,5,0)</f>
        <v>268.1136999999996</v>
      </c>
      <c r="CA138" s="13">
        <f t="shared" si="147"/>
        <v>64.448785624791412</v>
      </c>
      <c r="CB138" s="20">
        <f t="shared" si="118"/>
        <v>579.21299579651088</v>
      </c>
      <c r="CC138" s="59">
        <f t="shared" si="119"/>
        <v>872.54632912984425</v>
      </c>
      <c r="CD138" s="59">
        <f ca="1">AVERAGE(OFFSET($CC$3,0,0,'Données projet'!$E$12+1,1))-AVERAGE(OFFSET($H$3,0,0,'Données projet'!$E$12+1,1))</f>
        <v>265.17389489035344</v>
      </c>
      <c r="CE138" s="59">
        <f t="shared" si="148"/>
        <v>101.57852403610769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49.429811270260231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49.429811270260231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-1.7053025658242404E-13</v>
      </c>
      <c r="CU138" s="17">
        <f>CT138*VLOOKUP('Données projet'!$B$13,Paramètres!$A$1:$I$89,3,0)*VLOOKUP('Données projet'!$B$13,Paramètres!$A$1:$I$89,5,0)</f>
        <v>-1.0197709343628959E-13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182.34243693018033</v>
      </c>
      <c r="CZ138" s="59">
        <f t="shared" si="150"/>
        <v>182.65916563909786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29.373077258150548</v>
      </c>
      <c r="DG138" s="21">
        <f>EXP(-LN(2)/25)*DG137+(1-EXP(-LN(2)/25))/(LN(2)/25)*Calculateur!DB138*Calculateur!DD138*VLOOKUP('Données projet'!$B$13,Paramètres!$A$1:$I$89,3,0)*0.475*44/12</f>
        <v>4.5172728767852082</v>
      </c>
      <c r="DH138" s="21">
        <f>EXP(-LN(2)/2)*DH137+(1-EXP(-LN(2)/2))/(LN(2)/2)*DB138*DE138*VLOOKUP('Données projet'!$B$13,Paramètres!$A$1:$I$89,3,0)*0.475*44/12</f>
        <v>1.6444498697311719E-10</v>
      </c>
      <c r="DI138" s="22">
        <f t="shared" si="123"/>
        <v>33.890350135100206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6.1378205128205137</v>
      </c>
      <c r="DO138" s="12">
        <f>IF('Données projet'!$A$166&gt;35,DO137+DN138-DW137,IF(A138&lt;'Données projet'!$A$166,$DL$205^A138,IF(A138='Données projet'!$A$166,'Données projet'!$B$166,DO137+DN138-DW137)))</f>
        <v>296.32371794871756</v>
      </c>
      <c r="DP138" s="17">
        <f>DO138*VLOOKUP('Données projet'!$B$14,Paramètres!$A$1:$I$89,3,0)*VLOOKUP('Données projet'!$B$14,Paramètres!$A$1:$I$89,5,0)</f>
        <v>281.9816499999996</v>
      </c>
      <c r="DQ138" s="13">
        <f t="shared" si="151"/>
        <v>67.385616449045244</v>
      </c>
      <c r="DR138" s="20">
        <f t="shared" si="124"/>
        <v>608.48132239875304</v>
      </c>
      <c r="DS138" s="59">
        <f t="shared" si="125"/>
        <v>901.81465573208629</v>
      </c>
      <c r="DT138" s="59">
        <f ca="1">AVERAGE(OFFSET($DS$3,0,0,'Données projet'!$E$14+1,1))-AVERAGE(OFFSET($H$3,0,0,'Données projet'!$E$14+1,1))</f>
        <v>286.10360882057586</v>
      </c>
      <c r="DU138" s="59">
        <f t="shared" si="152"/>
        <v>109.24531387923128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51.986525646308174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51.986525646308174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513.8445946086066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262.42149466677068</v>
      </c>
      <c r="T139" s="59">
        <f t="shared" si="142"/>
        <v>232.7693253699756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-1.0197709343628959E-13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249.37919739649828</v>
      </c>
      <c r="AO139" s="59">
        <f t="shared" si="144"/>
        <v>315.05045383693073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33.397478212292022</v>
      </c>
      <c r="AV139" s="21">
        <f>EXP(-LN(2)/25)*AV138+(1-EXP(-LN(2)/25))/(LN(2)/25)*Calculateur!AQ139*Calculateur!AS139*VLOOKUP('Données projet'!$B$10,Paramètres!$A$1:$I$89,3,0)*0.475*44/12</f>
        <v>4.8098547152120732</v>
      </c>
      <c r="AW139" s="21">
        <f>EXP(-LN(2)/2)*AW138+(1-EXP(-LN(2)/2))/(LN(2)/2)*AQ139*AT139*VLOOKUP('Données projet'!$B$10,Paramètres!$A$1:$I$89,3,0)*0.475*44/12</f>
        <v>3.6749380290356867E-11</v>
      </c>
      <c r="AX139" s="21">
        <f t="shared" si="114"/>
        <v>38.207332927540847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212.00000000000009</v>
      </c>
      <c r="BE139" s="13">
        <f>BD139*VLOOKUP('Données projet'!$B$11,Paramètres!$A$1:$I$89,3,0)*VLOOKUP('Données projet'!$B$11,Paramètres!$A$1:$I$89,5,0)</f>
        <v>185.20320000000009</v>
      </c>
      <c r="BF139" s="13">
        <f t="shared" si="145"/>
        <v>46.477875402099386</v>
      </c>
      <c r="BG139" s="20">
        <f t="shared" si="115"/>
        <v>403.5112063253232</v>
      </c>
      <c r="BH139" s="59">
        <f t="shared" si="116"/>
        <v>696.84453965865646</v>
      </c>
      <c r="BI139" s="59">
        <f ca="1">AVERAGE(OFFSET($BH$3,0,0,'Données projet'!$E$11+1,1))-AVERAGE(OFFSET($H$3,0,0,'Données projet'!$E$11+1,1))</f>
        <v>186.80594222554424</v>
      </c>
      <c r="BJ139" s="59">
        <f t="shared" si="146"/>
        <v>179.02867751001872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7.3208456614406678</v>
      </c>
      <c r="BQ139" s="21">
        <f>EXP(-LN(2)/25)*BQ138+(1-EXP(-LN(2)/25))/(LN(2)/25)*Calculateur!BL139*Calculateur!BN139*VLOOKUP('Données projet'!$B$11,Paramètres!$A$1:$I$89,3,0)*0.475*44/12</f>
        <v>5.155196644071089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12.476042305511758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6.1378205128205137</v>
      </c>
      <c r="BY139" s="12">
        <f>IF('Données projet'!$A$114&gt;35,BY138+BX139-CG138,IF(A139&lt;'Données projet'!$A$114,$BV$205^A139,IF(A139='Données projet'!$A$114,'Données projet'!$B$114,BY138+BX139-CG138)))</f>
        <v>302.46153846153805</v>
      </c>
      <c r="BZ139" s="13">
        <f>BY139*VLOOKUP('Données projet'!$B$12,Paramètres!$A$1:$I$89,3,0)*VLOOKUP('Données projet'!$B$12,Paramètres!$A$1:$I$89,5,0)</f>
        <v>273.66719999999964</v>
      </c>
      <c r="CA139" s="13">
        <f t="shared" si="147"/>
        <v>65.62692955621516</v>
      </c>
      <c r="CB139" s="20">
        <f t="shared" si="118"/>
        <v>590.93727564374069</v>
      </c>
      <c r="CC139" s="59">
        <f t="shared" si="119"/>
        <v>884.27060897707406</v>
      </c>
      <c r="CD139" s="59">
        <f ca="1">AVERAGE(OFFSET($CC$3,0,0,'Données projet'!$E$12+1,1))-AVERAGE(OFFSET($H$3,0,0,'Données projet'!$E$12+1,1))</f>
        <v>265.17389489035344</v>
      </c>
      <c r="CE139" s="59">
        <f t="shared" si="148"/>
        <v>101.57852403610769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48.460522820458316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48.460522820458316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-1.7053025658242404E-13</v>
      </c>
      <c r="CU139" s="17">
        <f>CT139*VLOOKUP('Données projet'!$B$13,Paramètres!$A$1:$I$89,3,0)*VLOOKUP('Données projet'!$B$13,Paramètres!$A$1:$I$89,5,0)</f>
        <v>-1.0197709343628959E-13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182.34243693018033</v>
      </c>
      <c r="CZ139" s="59">
        <f t="shared" si="150"/>
        <v>182.65916563909786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28.797089128926306</v>
      </c>
      <c r="DG139" s="21">
        <f>EXP(-LN(2)/25)*DG138+(1-EXP(-LN(2)/25))/(LN(2)/25)*Calculateur!DB139*Calculateur!DD139*VLOOKUP('Données projet'!$B$13,Paramètres!$A$1:$I$89,3,0)*0.475*44/12</f>
        <v>4.3937478124164606</v>
      </c>
      <c r="DH139" s="21">
        <f>EXP(-LN(2)/2)*DH138+(1-EXP(-LN(2)/2))/(LN(2)/2)*DB139*DE139*VLOOKUP('Données projet'!$B$13,Paramètres!$A$1:$I$89,3,0)*0.475*44/12</f>
        <v>1.1628016542082464E-10</v>
      </c>
      <c r="DI139" s="22">
        <f t="shared" si="123"/>
        <v>33.190836941459047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6.1378205128205137</v>
      </c>
      <c r="DO139" s="12">
        <f>IF('Données projet'!$A$166&gt;35,DO138+DN139-DW138,IF(A139&lt;'Données projet'!$A$166,$DL$205^A139,IF(A139='Données projet'!$A$166,'Données projet'!$B$166,DO138+DN139-DW138)))</f>
        <v>302.46153846153805</v>
      </c>
      <c r="DP139" s="17">
        <f>DO139*VLOOKUP('Données projet'!$B$14,Paramètres!$A$1:$I$89,3,0)*VLOOKUP('Données projet'!$B$14,Paramètres!$A$1:$I$89,5,0)</f>
        <v>287.82239999999962</v>
      </c>
      <c r="DQ139" s="13">
        <f t="shared" si="151"/>
        <v>68.617446565238339</v>
      </c>
      <c r="DR139" s="20">
        <f t="shared" si="124"/>
        <v>620.79939943445618</v>
      </c>
      <c r="DS139" s="59">
        <f t="shared" si="125"/>
        <v>914.13273276778955</v>
      </c>
      <c r="DT139" s="59">
        <f ca="1">AVERAGE(OFFSET($DS$3,0,0,'Données projet'!$E$14+1,1))-AVERAGE(OFFSET($H$3,0,0,'Données projet'!$E$14+1,1))</f>
        <v>286.10360882057586</v>
      </c>
      <c r="DU139" s="59">
        <f t="shared" si="152"/>
        <v>109.24531387923128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50.967101587033746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50.967101587033746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515.42578100159517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262.42149466677068</v>
      </c>
      <c r="T140" s="59">
        <f t="shared" si="142"/>
        <v>232.7693253699756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-1.0197709343628959E-13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249.37919739649828</v>
      </c>
      <c r="AO140" s="59">
        <f t="shared" si="144"/>
        <v>315.05045383693073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32.742574034999272</v>
      </c>
      <c r="AV140" s="21">
        <f>EXP(-LN(2)/25)*AV139+(1-EXP(-LN(2)/25))/(LN(2)/25)*Calculateur!AQ140*Calculateur!AS140*VLOOKUP('Données projet'!$B$10,Paramètres!$A$1:$I$89,3,0)*0.475*44/12</f>
        <v>4.6783289850853329</v>
      </c>
      <c r="AW140" s="21">
        <f>EXP(-LN(2)/2)*AW139+(1-EXP(-LN(2)/2))/(LN(2)/2)*AQ140*AT140*VLOOKUP('Données projet'!$B$10,Paramètres!$A$1:$I$89,3,0)*0.475*44/12</f>
        <v>2.5985736007714596E-11</v>
      </c>
      <c r="AX140" s="21">
        <f t="shared" si="114"/>
        <v>37.420903020110593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212.00000000000009</v>
      </c>
      <c r="BE140" s="13">
        <f>BD140*VLOOKUP('Données projet'!$B$11,Paramètres!$A$1:$I$89,3,0)*VLOOKUP('Données projet'!$B$11,Paramètres!$A$1:$I$89,5,0)</f>
        <v>185.20320000000009</v>
      </c>
      <c r="BF140" s="13">
        <f t="shared" si="145"/>
        <v>46.477875402099386</v>
      </c>
      <c r="BG140" s="20">
        <f t="shared" si="115"/>
        <v>403.5112063253232</v>
      </c>
      <c r="BH140" s="59">
        <f t="shared" si="116"/>
        <v>696.84453965865646</v>
      </c>
      <c r="BI140" s="59">
        <f ca="1">AVERAGE(OFFSET($BH$3,0,0,'Données projet'!$E$11+1,1))-AVERAGE(OFFSET($H$3,0,0,'Données projet'!$E$11+1,1))</f>
        <v>186.80594222554424</v>
      </c>
      <c r="BJ140" s="59">
        <f t="shared" si="146"/>
        <v>179.02867751001872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7.1772883432947605</v>
      </c>
      <c r="BQ140" s="21">
        <f>EXP(-LN(2)/25)*BQ139+(1-EXP(-LN(2)/25))/(LN(2)/25)*Calculateur!BL140*Calculateur!BN140*VLOOKUP('Données projet'!$B$11,Paramètres!$A$1:$I$89,3,0)*0.475*44/12</f>
        <v>5.0142275207389559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12.191515864033716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6.1378205128205137</v>
      </c>
      <c r="BY140" s="12">
        <f>IF('Données projet'!$A$114&gt;35,BY139+BX140-CG139,IF(A140&lt;'Données projet'!$A$114,$BV$205^A140,IF(A140='Données projet'!$A$114,'Données projet'!$B$114,BY139+BX140-CG139)))</f>
        <v>308.59935897435855</v>
      </c>
      <c r="BZ140" s="13">
        <f>BY140*VLOOKUP('Données projet'!$B$12,Paramètres!$A$1:$I$89,3,0)*VLOOKUP('Données projet'!$B$12,Paramètres!$A$1:$I$89,5,0)</f>
        <v>279.22069999999962</v>
      </c>
      <c r="CA140" s="13">
        <f t="shared" si="147"/>
        <v>66.80229368446598</v>
      </c>
      <c r="CB140" s="20">
        <f t="shared" si="118"/>
        <v>602.65671400044437</v>
      </c>
      <c r="CC140" s="59">
        <f t="shared" si="119"/>
        <v>895.99004733377774</v>
      </c>
      <c r="CD140" s="59">
        <f ca="1">AVERAGE(OFFSET($CC$3,0,0,'Données projet'!$E$12+1,1))-AVERAGE(OFFSET($H$3,0,0,'Données projet'!$E$12+1,1))</f>
        <v>265.17389489035344</v>
      </c>
      <c r="CE140" s="59">
        <f t="shared" si="148"/>
        <v>101.57852403610769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47.510241525949439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47.510241525949439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-1.7053025658242404E-13</v>
      </c>
      <c r="CU140" s="17">
        <f>CT140*VLOOKUP('Données projet'!$B$13,Paramètres!$A$1:$I$89,3,0)*VLOOKUP('Données projet'!$B$13,Paramètres!$A$1:$I$89,5,0)</f>
        <v>-1.0197709343628959E-13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182.34243693018033</v>
      </c>
      <c r="CZ140" s="59">
        <f t="shared" si="150"/>
        <v>182.65916563909786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28.232395775598079</v>
      </c>
      <c r="DG140" s="21">
        <f>EXP(-LN(2)/25)*DG139+(1-EXP(-LN(2)/25))/(LN(2)/25)*Calculateur!DB140*Calculateur!DD140*VLOOKUP('Données projet'!$B$13,Paramètres!$A$1:$I$89,3,0)*0.475*44/12</f>
        <v>4.273600547428777</v>
      </c>
      <c r="DH140" s="21">
        <f>EXP(-LN(2)/2)*DH139+(1-EXP(-LN(2)/2))/(LN(2)/2)*DB140*DE140*VLOOKUP('Données projet'!$B$13,Paramètres!$A$1:$I$89,3,0)*0.475*44/12</f>
        <v>8.2222493486558609E-11</v>
      </c>
      <c r="DI140" s="22">
        <f t="shared" si="123"/>
        <v>32.50599632310908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6.1378205128205137</v>
      </c>
      <c r="DO140" s="12">
        <f>IF('Données projet'!$A$166&gt;35,DO139+DN140-DW139,IF(A140&lt;'Données projet'!$A$166,$DL$205^A140,IF(A140='Données projet'!$A$166,'Données projet'!$B$166,DO139+DN140-DW139)))</f>
        <v>308.59935897435855</v>
      </c>
      <c r="DP140" s="17">
        <f>DO140*VLOOKUP('Données projet'!$B$14,Paramètres!$A$1:$I$89,3,0)*VLOOKUP('Données projet'!$B$14,Paramètres!$A$1:$I$89,5,0)</f>
        <v>293.66314999999958</v>
      </c>
      <c r="DQ140" s="13">
        <f t="shared" si="151"/>
        <v>69.84637020695564</v>
      </c>
      <c r="DR140" s="20">
        <f t="shared" si="124"/>
        <v>633.11241436044702</v>
      </c>
      <c r="DS140" s="59">
        <f t="shared" si="125"/>
        <v>926.44574769378028</v>
      </c>
      <c r="DT140" s="59">
        <f ca="1">AVERAGE(OFFSET($DS$3,0,0,'Données projet'!$E$14+1,1))-AVERAGE(OFFSET($H$3,0,0,'Données projet'!$E$14+1,1))</f>
        <v>286.10360882057586</v>
      </c>
      <c r="DU140" s="59">
        <f t="shared" si="152"/>
        <v>109.24531387923128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49.967667811774412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49.967667811774412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517.00670904600918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262.42149466677068</v>
      </c>
      <c r="T141" s="59">
        <f t="shared" si="142"/>
        <v>232.7693253699756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-1.0197709343628959E-13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249.37919739649828</v>
      </c>
      <c r="AO141" s="59">
        <f t="shared" si="144"/>
        <v>315.05045383693073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32.100512129171129</v>
      </c>
      <c r="AV141" s="21">
        <f>EXP(-LN(2)/25)*AV140+(1-EXP(-LN(2)/25))/(LN(2)/25)*Calculateur!AQ141*Calculateur!AS141*VLOOKUP('Données projet'!$B$10,Paramètres!$A$1:$I$89,3,0)*0.475*44/12</f>
        <v>4.550399832965546</v>
      </c>
      <c r="AW141" s="21">
        <f>EXP(-LN(2)/2)*AW140+(1-EXP(-LN(2)/2))/(LN(2)/2)*AQ141*AT141*VLOOKUP('Données projet'!$B$10,Paramètres!$A$1:$I$89,3,0)*0.475*44/12</f>
        <v>1.8374690145178434E-11</v>
      </c>
      <c r="AX141" s="21">
        <f t="shared" si="114"/>
        <v>36.65091196215505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212.00000000000009</v>
      </c>
      <c r="BE141" s="13">
        <f>BD141*VLOOKUP('Données projet'!$B$11,Paramètres!$A$1:$I$89,3,0)*VLOOKUP('Données projet'!$B$11,Paramètres!$A$1:$I$89,5,0)</f>
        <v>185.20320000000009</v>
      </c>
      <c r="BF141" s="13">
        <f t="shared" si="145"/>
        <v>46.477875402099386</v>
      </c>
      <c r="BG141" s="20">
        <f t="shared" si="115"/>
        <v>403.5112063253232</v>
      </c>
      <c r="BH141" s="59">
        <f t="shared" si="116"/>
        <v>696.84453965865646</v>
      </c>
      <c r="BI141" s="59">
        <f ca="1">AVERAGE(OFFSET($BH$3,0,0,'Données projet'!$E$11+1,1))-AVERAGE(OFFSET($H$3,0,0,'Données projet'!$E$11+1,1))</f>
        <v>186.80594222554424</v>
      </c>
      <c r="BJ141" s="59">
        <f t="shared" si="146"/>
        <v>179.02867751001872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7.0365460965963766</v>
      </c>
      <c r="BQ141" s="21">
        <f>EXP(-LN(2)/25)*BQ140+(1-EXP(-LN(2)/25))/(LN(2)/25)*Calculateur!BL141*Calculateur!BN141*VLOOKUP('Données projet'!$B$11,Paramètres!$A$1:$I$89,3,0)*0.475*44/12</f>
        <v>4.8771132054975839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11.913659302093961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6.1378205128205137</v>
      </c>
      <c r="BY141" s="12">
        <f>IF('Données projet'!$A$114&gt;35,BY140+BX141-CG140,IF(A141&lt;'Données projet'!$A$114,$BV$205^A141,IF(A141='Données projet'!$A$114,'Données projet'!$B$114,BY140+BX141-CG140)))</f>
        <v>314.73717948717905</v>
      </c>
      <c r="BZ141" s="13">
        <f>BY141*VLOOKUP('Données projet'!$B$12,Paramètres!$A$1:$I$89,3,0)*VLOOKUP('Données projet'!$B$12,Paramètres!$A$1:$I$89,5,0)</f>
        <v>284.77419999999955</v>
      </c>
      <c r="CA141" s="13">
        <f t="shared" si="147"/>
        <v>67.974939670209011</v>
      </c>
      <c r="CB141" s="20">
        <f t="shared" si="118"/>
        <v>614.37141825894662</v>
      </c>
      <c r="CC141" s="59">
        <f t="shared" si="119"/>
        <v>907.70475159227999</v>
      </c>
      <c r="CD141" s="59">
        <f ca="1">AVERAGE(OFFSET($CC$3,0,0,'Données projet'!$E$12+1,1))-AVERAGE(OFFSET($H$3,0,0,'Données projet'!$E$12+1,1))</f>
        <v>265.17389489035344</v>
      </c>
      <c r="CE141" s="59">
        <f t="shared" si="148"/>
        <v>101.57852403610769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46.578594668011526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46.578594668011526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-1.7053025658242404E-13</v>
      </c>
      <c r="CU141" s="17">
        <f>CT141*VLOOKUP('Données projet'!$B$13,Paramètres!$A$1:$I$89,3,0)*VLOOKUP('Données projet'!$B$13,Paramètres!$A$1:$I$89,5,0)</f>
        <v>-1.0197709343628959E-13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182.34243693018033</v>
      </c>
      <c r="CZ141" s="59">
        <f t="shared" si="150"/>
        <v>182.65916563909786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27.678775714499682</v>
      </c>
      <c r="DG141" s="21">
        <f>EXP(-LN(2)/25)*DG140+(1-EXP(-LN(2)/25))/(LN(2)/25)*Calculateur!DB141*Calculateur!DD141*VLOOKUP('Données projet'!$B$13,Paramètres!$A$1:$I$89,3,0)*0.475*44/12</f>
        <v>4.1567387157204516</v>
      </c>
      <c r="DH141" s="21">
        <f>EXP(-LN(2)/2)*DH140+(1-EXP(-LN(2)/2))/(LN(2)/2)*DB141*DE141*VLOOKUP('Données projet'!$B$13,Paramètres!$A$1:$I$89,3,0)*0.475*44/12</f>
        <v>5.8140082710412328E-11</v>
      </c>
      <c r="DI141" s="22">
        <f t="shared" si="123"/>
        <v>31.835514430278273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6.1378205128205137</v>
      </c>
      <c r="DO141" s="12">
        <f>IF('Données projet'!$A$166&gt;35,DO140+DN141-DW140,IF(A141&lt;'Données projet'!$A$166,$DL$205^A141,IF(A141='Données projet'!$A$166,'Données projet'!$B$166,DO140+DN141-DW140)))</f>
        <v>314.73717948717905</v>
      </c>
      <c r="DP141" s="17">
        <f>DO141*VLOOKUP('Données projet'!$B$14,Paramètres!$A$1:$I$89,3,0)*VLOOKUP('Données projet'!$B$14,Paramètres!$A$1:$I$89,5,0)</f>
        <v>299.50389999999959</v>
      </c>
      <c r="DQ141" s="13">
        <f t="shared" si="151"/>
        <v>71.072451844642856</v>
      </c>
      <c r="DR141" s="20">
        <f t="shared" si="124"/>
        <v>645.42047946275216</v>
      </c>
      <c r="DS141" s="59">
        <f t="shared" si="125"/>
        <v>938.75381279608541</v>
      </c>
      <c r="DT141" s="59">
        <f ca="1">AVERAGE(OFFSET($DS$3,0,0,'Données projet'!$E$14+1,1))-AVERAGE(OFFSET($H$3,0,0,'Données projet'!$E$14+1,1))</f>
        <v>286.10360882057586</v>
      </c>
      <c r="DU141" s="59">
        <f t="shared" si="152"/>
        <v>109.24531387923128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48.9878323232535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48.9878323232535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518.58738083100661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262.42149466677068</v>
      </c>
      <c r="T142" s="59">
        <f t="shared" si="142"/>
        <v>232.7693253699756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-1.0197709343628959E-13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249.37919739649828</v>
      </c>
      <c r="AO142" s="59">
        <f t="shared" si="144"/>
        <v>315.05045383693073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31.471040665697178</v>
      </c>
      <c r="AV142" s="21">
        <f>EXP(-LN(2)/25)*AV141+(1-EXP(-LN(2)/25))/(LN(2)/25)*Calculateur!AQ142*Calculateur!AS142*VLOOKUP('Données projet'!$B$10,Paramètres!$A$1:$I$89,3,0)*0.475*44/12</f>
        <v>4.4259689102379758</v>
      </c>
      <c r="AW142" s="21">
        <f>EXP(-LN(2)/2)*AW141+(1-EXP(-LN(2)/2))/(LN(2)/2)*AQ142*AT142*VLOOKUP('Données projet'!$B$10,Paramètres!$A$1:$I$89,3,0)*0.475*44/12</f>
        <v>1.2992868003857298E-11</v>
      </c>
      <c r="AX142" s="21">
        <f t="shared" si="114"/>
        <v>35.897009575948147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212.00000000000009</v>
      </c>
      <c r="BE142" s="13">
        <f>BD142*VLOOKUP('Données projet'!$B$11,Paramètres!$A$1:$I$89,3,0)*VLOOKUP('Données projet'!$B$11,Paramètres!$A$1:$I$89,5,0)</f>
        <v>185.20320000000009</v>
      </c>
      <c r="BF142" s="13">
        <f t="shared" si="145"/>
        <v>46.477875402099386</v>
      </c>
      <c r="BG142" s="20">
        <f t="shared" si="115"/>
        <v>403.5112063253232</v>
      </c>
      <c r="BH142" s="59">
        <f t="shared" si="116"/>
        <v>696.84453965865646</v>
      </c>
      <c r="BI142" s="59">
        <f ca="1">AVERAGE(OFFSET($BH$3,0,0,'Données projet'!$E$11+1,1))-AVERAGE(OFFSET($H$3,0,0,'Données projet'!$E$11+1,1))</f>
        <v>186.80594222554424</v>
      </c>
      <c r="BJ142" s="59">
        <f t="shared" si="146"/>
        <v>179.02867751001872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6.8985637195114533</v>
      </c>
      <c r="BQ142" s="21">
        <f>EXP(-LN(2)/25)*BQ141+(1-EXP(-LN(2)/25))/(LN(2)/25)*Calculateur!BL142*Calculateur!BN142*VLOOKUP('Données projet'!$B$11,Paramètres!$A$1:$I$89,3,0)*0.475*44/12</f>
        <v>4.7437482884170157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11.642312007928469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6.1378205128205137</v>
      </c>
      <c r="BY142" s="12">
        <f>IF('Données projet'!$A$114&gt;35,BY141+BX142-CG141,IF(A142&lt;'Données projet'!$A$114,$BV$205^A142,IF(A142='Données projet'!$A$114,'Données projet'!$B$114,BY141+BX142-CG141)))</f>
        <v>320.87499999999955</v>
      </c>
      <c r="BZ142" s="13">
        <f>BY142*VLOOKUP('Données projet'!$B$12,Paramètres!$A$1:$I$89,3,0)*VLOOKUP('Données projet'!$B$12,Paramètres!$A$1:$I$89,5,0)</f>
        <v>290.3276999999996</v>
      </c>
      <c r="CA142" s="13">
        <f t="shared" si="147"/>
        <v>69.144926631604633</v>
      </c>
      <c r="CB142" s="20">
        <f t="shared" si="118"/>
        <v>626.08149138337728</v>
      </c>
      <c r="CC142" s="59">
        <f t="shared" si="119"/>
        <v>919.41482471671065</v>
      </c>
      <c r="CD142" s="59">
        <f ca="1">AVERAGE(OFFSET($CC$3,0,0,'Données projet'!$E$12+1,1))-AVERAGE(OFFSET($H$3,0,0,'Données projet'!$E$12+1,1))</f>
        <v>265.17389489035344</v>
      </c>
      <c r="CE142" s="59">
        <f t="shared" si="148"/>
        <v>101.57852403610769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45.665216836709298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45.665216836709298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-1.7053025658242404E-13</v>
      </c>
      <c r="CU142" s="17">
        <f>CT142*VLOOKUP('Données projet'!$B$13,Paramètres!$A$1:$I$89,3,0)*VLOOKUP('Données projet'!$B$13,Paramètres!$A$1:$I$89,5,0)</f>
        <v>-1.0197709343628959E-13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182.34243693018033</v>
      </c>
      <c r="CZ142" s="59">
        <f t="shared" si="150"/>
        <v>182.65916563909786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27.136011805124532</v>
      </c>
      <c r="DG142" s="21">
        <f>EXP(-LN(2)/25)*DG141+(1-EXP(-LN(2)/25))/(LN(2)/25)*Calculateur!DB142*Calculateur!DD142*VLOOKUP('Données projet'!$B$13,Paramètres!$A$1:$I$89,3,0)*0.475*44/12</f>
        <v>4.0430724769456869</v>
      </c>
      <c r="DH142" s="21">
        <f>EXP(-LN(2)/2)*DH141+(1-EXP(-LN(2)/2))/(LN(2)/2)*DB142*DE142*VLOOKUP('Données projet'!$B$13,Paramètres!$A$1:$I$89,3,0)*0.475*44/12</f>
        <v>4.1111246743279311E-11</v>
      </c>
      <c r="DI142" s="22">
        <f t="shared" si="123"/>
        <v>31.179084282111333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6.1378205128205137</v>
      </c>
      <c r="DO142" s="12">
        <f>IF('Données projet'!$A$166&gt;35,DO141+DN142-DW141,IF(A142&lt;'Données projet'!$A$166,$DL$205^A142,IF(A142='Données projet'!$A$166,'Données projet'!$B$166,DO141+DN142-DW141)))</f>
        <v>320.87499999999955</v>
      </c>
      <c r="DP142" s="17">
        <f>DO142*VLOOKUP('Données projet'!$B$14,Paramètres!$A$1:$I$89,3,0)*VLOOKUP('Données projet'!$B$14,Paramètres!$A$1:$I$89,5,0)</f>
        <v>305.3446499999996</v>
      </c>
      <c r="DQ142" s="13">
        <f t="shared" si="151"/>
        <v>72.295753290382777</v>
      </c>
      <c r="DR142" s="20">
        <f t="shared" si="124"/>
        <v>657.72370239741588</v>
      </c>
      <c r="DS142" s="59">
        <f t="shared" si="125"/>
        <v>951.05703573074925</v>
      </c>
      <c r="DT142" s="59">
        <f ca="1">AVERAGE(OFFSET($DS$3,0,0,'Données projet'!$E$14+1,1))-AVERAGE(OFFSET($H$3,0,0,'Données projet'!$E$14+1,1))</f>
        <v>286.10360882057586</v>
      </c>
      <c r="DU142" s="59">
        <f t="shared" si="152"/>
        <v>109.24531387923128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48.027210811021845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48.027210811021845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520.16779841394873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262.42149466677068</v>
      </c>
      <c r="T143" s="59">
        <f t="shared" si="142"/>
        <v>232.7693253699756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-1.0197709343628959E-13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249.37919739649828</v>
      </c>
      <c r="AO143" s="59">
        <f t="shared" si="144"/>
        <v>315.05045383693073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30.85391275368227</v>
      </c>
      <c r="AV143" s="21">
        <f>EXP(-LN(2)/25)*AV142+(1-EXP(-LN(2)/25))/(LN(2)/25)*Calculateur!AQ143*Calculateur!AS143*VLOOKUP('Données projet'!$B$10,Paramètres!$A$1:$I$89,3,0)*0.475*44/12</f>
        <v>4.3049405576359288</v>
      </c>
      <c r="AW143" s="21">
        <f>EXP(-LN(2)/2)*AW142+(1-EXP(-LN(2)/2))/(LN(2)/2)*AQ143*AT143*VLOOKUP('Données projet'!$B$10,Paramètres!$A$1:$I$89,3,0)*0.475*44/12</f>
        <v>9.1873450725892168E-12</v>
      </c>
      <c r="AX143" s="21">
        <f t="shared" si="114"/>
        <v>35.158853311327384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212.00000000000009</v>
      </c>
      <c r="BE143" s="13">
        <f>BD143*VLOOKUP('Données projet'!$B$11,Paramètres!$A$1:$I$89,3,0)*VLOOKUP('Données projet'!$B$11,Paramètres!$A$1:$I$89,5,0)</f>
        <v>185.20320000000009</v>
      </c>
      <c r="BF143" s="13">
        <f t="shared" si="145"/>
        <v>46.477875402099386</v>
      </c>
      <c r="BG143" s="20">
        <f t="shared" si="115"/>
        <v>403.5112063253232</v>
      </c>
      <c r="BH143" s="59">
        <f t="shared" si="116"/>
        <v>696.84453965865646</v>
      </c>
      <c r="BI143" s="59">
        <f ca="1">AVERAGE(OFFSET($BH$3,0,0,'Données projet'!$E$11+1,1))-AVERAGE(OFFSET($H$3,0,0,'Données projet'!$E$11+1,1))</f>
        <v>186.80594222554424</v>
      </c>
      <c r="BJ143" s="59">
        <f t="shared" si="146"/>
        <v>179.02867751001872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6.7632870926802262</v>
      </c>
      <c r="BQ143" s="21">
        <f>EXP(-LN(2)/25)*BQ142+(1-EXP(-LN(2)/25))/(LN(2)/25)*Calculateur!BL143*Calculateur!BN143*VLOOKUP('Données projet'!$B$11,Paramètres!$A$1:$I$89,3,0)*0.475*44/12</f>
        <v>4.614030242007372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11.377317334687598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6.1378205128205137</v>
      </c>
      <c r="BY143" s="12">
        <f>IF('Données projet'!$A$114&gt;35,BY142+BX143-CG142,IF(A143&lt;'Données projet'!$A$114,$BV$205^A143,IF(A143='Données projet'!$A$114,'Données projet'!$B$114,BY142+BX143-CG142)))</f>
        <v>327.01282051282004</v>
      </c>
      <c r="BZ143" s="13">
        <f>BY143*VLOOKUP('Données projet'!$B$12,Paramètres!$A$1:$I$89,3,0)*VLOOKUP('Données projet'!$B$12,Paramètres!$A$1:$I$89,5,0)</f>
        <v>295.88119999999958</v>
      </c>
      <c r="CA143" s="13">
        <f t="shared" si="147"/>
        <v>70.31231129573932</v>
      </c>
      <c r="CB143" s="20">
        <f t="shared" si="118"/>
        <v>637.78703217341183</v>
      </c>
      <c r="CC143" s="59">
        <f t="shared" si="119"/>
        <v>931.1203655067452</v>
      </c>
      <c r="CD143" s="59">
        <f ca="1">AVERAGE(OFFSET($CC$3,0,0,'Données projet'!$E$12+1,1))-AVERAGE(OFFSET($H$3,0,0,'Données projet'!$E$12+1,1))</f>
        <v>265.17389489035344</v>
      </c>
      <c r="CE143" s="59">
        <f t="shared" si="148"/>
        <v>101.57852403610769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44.769749787573438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44.769749787573438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-1.7053025658242404E-13</v>
      </c>
      <c r="CU143" s="17">
        <f>CT143*VLOOKUP('Données projet'!$B$13,Paramètres!$A$1:$I$89,3,0)*VLOOKUP('Données projet'!$B$13,Paramètres!$A$1:$I$89,5,0)</f>
        <v>-1.0197709343628959E-13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182.34243693018033</v>
      </c>
      <c r="CZ143" s="59">
        <f t="shared" si="150"/>
        <v>182.65916563909786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26.603891164958934</v>
      </c>
      <c r="DG143" s="21">
        <f>EXP(-LN(2)/25)*DG142+(1-EXP(-LN(2)/25))/(LN(2)/25)*Calculateur!DB143*Calculateur!DD143*VLOOKUP('Données projet'!$B$13,Paramètres!$A$1:$I$89,3,0)*0.475*44/12</f>
        <v>3.9325144474476663</v>
      </c>
      <c r="DH143" s="21">
        <f>EXP(-LN(2)/2)*DH142+(1-EXP(-LN(2)/2))/(LN(2)/2)*DB143*DE143*VLOOKUP('Données projet'!$B$13,Paramètres!$A$1:$I$89,3,0)*0.475*44/12</f>
        <v>2.9070041355206171E-11</v>
      </c>
      <c r="DI143" s="22">
        <f t="shared" si="123"/>
        <v>30.536405612435669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6.1378205128205137</v>
      </c>
      <c r="DO143" s="12">
        <f>IF('Données projet'!$A$166&gt;35,DO142+DN143-DW142,IF(A143&lt;'Données projet'!$A$166,$DL$205^A143,IF(A143='Données projet'!$A$166,'Données projet'!$B$166,DO142+DN143-DW142)))</f>
        <v>327.01282051282004</v>
      </c>
      <c r="DP143" s="17">
        <f>DO143*VLOOKUP('Données projet'!$B$14,Paramètres!$A$1:$I$89,3,0)*VLOOKUP('Données projet'!$B$14,Paramètres!$A$1:$I$89,5,0)</f>
        <v>311.18539999999956</v>
      </c>
      <c r="DQ143" s="13">
        <f t="shared" si="151"/>
        <v>73.516333856226936</v>
      </c>
      <c r="DR143" s="20">
        <f t="shared" si="124"/>
        <v>670.02218646626113</v>
      </c>
      <c r="DS143" s="59">
        <f t="shared" si="125"/>
        <v>963.3555197995945</v>
      </c>
      <c r="DT143" s="59">
        <f ca="1">AVERAGE(OFFSET($DS$3,0,0,'Données projet'!$E$14+1,1))-AVERAGE(OFFSET($H$3,0,0,'Données projet'!$E$14+1,1))</f>
        <v>286.10360882057586</v>
      </c>
      <c r="DU143" s="59">
        <f t="shared" si="152"/>
        <v>109.24531387923128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47.085426500723791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47.085426500723791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521.74796382110731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262.42149466677068</v>
      </c>
      <c r="T144" s="59">
        <f t="shared" si="142"/>
        <v>232.7693253699756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-1.0197709343628959E-13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249.37919739649828</v>
      </c>
      <c r="AO144" s="59">
        <f t="shared" si="144"/>
        <v>315.05045383693073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30.248886343611115</v>
      </c>
      <c r="AV144" s="21">
        <f>EXP(-LN(2)/25)*AV143+(1-EXP(-LN(2)/25))/(LN(2)/25)*Calculateur!AQ144*Calculateur!AS144*VLOOKUP('Données projet'!$B$10,Paramètres!$A$1:$I$89,3,0)*0.475*44/12</f>
        <v>4.1872217317003892</v>
      </c>
      <c r="AW144" s="21">
        <f>EXP(-LN(2)/2)*AW143+(1-EXP(-LN(2)/2))/(LN(2)/2)*AQ144*AT144*VLOOKUP('Données projet'!$B$10,Paramètres!$A$1:$I$89,3,0)*0.475*44/12</f>
        <v>6.496434001928649E-12</v>
      </c>
      <c r="AX144" s="21">
        <f t="shared" si="114"/>
        <v>34.436108075317996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212.00000000000009</v>
      </c>
      <c r="BE144" s="13">
        <f>BD144*VLOOKUP('Données projet'!$B$11,Paramètres!$A$1:$I$89,3,0)*VLOOKUP('Données projet'!$B$11,Paramètres!$A$1:$I$89,5,0)</f>
        <v>185.20320000000009</v>
      </c>
      <c r="BF144" s="13">
        <f t="shared" si="145"/>
        <v>46.477875402099386</v>
      </c>
      <c r="BG144" s="20">
        <f t="shared" si="115"/>
        <v>403.5112063253232</v>
      </c>
      <c r="BH144" s="59">
        <f t="shared" si="116"/>
        <v>696.84453965865646</v>
      </c>
      <c r="BI144" s="59">
        <f ca="1">AVERAGE(OFFSET($BH$3,0,0,'Données projet'!$E$11+1,1))-AVERAGE(OFFSET($H$3,0,0,'Données projet'!$E$11+1,1))</f>
        <v>186.80594222554424</v>
      </c>
      <c r="BJ144" s="59">
        <f t="shared" si="146"/>
        <v>179.02867751001872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6.6306631579905639</v>
      </c>
      <c r="BQ144" s="21">
        <f>EXP(-LN(2)/25)*BQ143+(1-EXP(-LN(2)/25))/(LN(2)/25)*Calculateur!BL144*Calculateur!BN144*VLOOKUP('Données projet'!$B$11,Paramètres!$A$1:$I$89,3,0)*0.475*44/12</f>
        <v>4.4878593423983757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11.11852250038894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6.1378205128205137</v>
      </c>
      <c r="BY144" s="12">
        <f>IF('Données projet'!$A$114&gt;35,BY143+BX144-CG143,IF(A144&lt;'Données projet'!$A$114,$BV$205^A144,IF(A144='Données projet'!$A$114,'Données projet'!$B$114,BY143+BX144-CG143)))</f>
        <v>333.15064102564054</v>
      </c>
      <c r="BZ144" s="13">
        <f>BY144*VLOOKUP('Données projet'!$B$12,Paramètres!$A$1:$I$89,3,0)*VLOOKUP('Données projet'!$B$12,Paramètres!$A$1:$I$89,5,0)</f>
        <v>301.43469999999951</v>
      </c>
      <c r="CA144" s="13">
        <f t="shared" si="147"/>
        <v>71.477148138366914</v>
      </c>
      <c r="CB144" s="20">
        <f t="shared" si="118"/>
        <v>649.48813550765476</v>
      </c>
      <c r="CC144" s="59">
        <f t="shared" si="119"/>
        <v>942.82146884098802</v>
      </c>
      <c r="CD144" s="59">
        <f ca="1">AVERAGE(OFFSET($CC$3,0,0,'Données projet'!$E$12+1,1))-AVERAGE(OFFSET($H$3,0,0,'Données projet'!$E$12+1,1))</f>
        <v>265.17389489035344</v>
      </c>
      <c r="CE144" s="59">
        <f t="shared" si="148"/>
        <v>101.57852403610769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43.891842301090165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43.891842301090165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-1.7053025658242404E-13</v>
      </c>
      <c r="CU144" s="17">
        <f>CT144*VLOOKUP('Données projet'!$B$13,Paramètres!$A$1:$I$89,3,0)*VLOOKUP('Données projet'!$B$13,Paramètres!$A$1:$I$89,5,0)</f>
        <v>-1.0197709343628959E-13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182.34243693018033</v>
      </c>
      <c r="CZ144" s="59">
        <f t="shared" si="150"/>
        <v>182.65916563909786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26.082205085985439</v>
      </c>
      <c r="DG144" s="21">
        <f>EXP(-LN(2)/25)*DG143+(1-EXP(-LN(2)/25))/(LN(2)/25)*Calculateur!DB144*Calculateur!DD144*VLOOKUP('Données projet'!$B$13,Paramètres!$A$1:$I$89,3,0)*0.475*44/12</f>
        <v>3.8249796330802628</v>
      </c>
      <c r="DH144" s="21">
        <f>EXP(-LN(2)/2)*DH143+(1-EXP(-LN(2)/2))/(LN(2)/2)*DB144*DE144*VLOOKUP('Données projet'!$B$13,Paramètres!$A$1:$I$89,3,0)*0.475*44/12</f>
        <v>2.0555623371639659E-11</v>
      </c>
      <c r="DI144" s="22">
        <f t="shared" si="123"/>
        <v>29.90718471908626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6.1378205128205137</v>
      </c>
      <c r="DO144" s="12">
        <f>IF('Données projet'!$A$166&gt;35,DO143+DN144-DW143,IF(A144&lt;'Données projet'!$A$166,$DL$205^A144,IF(A144='Données projet'!$A$166,'Données projet'!$B$166,DO143+DN144-DW143)))</f>
        <v>333.15064102564054</v>
      </c>
      <c r="DP144" s="17">
        <f>DO144*VLOOKUP('Données projet'!$B$14,Paramètres!$A$1:$I$89,3,0)*VLOOKUP('Données projet'!$B$14,Paramètres!$A$1:$I$89,5,0)</f>
        <v>317.02614999999957</v>
      </c>
      <c r="DQ144" s="13">
        <f t="shared" si="151"/>
        <v>74.734250500304512</v>
      </c>
      <c r="DR144" s="20">
        <f t="shared" si="124"/>
        <v>682.31603087136284</v>
      </c>
      <c r="DS144" s="59">
        <f t="shared" si="125"/>
        <v>975.64936420469621</v>
      </c>
      <c r="DT144" s="59">
        <f ca="1">AVERAGE(OFFSET($DS$3,0,0,'Données projet'!$E$14+1,1))-AVERAGE(OFFSET($H$3,0,0,'Données projet'!$E$14+1,1))</f>
        <v>286.10360882057586</v>
      </c>
      <c r="DU144" s="59">
        <f t="shared" si="152"/>
        <v>109.24531387923128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46.162110006318969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46.162110006318969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523.3278790483522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262.42149466677068</v>
      </c>
      <c r="T145" s="59">
        <f t="shared" si="142"/>
        <v>232.7693253699756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-1.0197709343628959E-13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249.37919739649828</v>
      </c>
      <c r="AO145" s="59">
        <f t="shared" si="144"/>
        <v>315.05045383693073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29.655724132411784</v>
      </c>
      <c r="AV145" s="21">
        <f>EXP(-LN(2)/25)*AV144+(1-EXP(-LN(2)/25))/(LN(2)/25)*Calculateur!AQ145*Calculateur!AS145*VLOOKUP('Données projet'!$B$10,Paramètres!$A$1:$I$89,3,0)*0.475*44/12</f>
        <v>4.0727219332506213</v>
      </c>
      <c r="AW145" s="21">
        <f>EXP(-LN(2)/2)*AW144+(1-EXP(-LN(2)/2))/(LN(2)/2)*AQ145*AT145*VLOOKUP('Données projet'!$B$10,Paramètres!$A$1:$I$89,3,0)*0.475*44/12</f>
        <v>4.5936725362946084E-12</v>
      </c>
      <c r="AX145" s="21">
        <f t="shared" si="114"/>
        <v>33.728446065667001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212.00000000000009</v>
      </c>
      <c r="BE145" s="13">
        <f>BD145*VLOOKUP('Données projet'!$B$11,Paramètres!$A$1:$I$89,3,0)*VLOOKUP('Données projet'!$B$11,Paramètres!$A$1:$I$89,5,0)</f>
        <v>185.20320000000009</v>
      </c>
      <c r="BF145" s="13">
        <f t="shared" si="145"/>
        <v>46.477875402099386</v>
      </c>
      <c r="BG145" s="20">
        <f t="shared" si="115"/>
        <v>403.5112063253232</v>
      </c>
      <c r="BH145" s="59">
        <f t="shared" si="116"/>
        <v>696.84453965865646</v>
      </c>
      <c r="BI145" s="59">
        <f ca="1">AVERAGE(OFFSET($BH$3,0,0,'Données projet'!$E$11+1,1))-AVERAGE(OFFSET($H$3,0,0,'Données projet'!$E$11+1,1))</f>
        <v>186.80594222554424</v>
      </c>
      <c r="BJ145" s="59">
        <f t="shared" si="146"/>
        <v>179.02867751001872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6.5006398977675532</v>
      </c>
      <c r="BQ145" s="21">
        <f>EXP(-LN(2)/25)*BQ144+(1-EXP(-LN(2)/25))/(LN(2)/25)*Calculateur!BL145*Calculateur!BN145*VLOOKUP('Données projet'!$B$11,Paramètres!$A$1:$I$89,3,0)*0.475*44/12</f>
        <v>4.3651385926742261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10.86577849044178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6.1378205128205137</v>
      </c>
      <c r="BY145" s="12">
        <f>IF('Données projet'!$A$114&gt;35,BY144+BX145-CG144,IF(A145&lt;'Données projet'!$A$114,$BV$205^A145,IF(A145='Données projet'!$A$114,'Données projet'!$B$114,BY144+BX145-CG144)))</f>
        <v>339.28846153846104</v>
      </c>
      <c r="BZ145" s="13">
        <f>BY145*VLOOKUP('Données projet'!$B$12,Paramètres!$A$1:$I$89,3,0)*VLOOKUP('Données projet'!$B$12,Paramètres!$A$1:$I$89,5,0)</f>
        <v>306.98819999999955</v>
      </c>
      <c r="CA145" s="13">
        <f t="shared" si="147"/>
        <v>72.639489513059672</v>
      </c>
      <c r="CB145" s="20">
        <f t="shared" si="118"/>
        <v>661.18489256857811</v>
      </c>
      <c r="CC145" s="59">
        <f t="shared" si="119"/>
        <v>954.51822590191136</v>
      </c>
      <c r="CD145" s="59">
        <f ca="1">AVERAGE(OFFSET($CC$3,0,0,'Données projet'!$E$12+1,1))-AVERAGE(OFFSET($H$3,0,0,'Données projet'!$E$12+1,1))</f>
        <v>265.17389489035344</v>
      </c>
      <c r="CE145" s="59">
        <f t="shared" si="148"/>
        <v>101.57852403610769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43.031150044946138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43.031150044946138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-1.7053025658242404E-13</v>
      </c>
      <c r="CU145" s="17">
        <f>CT145*VLOOKUP('Données projet'!$B$13,Paramètres!$A$1:$I$89,3,0)*VLOOKUP('Données projet'!$B$13,Paramètres!$A$1:$I$89,5,0)</f>
        <v>-1.0197709343628959E-13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182.34243693018033</v>
      </c>
      <c r="CZ145" s="59">
        <f t="shared" si="150"/>
        <v>182.65916563909786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25.570748952823525</v>
      </c>
      <c r="DG145" s="21">
        <f>EXP(-LN(2)/25)*DG144+(1-EXP(-LN(2)/25))/(LN(2)/25)*Calculateur!DB145*Calculateur!DD145*VLOOKUP('Données projet'!$B$13,Paramètres!$A$1:$I$89,3,0)*0.475*44/12</f>
        <v>3.7203853638667463</v>
      </c>
      <c r="DH145" s="21">
        <f>EXP(-LN(2)/2)*DH144+(1-EXP(-LN(2)/2))/(LN(2)/2)*DB145*DE145*VLOOKUP('Données projet'!$B$13,Paramètres!$A$1:$I$89,3,0)*0.475*44/12</f>
        <v>1.4535020677603087E-11</v>
      </c>
      <c r="DI145" s="22">
        <f t="shared" si="123"/>
        <v>29.291134316704806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6.1378205128205137</v>
      </c>
      <c r="DO145" s="12">
        <f>IF('Données projet'!$A$166&gt;35,DO144+DN145-DW144,IF(A145&lt;'Données projet'!$A$166,$DL$205^A145,IF(A145='Données projet'!$A$166,'Données projet'!$B$166,DO144+DN145-DW144)))</f>
        <v>339.28846153846104</v>
      </c>
      <c r="DP145" s="17">
        <f>DO145*VLOOKUP('Données projet'!$B$14,Paramètres!$A$1:$I$89,3,0)*VLOOKUP('Données projet'!$B$14,Paramètres!$A$1:$I$89,5,0)</f>
        <v>322.86689999999953</v>
      </c>
      <c r="DQ145" s="13">
        <f t="shared" si="151"/>
        <v>75.949557961858417</v>
      </c>
      <c r="DR145" s="20">
        <f t="shared" si="124"/>
        <v>694.60533095023595</v>
      </c>
      <c r="DS145" s="59">
        <f t="shared" si="125"/>
        <v>987.93866428356932</v>
      </c>
      <c r="DT145" s="59">
        <f ca="1">AVERAGE(OFFSET($DS$3,0,0,'Données projet'!$E$14+1,1))-AVERAGE(OFFSET($H$3,0,0,'Données projet'!$E$14+1,1))</f>
        <v>286.10360882057586</v>
      </c>
      <c r="DU145" s="59">
        <f t="shared" si="152"/>
        <v>109.24531387923128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45.256899185201974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45.256899185201974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524.90754606181736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262.42149466677068</v>
      </c>
      <c r="T146" s="59">
        <f t="shared" si="142"/>
        <v>232.7693253699756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-1.0197709343628959E-13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249.37919739649828</v>
      </c>
      <c r="AO146" s="59">
        <f t="shared" si="144"/>
        <v>315.05045383693073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29.074193470380848</v>
      </c>
      <c r="AV146" s="21">
        <f>EXP(-LN(2)/25)*AV145+(1-EXP(-LN(2)/25))/(LN(2)/25)*Calculateur!AQ146*Calculateur!AS146*VLOOKUP('Données projet'!$B$10,Paramètres!$A$1:$I$89,3,0)*0.475*44/12</f>
        <v>3.9613531378107449</v>
      </c>
      <c r="AW146" s="21">
        <f>EXP(-LN(2)/2)*AW145+(1-EXP(-LN(2)/2))/(LN(2)/2)*AQ146*AT146*VLOOKUP('Données projet'!$B$10,Paramètres!$A$1:$I$89,3,0)*0.475*44/12</f>
        <v>3.2482170009643245E-12</v>
      </c>
      <c r="AX146" s="21">
        <f t="shared" si="114"/>
        <v>33.035546608194842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212.00000000000009</v>
      </c>
      <c r="BE146" s="13">
        <f>BD146*VLOOKUP('Données projet'!$B$11,Paramètres!$A$1:$I$89,3,0)*VLOOKUP('Données projet'!$B$11,Paramètres!$A$1:$I$89,5,0)</f>
        <v>185.20320000000009</v>
      </c>
      <c r="BF146" s="13">
        <f t="shared" si="145"/>
        <v>46.477875402099386</v>
      </c>
      <c r="BG146" s="20">
        <f t="shared" si="115"/>
        <v>403.5112063253232</v>
      </c>
      <c r="BH146" s="59">
        <f t="shared" si="116"/>
        <v>696.84453965865646</v>
      </c>
      <c r="BI146" s="59">
        <f ca="1">AVERAGE(OFFSET($BH$3,0,0,'Données projet'!$E$11+1,1))-AVERAGE(OFFSET($H$3,0,0,'Données projet'!$E$11+1,1))</f>
        <v>186.80594222554424</v>
      </c>
      <c r="BJ146" s="59">
        <f t="shared" si="146"/>
        <v>179.02867751001872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6.3731663143711579</v>
      </c>
      <c r="BQ146" s="21">
        <f>EXP(-LN(2)/25)*BQ145+(1-EXP(-LN(2)/25))/(LN(2)/25)*Calculateur!BL146*Calculateur!BN146*VLOOKUP('Données projet'!$B$11,Paramètres!$A$1:$I$89,3,0)*0.475*44/12</f>
        <v>4.2457736483048878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10.618939962676045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6.1378205128205137</v>
      </c>
      <c r="BY146" s="12">
        <f>IF('Données projet'!$A$114&gt;35,BY145+BX146-CG145,IF(A146&lt;'Données projet'!$A$114,$BV$205^A146,IF(A146='Données projet'!$A$114,'Données projet'!$B$114,BY145+BX146-CG145)))</f>
        <v>345.42628205128153</v>
      </c>
      <c r="BZ146" s="13">
        <f>BY146*VLOOKUP('Données projet'!$B$12,Paramètres!$A$1:$I$89,3,0)*VLOOKUP('Données projet'!$B$12,Paramètres!$A$1:$I$89,5,0)</f>
        <v>312.54169999999954</v>
      </c>
      <c r="CA146" s="13">
        <f t="shared" si="147"/>
        <v>73.79938577074968</v>
      </c>
      <c r="CB146" s="20">
        <f t="shared" si="118"/>
        <v>672.87739105072149</v>
      </c>
      <c r="CC146" s="59">
        <f t="shared" si="119"/>
        <v>966.21072438405486</v>
      </c>
      <c r="CD146" s="59">
        <f ca="1">AVERAGE(OFFSET($CC$3,0,0,'Données projet'!$E$12+1,1))-AVERAGE(OFFSET($H$3,0,0,'Données projet'!$E$12+1,1))</f>
        <v>265.17389489035344</v>
      </c>
      <c r="CE146" s="59">
        <f t="shared" si="148"/>
        <v>101.57852403610769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42.187335438974657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42.187335438974657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-1.7053025658242404E-13</v>
      </c>
      <c r="CU146" s="17">
        <f>CT146*VLOOKUP('Données projet'!$B$13,Paramètres!$A$1:$I$89,3,0)*VLOOKUP('Données projet'!$B$13,Paramètres!$A$1:$I$89,5,0)</f>
        <v>-1.0197709343628959E-13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182.34243693018033</v>
      </c>
      <c r="CZ146" s="59">
        <f t="shared" si="150"/>
        <v>182.65916563909786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25.06932216247548</v>
      </c>
      <c r="DG146" s="21">
        <f>EXP(-LN(2)/25)*DG145+(1-EXP(-LN(2)/25))/(LN(2)/25)*Calculateur!DB146*Calculateur!DD146*VLOOKUP('Données projet'!$B$13,Paramètres!$A$1:$I$89,3,0)*0.475*44/12</f>
        <v>3.6186512304452467</v>
      </c>
      <c r="DH146" s="21">
        <f>EXP(-LN(2)/2)*DH145+(1-EXP(-LN(2)/2))/(LN(2)/2)*DB146*DE146*VLOOKUP('Données projet'!$B$13,Paramètres!$A$1:$I$89,3,0)*0.475*44/12</f>
        <v>1.0277811685819831E-11</v>
      </c>
      <c r="DI146" s="22">
        <f t="shared" si="123"/>
        <v>28.687973392931003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6.1378205128205137</v>
      </c>
      <c r="DO146" s="12">
        <f>IF('Données projet'!$A$166&gt;35,DO145+DN146-DW145,IF(A146&lt;'Données projet'!$A$166,$DL$205^A146,IF(A146='Données projet'!$A$166,'Données projet'!$B$166,DO145+DN146-DW145)))</f>
        <v>345.42628205128153</v>
      </c>
      <c r="DP146" s="17">
        <f>DO146*VLOOKUP('Données projet'!$B$14,Paramètres!$A$1:$I$89,3,0)*VLOOKUP('Données projet'!$B$14,Paramètres!$A$1:$I$89,5,0)</f>
        <v>328.70764999999949</v>
      </c>
      <c r="DQ146" s="13">
        <f t="shared" si="151"/>
        <v>77.162308886234584</v>
      </c>
      <c r="DR146" s="20">
        <f t="shared" si="124"/>
        <v>706.89017839352437</v>
      </c>
      <c r="DS146" s="59">
        <f t="shared" si="125"/>
        <v>1000.2235117268576</v>
      </c>
      <c r="DT146" s="59">
        <f ca="1">AVERAGE(OFFSET($DS$3,0,0,'Données projet'!$E$14+1,1))-AVERAGE(OFFSET($H$3,0,0,'Données projet'!$E$14+1,1))</f>
        <v>286.10360882057586</v>
      </c>
      <c r="DU146" s="59">
        <f t="shared" si="152"/>
        <v>109.24531387923128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44.369438996162998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44.369438996162998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526.48696679854902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262.42149466677068</v>
      </c>
      <c r="T147" s="59">
        <f t="shared" si="142"/>
        <v>232.7693253699756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-1.0197709343628959E-13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249.37919739649828</v>
      </c>
      <c r="AO147" s="59">
        <f t="shared" si="144"/>
        <v>315.05045383693073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28.504066269933659</v>
      </c>
      <c r="AV147" s="21">
        <f>EXP(-LN(2)/25)*AV146+(1-EXP(-LN(2)/25))/(LN(2)/25)*Calculateur!AQ147*Calculateur!AS147*VLOOKUP('Données projet'!$B$10,Paramètres!$A$1:$I$89,3,0)*0.475*44/12</f>
        <v>3.8530297279388024</v>
      </c>
      <c r="AW147" s="21">
        <f>EXP(-LN(2)/2)*AW146+(1-EXP(-LN(2)/2))/(LN(2)/2)*AQ147*AT147*VLOOKUP('Données projet'!$B$10,Paramètres!$A$1:$I$89,3,0)*0.475*44/12</f>
        <v>2.2968362681473042E-12</v>
      </c>
      <c r="AX147" s="21">
        <f t="shared" si="114"/>
        <v>32.357095997874758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212.00000000000009</v>
      </c>
      <c r="BE147" s="13">
        <f>BD147*VLOOKUP('Données projet'!$B$11,Paramètres!$A$1:$I$89,3,0)*VLOOKUP('Données projet'!$B$11,Paramètres!$A$1:$I$89,5,0)</f>
        <v>185.20320000000009</v>
      </c>
      <c r="BF147" s="13">
        <f t="shared" si="145"/>
        <v>46.477875402099386</v>
      </c>
      <c r="BG147" s="20">
        <f t="shared" si="115"/>
        <v>403.5112063253232</v>
      </c>
      <c r="BH147" s="59">
        <f t="shared" si="116"/>
        <v>696.84453965865646</v>
      </c>
      <c r="BI147" s="59">
        <f ca="1">AVERAGE(OFFSET($BH$3,0,0,'Données projet'!$E$11+1,1))-AVERAGE(OFFSET($H$3,0,0,'Données projet'!$E$11+1,1))</f>
        <v>186.80594222554424</v>
      </c>
      <c r="BJ147" s="59">
        <f t="shared" si="146"/>
        <v>179.02867751001872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6.2481924101939574</v>
      </c>
      <c r="BQ147" s="21">
        <f>EXP(-LN(2)/25)*BQ146+(1-EXP(-LN(2)/25))/(LN(2)/25)*Calculateur!BL147*Calculateur!BN147*VLOOKUP('Données projet'!$B$11,Paramètres!$A$1:$I$89,3,0)*0.475*44/12</f>
        <v>4.1296727446164585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10.377865154810415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351.5641025641026</v>
      </c>
      <c r="BW147" s="12">
        <f>VLOOKUP(A147,'Données projet'!$A$113:$I$133,9,0)</f>
        <v>6.1378205128205137</v>
      </c>
      <c r="BX147" s="12">
        <f t="array" ref="BX147">INDEX(BW:BW,MIN(IF(ISNUMBER(BW147:BW343),ROW(BW147:BW343),"")))</f>
        <v>6.1378205128205137</v>
      </c>
      <c r="BY147" s="12">
        <f>IF('Données projet'!$A$114&gt;35,BY146+BX147-CG146,IF(A147&lt;'Données projet'!$A$114,$BV$205^A147,IF(A147='Données projet'!$A$114,'Données projet'!$B$114,BY146+BX147-CG146)))</f>
        <v>351.56410256410203</v>
      </c>
      <c r="BZ147" s="13">
        <f>BY147*VLOOKUP('Données projet'!$B$12,Paramètres!$A$1:$I$89,3,0)*VLOOKUP('Données projet'!$B$12,Paramètres!$A$1:$I$89,5,0)</f>
        <v>318.09519999999947</v>
      </c>
      <c r="CA147" s="13">
        <f t="shared" si="147"/>
        <v>74.956885370533442</v>
      </c>
      <c r="CB147" s="20">
        <f t="shared" si="118"/>
        <v>684.56571535367812</v>
      </c>
      <c r="CC147" s="59">
        <f t="shared" si="119"/>
        <v>977.89904868701137</v>
      </c>
      <c r="CD147" s="59">
        <f ca="1">AVERAGE(OFFSET($CC$3,0,0,'Données projet'!$E$12+1,1))-AVERAGE(OFFSET($H$3,0,0,'Données projet'!$E$12+1,1))</f>
        <v>265.17389489035344</v>
      </c>
      <c r="CE147" s="59">
        <f t="shared" si="148"/>
        <v>101.57852403610769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42.224358974358978</v>
      </c>
      <c r="CH147" s="16">
        <f>IF(ISNA(VLOOKUP(A147,'Données projet'!$A$113:$I$133,5,0)),0%,VLOOKUP(A147,'Données projet'!$A$113:$I$133,5,0)*VLOOKUP('Données projet'!$B$12,Paramètres!$A$1:$I$89,7,0))</f>
        <v>0.38700000000000001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57.704646289907245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57.704646289907245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-1.7053025658242404E-13</v>
      </c>
      <c r="CU147" s="17">
        <f>CT147*VLOOKUP('Données projet'!$B$13,Paramètres!$A$1:$I$89,3,0)*VLOOKUP('Données projet'!$B$13,Paramètres!$A$1:$I$89,5,0)</f>
        <v>-1.0197709343628959E-13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182.34243693018033</v>
      </c>
      <c r="CZ147" s="59">
        <f t="shared" si="150"/>
        <v>182.65916563909786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24.577728045646015</v>
      </c>
      <c r="DG147" s="21">
        <f>EXP(-LN(2)/25)*DG146+(1-EXP(-LN(2)/25))/(LN(2)/25)*Calculateur!DB147*Calculateur!DD147*VLOOKUP('Données projet'!$B$13,Paramètres!$A$1:$I$89,3,0)*0.475*44/12</f>
        <v>3.5196990222521238</v>
      </c>
      <c r="DH147" s="21">
        <f>EXP(-LN(2)/2)*DH146+(1-EXP(-LN(2)/2))/(LN(2)/2)*DB147*DE147*VLOOKUP('Données projet'!$B$13,Paramètres!$A$1:$I$89,3,0)*0.475*44/12</f>
        <v>7.2675103388015451E-12</v>
      </c>
      <c r="DI147" s="22">
        <f t="shared" si="123"/>
        <v>28.097427067905407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>
        <f>VLOOKUP(A147,'Données projet'!$A$165:$I$185,2,0)</f>
        <v>351.5641025641026</v>
      </c>
      <c r="DM147" s="12">
        <f>VLOOKUP(A147,'Données projet'!$A$165:$I$185,9,0)</f>
        <v>6.1378205128205137</v>
      </c>
      <c r="DN147" s="12">
        <f t="array" ref="DN147">INDEX(DM:DM,MIN(IF(ISNUMBER(DM147:DM343),ROW(DM147:DM343),"")))</f>
        <v>6.1378205128205137</v>
      </c>
      <c r="DO147" s="12">
        <f>IF('Données projet'!$A$166&gt;35,DO146+DN147-DW146,IF(A147&lt;'Données projet'!$A$166,$DL$205^A147,IF(A147='Données projet'!$A$166,'Données projet'!$B$166,DO146+DN147-DW146)))</f>
        <v>351.56410256410203</v>
      </c>
      <c r="DP147" s="17">
        <f>DO147*VLOOKUP('Données projet'!$B$14,Paramètres!$A$1:$I$89,3,0)*VLOOKUP('Données projet'!$B$14,Paramètres!$A$1:$I$89,5,0)</f>
        <v>334.5483999999995</v>
      </c>
      <c r="DQ147" s="13">
        <f t="shared" si="151"/>
        <v>78.372553940734704</v>
      </c>
      <c r="DR147" s="20">
        <f t="shared" si="124"/>
        <v>719.17066144677858</v>
      </c>
      <c r="DS147" s="59">
        <f t="shared" si="125"/>
        <v>1012.503994780112</v>
      </c>
      <c r="DT147" s="59">
        <f ca="1">AVERAGE(OFFSET($DS$3,0,0,'Données projet'!$E$14+1,1))-AVERAGE(OFFSET($H$3,0,0,'Données projet'!$E$14+1,1))</f>
        <v>286.10360882057586</v>
      </c>
      <c r="DU147" s="59">
        <f t="shared" si="152"/>
        <v>109.24531387923128</v>
      </c>
      <c r="DV147" s="15">
        <f>IF(ISNA(VLOOKUP(A147,'Données projet'!$A$165:$I$185,3,0)),0,VLOOKUP(A147,'Données projet'!$A$165:$I$185,3,0))</f>
        <v>12</v>
      </c>
      <c r="DW147" s="15">
        <f>IF(ISNA(VLOOKUP(A147,'Données projet'!$A$165:$I$185,4,0)),0,VLOOKUP(A147,'Données projet'!$A$165:$I$185,4,0))</f>
        <v>42.224358974358978</v>
      </c>
      <c r="DX147" s="16">
        <f>IF(ISNA(VLOOKUP(A147,'Données projet'!$A$165:$I$185,5,0)),0%,VLOOKUP(A147,'Données projet'!$A$165:$I$185,5,0)*VLOOKUP('Données projet'!$B$14,Paramètres!$A$1:$I$89,7,0))</f>
        <v>0.38700000000000001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60.689369373867962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60.689369373867962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528.06614316713558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262.42149466677068</v>
      </c>
      <c r="T148" s="59">
        <f t="shared" si="142"/>
        <v>232.7693253699756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-1.0197709343628959E-13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249.37919739649828</v>
      </c>
      <c r="AO148" s="59">
        <f t="shared" si="144"/>
        <v>315.05045383693073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27.945118916143983</v>
      </c>
      <c r="AV148" s="21">
        <f>EXP(-LN(2)/25)*AV147+(1-EXP(-LN(2)/25))/(LN(2)/25)*Calculateur!AQ148*Calculateur!AS148*VLOOKUP('Données projet'!$B$10,Paramètres!$A$1:$I$89,3,0)*0.475*44/12</f>
        <v>3.7476684274062886</v>
      </c>
      <c r="AW148" s="21">
        <f>EXP(-LN(2)/2)*AW147+(1-EXP(-LN(2)/2))/(LN(2)/2)*AQ148*AT148*VLOOKUP('Données projet'!$B$10,Paramètres!$A$1:$I$89,3,0)*0.475*44/12</f>
        <v>1.6241085004821623E-12</v>
      </c>
      <c r="AX148" s="21">
        <f t="shared" si="114"/>
        <v>31.692787343551895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212.00000000000009</v>
      </c>
      <c r="BE148" s="13">
        <f>BD148*VLOOKUP('Données projet'!$B$11,Paramètres!$A$1:$I$89,3,0)*VLOOKUP('Données projet'!$B$11,Paramètres!$A$1:$I$89,5,0)</f>
        <v>185.20320000000009</v>
      </c>
      <c r="BF148" s="13">
        <f t="shared" si="145"/>
        <v>46.477875402099386</v>
      </c>
      <c r="BG148" s="20">
        <f t="shared" si="115"/>
        <v>403.5112063253232</v>
      </c>
      <c r="BH148" s="59">
        <f t="shared" si="116"/>
        <v>696.84453965865646</v>
      </c>
      <c r="BI148" s="59">
        <f ca="1">AVERAGE(OFFSET($BH$3,0,0,'Données projet'!$E$11+1,1))-AVERAGE(OFFSET($H$3,0,0,'Données projet'!$E$11+1,1))</f>
        <v>186.80594222554424</v>
      </c>
      <c r="BJ148" s="59">
        <f t="shared" si="146"/>
        <v>179.02867751001872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6.1256691680511173</v>
      </c>
      <c r="BQ148" s="21">
        <f>EXP(-LN(2)/25)*BQ147+(1-EXP(-LN(2)/25))/(LN(2)/25)*Calculateur!BL148*Calculateur!BN148*VLOOKUP('Données projet'!$B$11,Paramètres!$A$1:$I$89,3,0)*0.475*44/12</f>
        <v>4.0167466262448706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10.142415794295989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6.2499999999999947</v>
      </c>
      <c r="BY148" s="12">
        <f>IF('Données projet'!$A$114&gt;35,BY147+BX148-CG147,IF(A148&lt;'Données projet'!$A$114,$BV$205^A148,IF(A148='Données projet'!$A$114,'Données projet'!$B$114,BY147+BX148-CG147)))</f>
        <v>315.58974358974308</v>
      </c>
      <c r="BZ148" s="13">
        <f>BY148*VLOOKUP('Données projet'!$B$12,Paramètres!$A$1:$I$89,3,0)*VLOOKUP('Données projet'!$B$12,Paramètres!$A$1:$I$89,5,0)</f>
        <v>285.54559999999952</v>
      </c>
      <c r="CA148" s="13">
        <f t="shared" si="147"/>
        <v>68.137612539795967</v>
      </c>
      <c r="CB148" s="20">
        <f t="shared" si="118"/>
        <v>615.99826184014375</v>
      </c>
      <c r="CC148" s="59">
        <f t="shared" si="119"/>
        <v>909.33159517347713</v>
      </c>
      <c r="CD148" s="59">
        <f ca="1">AVERAGE(OFFSET($CC$3,0,0,'Données projet'!$E$12+1,1))-AVERAGE(OFFSET($H$3,0,0,'Données projet'!$E$12+1,1))</f>
        <v>265.17389489035344</v>
      </c>
      <c r="CE148" s="59">
        <f t="shared" si="148"/>
        <v>101.57852403610769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56.573093372521051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56.573093372521051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-1.7053025658242404E-13</v>
      </c>
      <c r="CU148" s="17">
        <f>CT148*VLOOKUP('Données projet'!$B$13,Paramètres!$A$1:$I$89,3,0)*VLOOKUP('Données projet'!$B$13,Paramètres!$A$1:$I$89,5,0)</f>
        <v>-1.0197709343628959E-13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182.34243693018033</v>
      </c>
      <c r="CZ148" s="59">
        <f t="shared" si="150"/>
        <v>182.65916563909786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24.095773789604774</v>
      </c>
      <c r="DG148" s="21">
        <f>EXP(-LN(2)/25)*DG147+(1-EXP(-LN(2)/25))/(LN(2)/25)*Calculateur!DB148*Calculateur!DD148*VLOOKUP('Données projet'!$B$13,Paramètres!$A$1:$I$89,3,0)*0.475*44/12</f>
        <v>3.4234526673957122</v>
      </c>
      <c r="DH148" s="21">
        <f>EXP(-LN(2)/2)*DH147+(1-EXP(-LN(2)/2))/(LN(2)/2)*DB148*DE148*VLOOKUP('Données projet'!$B$13,Paramètres!$A$1:$I$89,3,0)*0.475*44/12</f>
        <v>5.1389058429099163E-12</v>
      </c>
      <c r="DI148" s="22">
        <f t="shared" si="123"/>
        <v>27.519226457005622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6.2499999999999947</v>
      </c>
      <c r="DO148" s="12">
        <f>IF('Données projet'!$A$166&gt;35,DO147+DN148-DW147,IF(A148&lt;'Données projet'!$A$166,$DL$205^A148,IF(A148='Données projet'!$A$166,'Données projet'!$B$166,DO147+DN148-DW147)))</f>
        <v>315.58974358974308</v>
      </c>
      <c r="DP148" s="17">
        <f>DO148*VLOOKUP('Données projet'!$B$14,Paramètres!$A$1:$I$89,3,0)*VLOOKUP('Données projet'!$B$14,Paramètres!$A$1:$I$89,5,0)</f>
        <v>300.31519999999949</v>
      </c>
      <c r="DQ148" s="13">
        <f t="shared" si="151"/>
        <v>71.242537463640645</v>
      </c>
      <c r="DR148" s="20">
        <f t="shared" si="124"/>
        <v>647.12972608250652</v>
      </c>
      <c r="DS148" s="59">
        <f t="shared" si="125"/>
        <v>940.46305941583978</v>
      </c>
      <c r="DT148" s="59">
        <f ca="1">AVERAGE(OFFSET($DS$3,0,0,'Données projet'!$E$14+1,1))-AVERAGE(OFFSET($H$3,0,0,'Données projet'!$E$14+1,1))</f>
        <v>286.10360882057586</v>
      </c>
      <c r="DU148" s="59">
        <f t="shared" si="152"/>
        <v>109.24531387923128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59.499287857306619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59.499287857306619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529.64507704831817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262.42149466677068</v>
      </c>
      <c r="T149" s="59">
        <f t="shared" si="142"/>
        <v>232.7693253699756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-1.0197709343628959E-13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249.37919739649828</v>
      </c>
      <c r="AO149" s="59">
        <f t="shared" si="144"/>
        <v>315.05045383693073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27.3971321790379</v>
      </c>
      <c r="AV149" s="21">
        <f>EXP(-LN(2)/25)*AV148+(1-EXP(-LN(2)/25))/(LN(2)/25)*Calculateur!AQ149*Calculateur!AS149*VLOOKUP('Données projet'!$B$10,Paramètres!$A$1:$I$89,3,0)*0.475*44/12</f>
        <v>3.6451882371775466</v>
      </c>
      <c r="AW149" s="21">
        <f>EXP(-LN(2)/2)*AW148+(1-EXP(-LN(2)/2))/(LN(2)/2)*AQ149*AT149*VLOOKUP('Données projet'!$B$10,Paramètres!$A$1:$I$89,3,0)*0.475*44/12</f>
        <v>1.1484181340736521E-12</v>
      </c>
      <c r="AX149" s="21">
        <f t="shared" si="114"/>
        <v>31.042320416216594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212.00000000000009</v>
      </c>
      <c r="BE149" s="13">
        <f>BD149*VLOOKUP('Données projet'!$B$11,Paramètres!$A$1:$I$89,3,0)*VLOOKUP('Données projet'!$B$11,Paramètres!$A$1:$I$89,5,0)</f>
        <v>185.20320000000009</v>
      </c>
      <c r="BF149" s="13">
        <f t="shared" si="145"/>
        <v>46.477875402099386</v>
      </c>
      <c r="BG149" s="20">
        <f t="shared" si="115"/>
        <v>403.5112063253232</v>
      </c>
      <c r="BH149" s="59">
        <f t="shared" si="116"/>
        <v>696.84453965865646</v>
      </c>
      <c r="BI149" s="59">
        <f ca="1">AVERAGE(OFFSET($BH$3,0,0,'Données projet'!$E$11+1,1))-AVERAGE(OFFSET($H$3,0,0,'Données projet'!$E$11+1,1))</f>
        <v>186.80594222554424</v>
      </c>
      <c r="BJ149" s="59">
        <f t="shared" si="146"/>
        <v>179.02867751001872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6.0055485319548998</v>
      </c>
      <c r="BQ149" s="21">
        <f>EXP(-LN(2)/25)*BQ148+(1-EXP(-LN(2)/25))/(LN(2)/25)*Calculateur!BL149*Calculateur!BN149*VLOOKUP('Données projet'!$B$11,Paramètres!$A$1:$I$89,3,0)*0.475*44/12</f>
        <v>3.9069084785186798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9.9124570104735792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6.2499999999999947</v>
      </c>
      <c r="BY149" s="12">
        <f>IF('Données projet'!$A$114&gt;35,BY148+BX149-CG148,IF(A149&lt;'Données projet'!$A$114,$BV$205^A149,IF(A149='Données projet'!$A$114,'Données projet'!$B$114,BY148+BX149-CG148)))</f>
        <v>321.83974358974308</v>
      </c>
      <c r="BZ149" s="13">
        <f>BY149*VLOOKUP('Données projet'!$B$12,Paramètres!$A$1:$I$89,3,0)*VLOOKUP('Données projet'!$B$12,Paramètres!$A$1:$I$89,5,0)</f>
        <v>291.20059999999955</v>
      </c>
      <c r="CA149" s="13">
        <f t="shared" si="147"/>
        <v>69.328587287431986</v>
      </c>
      <c r="CB149" s="20">
        <f t="shared" si="118"/>
        <v>627.92166785894335</v>
      </c>
      <c r="CC149" s="59">
        <f t="shared" si="119"/>
        <v>921.25500119227672</v>
      </c>
      <c r="CD149" s="59">
        <f ca="1">AVERAGE(OFFSET($CC$3,0,0,'Données projet'!$E$12+1,1))-AVERAGE(OFFSET($H$3,0,0,'Données projet'!$E$12+1,1))</f>
        <v>265.17389489035344</v>
      </c>
      <c r="CE149" s="59">
        <f t="shared" si="148"/>
        <v>101.57852403610769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55.463729517665669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55.463729517665669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-1.7053025658242404E-13</v>
      </c>
      <c r="CU149" s="17">
        <f>CT149*VLOOKUP('Données projet'!$B$13,Paramètres!$A$1:$I$89,3,0)*VLOOKUP('Données projet'!$B$13,Paramètres!$A$1:$I$89,5,0)</f>
        <v>-1.0197709343628959E-13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182.34243693018033</v>
      </c>
      <c r="CZ149" s="59">
        <f t="shared" si="150"/>
        <v>182.65916563909786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23.623270362561431</v>
      </c>
      <c r="DG149" s="21">
        <f>EXP(-LN(2)/25)*DG148+(1-EXP(-LN(2)/25))/(LN(2)/25)*Calculateur!DB149*Calculateur!DD149*VLOOKUP('Données projet'!$B$13,Paramètres!$A$1:$I$89,3,0)*0.475*44/12</f>
        <v>3.3298381741742249</v>
      </c>
      <c r="DH149" s="21">
        <f>EXP(-LN(2)/2)*DH148+(1-EXP(-LN(2)/2))/(LN(2)/2)*DB149*DE149*VLOOKUP('Données projet'!$B$13,Paramètres!$A$1:$I$89,3,0)*0.475*44/12</f>
        <v>3.6337551694007729E-12</v>
      </c>
      <c r="DI149" s="22">
        <f t="shared" si="123"/>
        <v>26.95310853673929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6.2499999999999947</v>
      </c>
      <c r="DO149" s="12">
        <f>IF('Données projet'!$A$166&gt;35,DO148+DN149-DW148,IF(A149&lt;'Données projet'!$A$166,$DL$205^A149,IF(A149='Données projet'!$A$166,'Données projet'!$B$166,DO148+DN149-DW148)))</f>
        <v>321.83974358974308</v>
      </c>
      <c r="DP149" s="17">
        <f>DO149*VLOOKUP('Données projet'!$B$14,Paramètres!$A$1:$I$89,3,0)*VLOOKUP('Données projet'!$B$14,Paramètres!$A$1:$I$89,5,0)</f>
        <v>306.26269999999948</v>
      </c>
      <c r="DQ149" s="13">
        <f t="shared" si="151"/>
        <v>72.487783076365176</v>
      </c>
      <c r="DR149" s="20">
        <f t="shared" si="124"/>
        <v>659.65709135800182</v>
      </c>
      <c r="DS149" s="59">
        <f t="shared" si="125"/>
        <v>952.99042469133519</v>
      </c>
      <c r="DT149" s="59">
        <f ca="1">AVERAGE(OFFSET($DS$3,0,0,'Données projet'!$E$14+1,1))-AVERAGE(OFFSET($H$3,0,0,'Données projet'!$E$14+1,1))</f>
        <v>286.10360882057586</v>
      </c>
      <c r="DU149" s="59">
        <f t="shared" si="152"/>
        <v>109.24531387923128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58.332543113406992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58.332543113406992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531.22377029558493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262.42149466677068</v>
      </c>
      <c r="T150" s="59">
        <f t="shared" si="142"/>
        <v>232.7693253699756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-1.0197709343628959E-13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249.37919739649828</v>
      </c>
      <c r="AO150" s="59">
        <f t="shared" si="144"/>
        <v>315.05045383693073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26.859891127607561</v>
      </c>
      <c r="AV150" s="21">
        <f>EXP(-LN(2)/25)*AV149+(1-EXP(-LN(2)/25))/(LN(2)/25)*Calculateur!AQ150*Calculateur!AS150*VLOOKUP('Données projet'!$B$10,Paramètres!$A$1:$I$89,3,0)*0.475*44/12</f>
        <v>3.5455103731398085</v>
      </c>
      <c r="AW150" s="21">
        <f>EXP(-LN(2)/2)*AW149+(1-EXP(-LN(2)/2))/(LN(2)/2)*AQ150*AT150*VLOOKUP('Données projet'!$B$10,Paramètres!$A$1:$I$89,3,0)*0.475*44/12</f>
        <v>8.1205425024108113E-13</v>
      </c>
      <c r="AX150" s="21">
        <f t="shared" si="114"/>
        <v>30.405401500748184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212.00000000000009</v>
      </c>
      <c r="BE150" s="13">
        <f>BD150*VLOOKUP('Données projet'!$B$11,Paramètres!$A$1:$I$89,3,0)*VLOOKUP('Données projet'!$B$11,Paramètres!$A$1:$I$89,5,0)</f>
        <v>185.20320000000009</v>
      </c>
      <c r="BF150" s="13">
        <f t="shared" si="145"/>
        <v>46.477875402099386</v>
      </c>
      <c r="BG150" s="20">
        <f t="shared" si="115"/>
        <v>403.5112063253232</v>
      </c>
      <c r="BH150" s="59">
        <f t="shared" si="116"/>
        <v>696.84453965865646</v>
      </c>
      <c r="BI150" s="59">
        <f ca="1">AVERAGE(OFFSET($BH$3,0,0,'Données projet'!$E$11+1,1))-AVERAGE(OFFSET($H$3,0,0,'Données projet'!$E$11+1,1))</f>
        <v>186.80594222554424</v>
      </c>
      <c r="BJ150" s="59">
        <f t="shared" si="146"/>
        <v>179.02867751001872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5.8877833882661754</v>
      </c>
      <c r="BQ150" s="21">
        <f>EXP(-LN(2)/25)*BQ149+(1-EXP(-LN(2)/25))/(LN(2)/25)*Calculateur!BL150*Calculateur!BN150*VLOOKUP('Données projet'!$B$11,Paramètres!$A$1:$I$89,3,0)*0.475*44/12</f>
        <v>3.8000738607181992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9.6878572489843755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6.2499999999999947</v>
      </c>
      <c r="BY150" s="12">
        <f>IF('Données projet'!$A$114&gt;35,BY149+BX150-CG149,IF(A150&lt;'Données projet'!$A$114,$BV$205^A150,IF(A150='Données projet'!$A$114,'Données projet'!$B$114,BY149+BX150-CG149)))</f>
        <v>328.08974358974308</v>
      </c>
      <c r="BZ150" s="13">
        <f>BY150*VLOOKUP('Données projet'!$B$12,Paramètres!$A$1:$I$89,3,0)*VLOOKUP('Données projet'!$B$12,Paramètres!$A$1:$I$89,5,0)</f>
        <v>296.85559999999953</v>
      </c>
      <c r="CA150" s="13">
        <f t="shared" si="147"/>
        <v>70.516872767727662</v>
      </c>
      <c r="CB150" s="20">
        <f t="shared" si="118"/>
        <v>639.84039007045806</v>
      </c>
      <c r="CC150" s="59">
        <f t="shared" si="119"/>
        <v>933.17372340379143</v>
      </c>
      <c r="CD150" s="59">
        <f ca="1">AVERAGE(OFFSET($CC$3,0,0,'Données projet'!$E$12+1,1))-AVERAGE(OFFSET($H$3,0,0,'Données projet'!$E$12+1,1))</f>
        <v>265.17389489035344</v>
      </c>
      <c r="CE150" s="59">
        <f t="shared" si="148"/>
        <v>101.57852403610769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54.37611961135886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54.37611961135886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-1.7053025658242404E-13</v>
      </c>
      <c r="CU150" s="17">
        <f>CT150*VLOOKUP('Données projet'!$B$13,Paramètres!$A$1:$I$89,3,0)*VLOOKUP('Données projet'!$B$13,Paramètres!$A$1:$I$89,5,0)</f>
        <v>-1.0197709343628959E-13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182.34243693018033</v>
      </c>
      <c r="CZ150" s="59">
        <f t="shared" si="150"/>
        <v>182.65916563909786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23.160032439523775</v>
      </c>
      <c r="DG150" s="21">
        <f>EXP(-LN(2)/25)*DG149+(1-EXP(-LN(2)/25))/(LN(2)/25)*Calculateur!DB150*Calculateur!DD150*VLOOKUP('Données projet'!$B$13,Paramètres!$A$1:$I$89,3,0)*0.475*44/12</f>
        <v>3.2387835741928517</v>
      </c>
      <c r="DH150" s="21">
        <f>EXP(-LN(2)/2)*DH149+(1-EXP(-LN(2)/2))/(LN(2)/2)*DB150*DE150*VLOOKUP('Données projet'!$B$13,Paramètres!$A$1:$I$89,3,0)*0.475*44/12</f>
        <v>2.5694529214549585E-12</v>
      </c>
      <c r="DI150" s="22">
        <f t="shared" si="123"/>
        <v>26.398816013719195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6.2499999999999947</v>
      </c>
      <c r="DO150" s="12">
        <f>IF('Données projet'!$A$166&gt;35,DO149+DN150-DW149,IF(A150&lt;'Données projet'!$A$166,$DL$205^A150,IF(A150='Données projet'!$A$166,'Données projet'!$B$166,DO149+DN150-DW149)))</f>
        <v>328.08974358974308</v>
      </c>
      <c r="DP150" s="17">
        <f>DO150*VLOOKUP('Données projet'!$B$14,Paramètres!$A$1:$I$89,3,0)*VLOOKUP('Données projet'!$B$14,Paramètres!$A$1:$I$89,5,0)</f>
        <v>312.21019999999953</v>
      </c>
      <c r="DQ150" s="13">
        <f t="shared" si="151"/>
        <v>73.730216876023476</v>
      </c>
      <c r="DR150" s="20">
        <f t="shared" si="124"/>
        <v>672.17955939240665</v>
      </c>
      <c r="DS150" s="59">
        <f t="shared" si="125"/>
        <v>965.5128927257399</v>
      </c>
      <c r="DT150" s="59">
        <f ca="1">AVERAGE(OFFSET($DS$3,0,0,'Données projet'!$E$14+1,1))-AVERAGE(OFFSET($H$3,0,0,'Données projet'!$E$14+1,1))</f>
        <v>286.10360882057586</v>
      </c>
      <c r="DU150" s="59">
        <f t="shared" si="152"/>
        <v>109.24531387923128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57.188677522291215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57.188677522291215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532.80222473574895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262.42149466677068</v>
      </c>
      <c r="T151" s="59">
        <f t="shared" si="142"/>
        <v>232.7693253699756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-1.0197709343628959E-13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249.37919739649828</v>
      </c>
      <c r="AO151" s="59">
        <f t="shared" si="144"/>
        <v>315.05045383693073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26.333185045511087</v>
      </c>
      <c r="AV151" s="21">
        <f>EXP(-LN(2)/25)*AV150+(1-EXP(-LN(2)/25))/(LN(2)/25)*Calculateur!AQ151*Calculateur!AS151*VLOOKUP('Données projet'!$B$10,Paramètres!$A$1:$I$89,3,0)*0.475*44/12</f>
        <v>3.4485582055360133</v>
      </c>
      <c r="AW151" s="21">
        <f>EXP(-LN(2)/2)*AW150+(1-EXP(-LN(2)/2))/(LN(2)/2)*AQ151*AT151*VLOOKUP('Données projet'!$B$10,Paramètres!$A$1:$I$89,3,0)*0.475*44/12</f>
        <v>5.7420906703682605E-13</v>
      </c>
      <c r="AX151" s="21">
        <f t="shared" si="114"/>
        <v>29.781743251047676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212.00000000000009</v>
      </c>
      <c r="BE151" s="13">
        <f>BD151*VLOOKUP('Données projet'!$B$11,Paramètres!$A$1:$I$89,3,0)*VLOOKUP('Données projet'!$B$11,Paramètres!$A$1:$I$89,5,0)</f>
        <v>185.20320000000009</v>
      </c>
      <c r="BF151" s="13">
        <f t="shared" si="145"/>
        <v>46.477875402099386</v>
      </c>
      <c r="BG151" s="20">
        <f t="shared" si="115"/>
        <v>403.5112063253232</v>
      </c>
      <c r="BH151" s="59">
        <f t="shared" si="116"/>
        <v>696.84453965865646</v>
      </c>
      <c r="BI151" s="59">
        <f ca="1">AVERAGE(OFFSET($BH$3,0,0,'Données projet'!$E$11+1,1))-AVERAGE(OFFSET($H$3,0,0,'Données projet'!$E$11+1,1))</f>
        <v>186.80594222554424</v>
      </c>
      <c r="BJ151" s="59">
        <f t="shared" si="146"/>
        <v>179.02867751001872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5.772327547215542</v>
      </c>
      <c r="BQ151" s="21">
        <f>EXP(-LN(2)/25)*BQ150+(1-EXP(-LN(2)/25))/(LN(2)/25)*Calculateur!BL151*Calculateur!BN151*VLOOKUP('Données projet'!$B$11,Paramètres!$A$1:$I$89,3,0)*0.475*44/12</f>
        <v>3.6961606411596608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9.4684881883752023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6.2499999999999947</v>
      </c>
      <c r="BY151" s="12">
        <f>IF('Données projet'!$A$114&gt;35,BY150+BX151-CG150,IF(A151&lt;'Données projet'!$A$114,$BV$205^A151,IF(A151='Données projet'!$A$114,'Données projet'!$B$114,BY150+BX151-CG150)))</f>
        <v>334.33974358974308</v>
      </c>
      <c r="BZ151" s="13">
        <f>BY151*VLOOKUP('Données projet'!$B$12,Paramètres!$A$1:$I$89,3,0)*VLOOKUP('Données projet'!$B$12,Paramètres!$A$1:$I$89,5,0)</f>
        <v>302.51059999999956</v>
      </c>
      <c r="CA151" s="13">
        <f t="shared" si="147"/>
        <v>71.702526117067052</v>
      </c>
      <c r="CB151" s="20">
        <f t="shared" si="118"/>
        <v>651.75452798722438</v>
      </c>
      <c r="CC151" s="59">
        <f t="shared" si="119"/>
        <v>945.08786132055775</v>
      </c>
      <c r="CD151" s="59">
        <f ca="1">AVERAGE(OFFSET($CC$3,0,0,'Données projet'!$E$12+1,1))-AVERAGE(OFFSET($H$3,0,0,'Données projet'!$E$12+1,1))</f>
        <v>265.17389489035344</v>
      </c>
      <c r="CE151" s="59">
        <f t="shared" si="148"/>
        <v>101.57852403610769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53.30983707193819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53.30983707193819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-1.7053025658242404E-13</v>
      </c>
      <c r="CU151" s="17">
        <f>CT151*VLOOKUP('Données projet'!$B$13,Paramètres!$A$1:$I$89,3,0)*VLOOKUP('Données projet'!$B$13,Paramètres!$A$1:$I$89,5,0)</f>
        <v>-1.0197709343628959E-13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182.34243693018033</v>
      </c>
      <c r="CZ151" s="59">
        <f t="shared" si="150"/>
        <v>182.65916563909786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22.705878329609654</v>
      </c>
      <c r="DG151" s="21">
        <f>EXP(-LN(2)/25)*DG150+(1-EXP(-LN(2)/25))/(LN(2)/25)*Calculateur!DB151*Calculateur!DD151*VLOOKUP('Données projet'!$B$13,Paramètres!$A$1:$I$89,3,0)*0.475*44/12</f>
        <v>3.1502188670363225</v>
      </c>
      <c r="DH151" s="21">
        <f>EXP(-LN(2)/2)*DH150+(1-EXP(-LN(2)/2))/(LN(2)/2)*DB151*DE151*VLOOKUP('Données projet'!$B$13,Paramètres!$A$1:$I$89,3,0)*0.475*44/12</f>
        <v>1.8168775847003869E-12</v>
      </c>
      <c r="DI151" s="22">
        <f t="shared" si="123"/>
        <v>25.856097196647791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6.2499999999999947</v>
      </c>
      <c r="DO151" s="12">
        <f>IF('Données projet'!$A$166&gt;35,DO150+DN151-DW150,IF(A151&lt;'Données projet'!$A$166,$DL$205^A151,IF(A151='Données projet'!$A$166,'Données projet'!$B$166,DO150+DN151-DW150)))</f>
        <v>334.33974358974308</v>
      </c>
      <c r="DP151" s="17">
        <f>DO151*VLOOKUP('Données projet'!$B$14,Paramètres!$A$1:$I$89,3,0)*VLOOKUP('Données projet'!$B$14,Paramètres!$A$1:$I$89,5,0)</f>
        <v>318.15769999999952</v>
      </c>
      <c r="DQ151" s="13">
        <f t="shared" si="151"/>
        <v>74.969898602615714</v>
      </c>
      <c r="DR151" s="20">
        <f t="shared" si="124"/>
        <v>684.69723423288826</v>
      </c>
      <c r="DS151" s="59">
        <f t="shared" si="125"/>
        <v>978.03056756622163</v>
      </c>
      <c r="DT151" s="59">
        <f ca="1">AVERAGE(OFFSET($DS$3,0,0,'Données projet'!$E$14+1,1))-AVERAGE(OFFSET($H$3,0,0,'Données projet'!$E$14+1,1))</f>
        <v>286.10360882057586</v>
      </c>
      <c r="DU151" s="59">
        <f t="shared" si="152"/>
        <v>109.24531387923128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56.067242437728098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56.067242437728098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534.38044216950959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262.42149466677068</v>
      </c>
      <c r="T152" s="59">
        <f t="shared" si="142"/>
        <v>232.7693253699756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-1.0197709343628959E-13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249.37919739649828</v>
      </c>
      <c r="AO152" s="59">
        <f t="shared" si="144"/>
        <v>315.05045383693073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25.816807348425534</v>
      </c>
      <c r="AV152" s="21">
        <f>EXP(-LN(2)/25)*AV151+(1-EXP(-LN(2)/25))/(LN(2)/25)*Calculateur!AQ152*Calculateur!AS152*VLOOKUP('Données projet'!$B$10,Paramètres!$A$1:$I$89,3,0)*0.475*44/12</f>
        <v>3.3542572000538367</v>
      </c>
      <c r="AW152" s="21">
        <f>EXP(-LN(2)/2)*AW151+(1-EXP(-LN(2)/2))/(LN(2)/2)*AQ152*AT152*VLOOKUP('Données projet'!$B$10,Paramètres!$A$1:$I$89,3,0)*0.475*44/12</f>
        <v>4.0602712512054057E-13</v>
      </c>
      <c r="AX152" s="21">
        <f t="shared" si="114"/>
        <v>29.171064548479777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212.00000000000009</v>
      </c>
      <c r="BE152" s="13">
        <f>BD152*VLOOKUP('Données projet'!$B$11,Paramètres!$A$1:$I$89,3,0)*VLOOKUP('Données projet'!$B$11,Paramètres!$A$1:$I$89,5,0)</f>
        <v>185.20320000000009</v>
      </c>
      <c r="BF152" s="13">
        <f t="shared" si="145"/>
        <v>46.477875402099386</v>
      </c>
      <c r="BG152" s="20">
        <f t="shared" si="115"/>
        <v>403.5112063253232</v>
      </c>
      <c r="BH152" s="59">
        <f t="shared" si="116"/>
        <v>696.84453965865646</v>
      </c>
      <c r="BI152" s="59">
        <f ca="1">AVERAGE(OFFSET($BH$3,0,0,'Données projet'!$E$11+1,1))-AVERAGE(OFFSET($H$3,0,0,'Données projet'!$E$11+1,1))</f>
        <v>186.80594222554424</v>
      </c>
      <c r="BJ152" s="59">
        <f t="shared" si="146"/>
        <v>179.02867751001872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5.6591357247868013</v>
      </c>
      <c r="BQ152" s="21">
        <f>EXP(-LN(2)/25)*BQ151+(1-EXP(-LN(2)/25))/(LN(2)/25)*Calculateur!BL152*Calculateur!BN152*VLOOKUP('Données projet'!$B$11,Paramètres!$A$1:$I$89,3,0)*0.475*44/12</f>
        <v>3.5950889340545094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9.2542246588413111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6.2499999999999947</v>
      </c>
      <c r="BY152" s="12">
        <f>IF('Données projet'!$A$114&gt;35,BY151+BX152-CG151,IF(A152&lt;'Données projet'!$A$114,$BV$205^A152,IF(A152='Données projet'!$A$114,'Données projet'!$B$114,BY151+BX152-CG151)))</f>
        <v>340.58974358974308</v>
      </c>
      <c r="BZ152" s="13">
        <f>BY152*VLOOKUP('Données projet'!$B$12,Paramètres!$A$1:$I$89,3,0)*VLOOKUP('Données projet'!$B$12,Paramètres!$A$1:$I$89,5,0)</f>
        <v>308.16559999999953</v>
      </c>
      <c r="CA152" s="13">
        <f t="shared" si="147"/>
        <v>72.885602213408205</v>
      </c>
      <c r="CB152" s="20">
        <f t="shared" si="118"/>
        <v>663.6641771883518</v>
      </c>
      <c r="CC152" s="59">
        <f t="shared" si="119"/>
        <v>956.99751052168517</v>
      </c>
      <c r="CD152" s="59">
        <f ca="1">AVERAGE(OFFSET($CC$3,0,0,'Données projet'!$E$12+1,1))-AVERAGE(OFFSET($H$3,0,0,'Données projet'!$E$12+1,1))</f>
        <v>265.17389489035344</v>
      </c>
      <c r="CE152" s="59">
        <f t="shared" si="148"/>
        <v>101.57852403610769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52.264463682747426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52.264463682747426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-1.7053025658242404E-13</v>
      </c>
      <c r="CU152" s="17">
        <f>CT152*VLOOKUP('Données projet'!$B$13,Paramètres!$A$1:$I$89,3,0)*VLOOKUP('Données projet'!$B$13,Paramètres!$A$1:$I$89,5,0)</f>
        <v>-1.0197709343628959E-13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182.34243693018033</v>
      </c>
      <c r="CZ152" s="59">
        <f t="shared" si="150"/>
        <v>182.65916563909786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22.260629904784292</v>
      </c>
      <c r="DG152" s="21">
        <f>EXP(-LN(2)/25)*DG151+(1-EXP(-LN(2)/25))/(LN(2)/25)*Calculateur!DB152*Calculateur!DD152*VLOOKUP('Données projet'!$B$13,Paramètres!$A$1:$I$89,3,0)*0.475*44/12</f>
        <v>3.0640759664544039</v>
      </c>
      <c r="DH152" s="21">
        <f>EXP(-LN(2)/2)*DH151+(1-EXP(-LN(2)/2))/(LN(2)/2)*DB152*DE152*VLOOKUP('Données projet'!$B$13,Paramètres!$A$1:$I$89,3,0)*0.475*44/12</f>
        <v>1.2847264607274795E-12</v>
      </c>
      <c r="DI152" s="22">
        <f t="shared" si="123"/>
        <v>25.324705871239981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6.2499999999999947</v>
      </c>
      <c r="DO152" s="12">
        <f>IF('Données projet'!$A$166&gt;35,DO151+DN152-DW151,IF(A152&lt;'Données projet'!$A$166,$DL$205^A152,IF(A152='Données projet'!$A$166,'Données projet'!$B$166,DO151+DN152-DW151)))</f>
        <v>340.58974358974308</v>
      </c>
      <c r="DP152" s="17">
        <f>DO152*VLOOKUP('Données projet'!$B$14,Paramètres!$A$1:$I$89,3,0)*VLOOKUP('Données projet'!$B$14,Paramètres!$A$1:$I$89,5,0)</f>
        <v>324.10519999999951</v>
      </c>
      <c r="DQ152" s="13">
        <f t="shared" si="151"/>
        <v>76.206885634802902</v>
      </c>
      <c r="DR152" s="20">
        <f t="shared" si="124"/>
        <v>697.21021581394746</v>
      </c>
      <c r="DS152" s="59">
        <f t="shared" si="125"/>
        <v>990.54354914728083</v>
      </c>
      <c r="DT152" s="59">
        <f ca="1">AVERAGE(OFFSET($DS$3,0,0,'Données projet'!$E$14+1,1))-AVERAGE(OFFSET($H$3,0,0,'Données projet'!$E$14+1,1))</f>
        <v>286.10360882057586</v>
      </c>
      <c r="DU152" s="59">
        <f t="shared" si="152"/>
        <v>109.24531387923128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54.967798011165399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54.967798011165399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535.95842437199872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262.42149466677068</v>
      </c>
      <c r="T153" s="59">
        <f t="shared" si="142"/>
        <v>232.7693253699756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-1.0197709343628959E-13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249.37919739649828</v>
      </c>
      <c r="AO153" s="59">
        <f t="shared" si="144"/>
        <v>315.05045383693073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25.310555503020534</v>
      </c>
      <c r="AV153" s="21">
        <f>EXP(-LN(2)/25)*AV152+(1-EXP(-LN(2)/25))/(LN(2)/25)*Calculateur!AQ153*Calculateur!AS153*VLOOKUP('Données projet'!$B$10,Paramètres!$A$1:$I$89,3,0)*0.475*44/12</f>
        <v>3.2625348605256446</v>
      </c>
      <c r="AW153" s="21">
        <f>EXP(-LN(2)/2)*AW152+(1-EXP(-LN(2)/2))/(LN(2)/2)*AQ153*AT153*VLOOKUP('Données projet'!$B$10,Paramètres!$A$1:$I$89,3,0)*0.475*44/12</f>
        <v>2.8710453351841303E-13</v>
      </c>
      <c r="AX153" s="21">
        <f t="shared" si="114"/>
        <v>28.573090363546466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212.00000000000009</v>
      </c>
      <c r="BE153" s="13">
        <f>BD153*VLOOKUP('Données projet'!$B$11,Paramètres!$A$1:$I$89,3,0)*VLOOKUP('Données projet'!$B$11,Paramètres!$A$1:$I$89,5,0)</f>
        <v>185.20320000000009</v>
      </c>
      <c r="BF153" s="13">
        <f t="shared" si="145"/>
        <v>46.477875402099386</v>
      </c>
      <c r="BG153" s="20">
        <f t="shared" si="115"/>
        <v>403.5112063253232</v>
      </c>
      <c r="BH153" s="59">
        <f t="shared" si="116"/>
        <v>696.84453965865646</v>
      </c>
      <c r="BI153" s="59">
        <f ca="1">AVERAGE(OFFSET($BH$3,0,0,'Données projet'!$E$11+1,1))-AVERAGE(OFFSET($H$3,0,0,'Données projet'!$E$11+1,1))</f>
        <v>186.80594222554424</v>
      </c>
      <c r="BJ153" s="59">
        <f t="shared" si="146"/>
        <v>179.02867751001872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5.5481635249556938</v>
      </c>
      <c r="BQ153" s="21">
        <f>EXP(-LN(2)/25)*BQ152+(1-EXP(-LN(2)/25))/(LN(2)/25)*Calculateur!BL153*Calculateur!BN153*VLOOKUP('Données projet'!$B$11,Paramètres!$A$1:$I$89,3,0)*0.475*44/12</f>
        <v>3.4967810380952784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9.0449445630509722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6.2499999999999947</v>
      </c>
      <c r="BY153" s="12">
        <f>IF('Données projet'!$A$114&gt;35,BY152+BX153-CG152,IF(A153&lt;'Données projet'!$A$114,$BV$205^A153,IF(A153='Données projet'!$A$114,'Données projet'!$B$114,BY152+BX153-CG152)))</f>
        <v>346.83974358974308</v>
      </c>
      <c r="BZ153" s="13">
        <f>BY153*VLOOKUP('Données projet'!$B$12,Paramètres!$A$1:$I$89,3,0)*VLOOKUP('Données projet'!$B$12,Paramètres!$A$1:$I$89,5,0)</f>
        <v>313.82059999999956</v>
      </c>
      <c r="CA153" s="13">
        <f t="shared" si="147"/>
        <v>74.066153805327986</v>
      </c>
      <c r="CB153" s="20">
        <f t="shared" si="118"/>
        <v>675.56942954427871</v>
      </c>
      <c r="CC153" s="59">
        <f t="shared" si="119"/>
        <v>968.90276287761208</v>
      </c>
      <c r="CD153" s="59">
        <f ca="1">AVERAGE(OFFSET($CC$3,0,0,'Données projet'!$E$12+1,1))-AVERAGE(OFFSET($H$3,0,0,'Données projet'!$E$12+1,1))</f>
        <v>265.17389489035344</v>
      </c>
      <c r="CE153" s="59">
        <f t="shared" si="148"/>
        <v>101.57852403610769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51.239589428103884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51.239589428103884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-1.7053025658242404E-13</v>
      </c>
      <c r="CU153" s="17">
        <f>CT153*VLOOKUP('Données projet'!$B$13,Paramètres!$A$1:$I$89,3,0)*VLOOKUP('Données projet'!$B$13,Paramètres!$A$1:$I$89,5,0)</f>
        <v>-1.0197709343628959E-13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182.34243693018033</v>
      </c>
      <c r="CZ153" s="59">
        <f t="shared" si="150"/>
        <v>182.65916563909786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21.824112529995034</v>
      </c>
      <c r="DG153" s="21">
        <f>EXP(-LN(2)/25)*DG152+(1-EXP(-LN(2)/25))/(LN(2)/25)*Calculateur!DB153*Calculateur!DD153*VLOOKUP('Données projet'!$B$13,Paramètres!$A$1:$I$89,3,0)*0.475*44/12</f>
        <v>2.9802886480189561</v>
      </c>
      <c r="DH153" s="21">
        <f>EXP(-LN(2)/2)*DH152+(1-EXP(-LN(2)/2))/(LN(2)/2)*DB153*DE153*VLOOKUP('Données projet'!$B$13,Paramètres!$A$1:$I$89,3,0)*0.475*44/12</f>
        <v>9.0843879235019354E-13</v>
      </c>
      <c r="DI153" s="22">
        <f t="shared" si="123"/>
        <v>24.804401178014899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6.2499999999999947</v>
      </c>
      <c r="DO153" s="12">
        <f>IF('Données projet'!$A$166&gt;35,DO152+DN153-DW152,IF(A153&lt;'Données projet'!$A$166,$DL$205^A153,IF(A153='Données projet'!$A$166,'Données projet'!$B$166,DO152+DN153-DW152)))</f>
        <v>346.83974358974308</v>
      </c>
      <c r="DP153" s="17">
        <f>DO153*VLOOKUP('Données projet'!$B$14,Paramètres!$A$1:$I$89,3,0)*VLOOKUP('Données projet'!$B$14,Paramètres!$A$1:$I$89,5,0)</f>
        <v>330.0526999999995</v>
      </c>
      <c r="DQ153" s="13">
        <f t="shared" si="151"/>
        <v>77.441233124832422</v>
      </c>
      <c r="DR153" s="20">
        <f t="shared" si="124"/>
        <v>709.71860019241558</v>
      </c>
      <c r="DS153" s="59">
        <f t="shared" si="125"/>
        <v>1003.0519335257488</v>
      </c>
      <c r="DT153" s="59">
        <f ca="1">AVERAGE(OFFSET($DS$3,0,0,'Données projet'!$E$14+1,1))-AVERAGE(OFFSET($H$3,0,0,'Données projet'!$E$14+1,1))</f>
        <v>286.10360882057586</v>
      </c>
      <c r="DU153" s="59">
        <f t="shared" si="152"/>
        <v>109.24531387923128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53.889913019212713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53.889913019212713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537.53617309331071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262.42149466677068</v>
      </c>
      <c r="T154" s="59">
        <f t="shared" si="142"/>
        <v>232.7693253699756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-1.0197709343628959E-13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249.37919739649828</v>
      </c>
      <c r="AO154" s="59">
        <f t="shared" si="144"/>
        <v>315.05045383693073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24.814230947520791</v>
      </c>
      <c r="AV154" s="21">
        <f>EXP(-LN(2)/25)*AV153+(1-EXP(-LN(2)/25))/(LN(2)/25)*Calculateur!AQ154*Calculateur!AS154*VLOOKUP('Données projet'!$B$10,Paramètres!$A$1:$I$89,3,0)*0.475*44/12</f>
        <v>3.173320673195319</v>
      </c>
      <c r="AW154" s="21">
        <f>EXP(-LN(2)/2)*AW153+(1-EXP(-LN(2)/2))/(LN(2)/2)*AQ154*AT154*VLOOKUP('Données projet'!$B$10,Paramètres!$A$1:$I$89,3,0)*0.475*44/12</f>
        <v>2.0301356256027028E-13</v>
      </c>
      <c r="AX154" s="21">
        <f t="shared" ref="AX154:AX203" si="166">SUM(AU154:AW154)</f>
        <v>27.987551620716314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212.00000000000009</v>
      </c>
      <c r="BE154" s="13">
        <f>BD154*VLOOKUP('Données projet'!$B$11,Paramètres!$A$1:$I$89,3,0)*VLOOKUP('Données projet'!$B$11,Paramètres!$A$1:$I$89,5,0)</f>
        <v>185.20320000000009</v>
      </c>
      <c r="BF154" s="13">
        <f t="shared" ref="BF154:BF203" si="167">EXP(-1.0587+0.8836*LN(BE154)+0.284)</f>
        <v>46.477875402099386</v>
      </c>
      <c r="BG154" s="20">
        <f t="shared" ref="BG154:BG203" si="168">(BE154+BF154)*0.475*44/12</f>
        <v>403.5112063253232</v>
      </c>
      <c r="BH154" s="59">
        <f t="shared" si="116"/>
        <v>696.84453965865646</v>
      </c>
      <c r="BI154" s="59">
        <f ca="1">AVERAGE(OFFSET($BH$3,0,0,'Données projet'!$E$11+1,1))-AVERAGE(OFFSET($H$3,0,0,'Données projet'!$E$11+1,1))</f>
        <v>186.80594222554424</v>
      </c>
      <c r="BJ154" s="59">
        <f t="shared" si="146"/>
        <v>179.02867751001872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5.4393674222769164</v>
      </c>
      <c r="BQ154" s="21">
        <f>EXP(-LN(2)/25)*BQ153+(1-EXP(-LN(2)/25))/(LN(2)/25)*Calculateur!BL154*Calculateur!BN154*VLOOKUP('Données projet'!$B$11,Paramètres!$A$1:$I$89,3,0)*0.475*44/12</f>
        <v>3.4011613767208404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8.8405287989977559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6.2499999999999947</v>
      </c>
      <c r="BY154" s="12">
        <f>IF('Données projet'!$A$114&gt;35,BY153+BX154-CG153,IF(A154&lt;'Données projet'!$A$114,$BV$205^A154,IF(A154='Données projet'!$A$114,'Données projet'!$B$114,BY153+BX154-CG153)))</f>
        <v>353.08974358974308</v>
      </c>
      <c r="BZ154" s="13">
        <f>BY154*VLOOKUP('Données projet'!$B$12,Paramètres!$A$1:$I$89,3,0)*VLOOKUP('Données projet'!$B$12,Paramètres!$A$1:$I$89,5,0)</f>
        <v>319.47559999999953</v>
      </c>
      <c r="CA154" s="13">
        <f t="shared" ref="CA154:CA203" si="170">EXP(-1.0587+0.8836*LN(BZ154)+0.284)</f>
        <v>75.244231631502288</v>
      </c>
      <c r="CB154" s="20">
        <f t="shared" ref="CB154:CB203" si="171">(BZ154+CA154)*0.475*44/12</f>
        <v>687.47037342486567</v>
      </c>
      <c r="CC154" s="59">
        <f t="shared" si="119"/>
        <v>980.80370675819904</v>
      </c>
      <c r="CD154" s="59">
        <f ca="1">AVERAGE(OFFSET($CC$3,0,0,'Données projet'!$E$12+1,1))-AVERAGE(OFFSET($H$3,0,0,'Données projet'!$E$12+1,1))</f>
        <v>265.17389489035344</v>
      </c>
      <c r="CE154" s="59">
        <f t="shared" si="148"/>
        <v>101.57852403610769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50.234812332482335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50.234812332482335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-1.7053025658242404E-13</v>
      </c>
      <c r="CU154" s="17">
        <f>CT154*VLOOKUP('Données projet'!$B$13,Paramètres!$A$1:$I$89,3,0)*VLOOKUP('Données projet'!$B$13,Paramètres!$A$1:$I$89,5,0)</f>
        <v>-1.0197709343628959E-13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182.34243693018033</v>
      </c>
      <c r="CZ154" s="59">
        <f t="shared" si="150"/>
        <v>182.65916563909786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21.396154994676085</v>
      </c>
      <c r="DG154" s="21">
        <f>EXP(-LN(2)/25)*DG153+(1-EXP(-LN(2)/25))/(LN(2)/25)*Calculateur!DB154*Calculateur!DD154*VLOOKUP('Données projet'!$B$13,Paramètres!$A$1:$I$89,3,0)*0.475*44/12</f>
        <v>2.8987924982123094</v>
      </c>
      <c r="DH154" s="21">
        <f>EXP(-LN(2)/2)*DH153+(1-EXP(-LN(2)/2))/(LN(2)/2)*DB154*DE154*VLOOKUP('Données projet'!$B$13,Paramètres!$A$1:$I$89,3,0)*0.475*44/12</f>
        <v>6.4236323036373984E-13</v>
      </c>
      <c r="DI154" s="22">
        <f t="shared" ref="DI154:DI203" si="175">SUM(DF154:DH154)</f>
        <v>24.294947492889037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6.2499999999999947</v>
      </c>
      <c r="DO154" s="12">
        <f>IF('Données projet'!$A$166&gt;35,DO153+DN154-DW153,IF(A154&lt;'Données projet'!$A$166,$DL$205^A154,IF(A154='Données projet'!$A$166,'Données projet'!$B$166,DO153+DN154-DW153)))</f>
        <v>353.08974358974308</v>
      </c>
      <c r="DP154" s="17">
        <f>DO154*VLOOKUP('Données projet'!$B$14,Paramètres!$A$1:$I$89,3,0)*VLOOKUP('Données projet'!$B$14,Paramètres!$A$1:$I$89,5,0)</f>
        <v>336.0001999999995</v>
      </c>
      <c r="DQ154" s="13">
        <f t="shared" ref="DQ154:DQ203" si="176">EXP(-1.0587+0.8836*LN(DP154)+0.284)</f>
        <v>78.672994123462828</v>
      </c>
      <c r="DR154" s="20">
        <f t="shared" ref="DR154:DR203" si="177">(DP154+DQ154)*0.475*44/12</f>
        <v>722.22247976503024</v>
      </c>
      <c r="DS154" s="59">
        <f t="shared" si="125"/>
        <v>1015.5558130983636</v>
      </c>
      <c r="DT154" s="59">
        <f ca="1">AVERAGE(OFFSET($DS$3,0,0,'Données projet'!$E$14+1,1))-AVERAGE(OFFSET($H$3,0,0,'Données projet'!$E$14+1,1))</f>
        <v>286.10360882057586</v>
      </c>
      <c r="DU154" s="59">
        <f t="shared" si="152"/>
        <v>109.24531387923128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52.833164694507289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52.833164694507289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539.11369005902054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262.42149466677068</v>
      </c>
      <c r="T155" s="59">
        <f t="shared" si="142"/>
        <v>232.7693253699756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-1.0197709343628959E-13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249.37919739649828</v>
      </c>
      <c r="AO155" s="59">
        <f t="shared" si="144"/>
        <v>315.05045383693073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24.32763901382631</v>
      </c>
      <c r="AV155" s="21">
        <f>EXP(-LN(2)/25)*AV154+(1-EXP(-LN(2)/25))/(LN(2)/25)*Calculateur!AQ155*Calculateur!AS155*VLOOKUP('Données projet'!$B$10,Paramètres!$A$1:$I$89,3,0)*0.475*44/12</f>
        <v>3.0865460525091115</v>
      </c>
      <c r="AW155" s="21">
        <f>EXP(-LN(2)/2)*AW154+(1-EXP(-LN(2)/2))/(LN(2)/2)*AQ155*AT155*VLOOKUP('Données projet'!$B$10,Paramètres!$A$1:$I$89,3,0)*0.475*44/12</f>
        <v>1.4355226675920651E-13</v>
      </c>
      <c r="AX155" s="21">
        <f t="shared" si="166"/>
        <v>27.414185066335563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212.00000000000009</v>
      </c>
      <c r="BE155" s="13">
        <f>BD155*VLOOKUP('Données projet'!$B$11,Paramètres!$A$1:$I$89,3,0)*VLOOKUP('Données projet'!$B$11,Paramètres!$A$1:$I$89,5,0)</f>
        <v>185.20320000000009</v>
      </c>
      <c r="BF155" s="13">
        <f t="shared" si="167"/>
        <v>46.477875402099386</v>
      </c>
      <c r="BG155" s="20">
        <f t="shared" si="168"/>
        <v>403.5112063253232</v>
      </c>
      <c r="BH155" s="59">
        <f t="shared" si="116"/>
        <v>696.84453965865646</v>
      </c>
      <c r="BI155" s="59">
        <f ca="1">AVERAGE(OFFSET($BH$3,0,0,'Données projet'!$E$11+1,1))-AVERAGE(OFFSET($H$3,0,0,'Données projet'!$E$11+1,1))</f>
        <v>186.80594222554424</v>
      </c>
      <c r="BJ155" s="59">
        <f t="shared" si="146"/>
        <v>179.02867751001872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5.3327047448125997</v>
      </c>
      <c r="BQ155" s="21">
        <f>EXP(-LN(2)/25)*BQ154+(1-EXP(-LN(2)/25))/(LN(2)/25)*Calculateur!BL155*Calculateur!BN155*VLOOKUP('Données projet'!$B$11,Paramètres!$A$1:$I$89,3,0)*0.475*44/12</f>
        <v>3.3081564400151056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8.6408611848277062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6.2499999999999947</v>
      </c>
      <c r="BY155" s="12">
        <f>IF('Données projet'!$A$114&gt;35,BY154+BX155-CG154,IF(A155&lt;'Données projet'!$A$114,$BV$205^A155,IF(A155='Données projet'!$A$114,'Données projet'!$B$114,BY154+BX155-CG154)))</f>
        <v>359.33974358974308</v>
      </c>
      <c r="BZ155" s="13">
        <f>BY155*VLOOKUP('Données projet'!$B$12,Paramètres!$A$1:$I$89,3,0)*VLOOKUP('Données projet'!$B$12,Paramètres!$A$1:$I$89,5,0)</f>
        <v>325.13059999999956</v>
      </c>
      <c r="CA155" s="13">
        <f t="shared" si="170"/>
        <v>76.419884531487469</v>
      </c>
      <c r="CB155" s="20">
        <f t="shared" si="171"/>
        <v>699.36709389233977</v>
      </c>
      <c r="CC155" s="59">
        <f t="shared" si="119"/>
        <v>992.70042722567314</v>
      </c>
      <c r="CD155" s="59">
        <f ca="1">AVERAGE(OFFSET($CC$3,0,0,'Données projet'!$E$12+1,1))-AVERAGE(OFFSET($H$3,0,0,'Données projet'!$E$12+1,1))</f>
        <v>265.17389489035344</v>
      </c>
      <c r="CE155" s="59">
        <f t="shared" si="148"/>
        <v>101.57852403610769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49.249738302852407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49.249738302852407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-1.7053025658242404E-13</v>
      </c>
      <c r="CU155" s="17">
        <f>CT155*VLOOKUP('Données projet'!$B$13,Paramètres!$A$1:$I$89,3,0)*VLOOKUP('Données projet'!$B$13,Paramètres!$A$1:$I$89,5,0)</f>
        <v>-1.0197709343628959E-13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182.34243693018033</v>
      </c>
      <c r="CZ155" s="59">
        <f t="shared" si="150"/>
        <v>182.65916563909786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20.976589445596417</v>
      </c>
      <c r="DG155" s="21">
        <f>EXP(-LN(2)/25)*DG154+(1-EXP(-LN(2)/25))/(LN(2)/25)*Calculateur!DB155*Calculateur!DD155*VLOOKUP('Données projet'!$B$13,Paramètres!$A$1:$I$89,3,0)*0.475*44/12</f>
        <v>2.8195248649078217</v>
      </c>
      <c r="DH155" s="21">
        <f>EXP(-LN(2)/2)*DH154+(1-EXP(-LN(2)/2))/(LN(2)/2)*DB155*DE155*VLOOKUP('Données projet'!$B$13,Paramètres!$A$1:$I$89,3,0)*0.475*44/12</f>
        <v>4.5421939617509682E-13</v>
      </c>
      <c r="DI155" s="22">
        <f t="shared" si="175"/>
        <v>23.796114310504695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6.2499999999999947</v>
      </c>
      <c r="DO155" s="12">
        <f>IF('Données projet'!$A$166&gt;35,DO154+DN155-DW154,IF(A155&lt;'Données projet'!$A$166,$DL$205^A155,IF(A155='Données projet'!$A$166,'Données projet'!$B$166,DO154+DN155-DW154)))</f>
        <v>359.33974358974308</v>
      </c>
      <c r="DP155" s="17">
        <f>DO155*VLOOKUP('Données projet'!$B$14,Paramètres!$A$1:$I$89,3,0)*VLOOKUP('Données projet'!$B$14,Paramètres!$A$1:$I$89,5,0)</f>
        <v>341.94769999999949</v>
      </c>
      <c r="DQ155" s="13">
        <f t="shared" si="176"/>
        <v>79.902219695792851</v>
      </c>
      <c r="DR155" s="20">
        <f t="shared" si="177"/>
        <v>734.7219434701716</v>
      </c>
      <c r="DS155" s="59">
        <f t="shared" si="125"/>
        <v>1028.055276803505</v>
      </c>
      <c r="DT155" s="59">
        <f ca="1">AVERAGE(OFFSET($DS$3,0,0,'Données projet'!$E$14+1,1))-AVERAGE(OFFSET($H$3,0,0,'Données projet'!$E$14+1,1))</f>
        <v>286.10360882057586</v>
      </c>
      <c r="DU155" s="59">
        <f t="shared" si="152"/>
        <v>109.24531387923128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51.797138559896503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51.797138559896503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540.69097697068514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262.42149466677068</v>
      </c>
      <c r="T156" s="59">
        <f t="shared" si="142"/>
        <v>232.7693253699756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-1.0197709343628959E-13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249.37919739649828</v>
      </c>
      <c r="AO156" s="59">
        <f t="shared" si="144"/>
        <v>315.05045383693073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23.850588851159806</v>
      </c>
      <c r="AV156" s="21">
        <f>EXP(-LN(2)/25)*AV155+(1-EXP(-LN(2)/25))/(LN(2)/25)*Calculateur!AQ156*Calculateur!AS156*VLOOKUP('Données projet'!$B$10,Paramètres!$A$1:$I$89,3,0)*0.475*44/12</f>
        <v>3.0021442883888474</v>
      </c>
      <c r="AW156" s="21">
        <f>EXP(-LN(2)/2)*AW155+(1-EXP(-LN(2)/2))/(LN(2)/2)*AQ156*AT156*VLOOKUP('Données projet'!$B$10,Paramètres!$A$1:$I$89,3,0)*0.475*44/12</f>
        <v>1.0150678128013514E-13</v>
      </c>
      <c r="AX156" s="21">
        <f t="shared" si="166"/>
        <v>26.852733139548757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212.00000000000009</v>
      </c>
      <c r="BE156" s="13">
        <f>BD156*VLOOKUP('Données projet'!$B$11,Paramètres!$A$1:$I$89,3,0)*VLOOKUP('Données projet'!$B$11,Paramètres!$A$1:$I$89,5,0)</f>
        <v>185.20320000000009</v>
      </c>
      <c r="BF156" s="13">
        <f t="shared" si="167"/>
        <v>46.477875402099386</v>
      </c>
      <c r="BG156" s="20">
        <f t="shared" si="168"/>
        <v>403.5112063253232</v>
      </c>
      <c r="BH156" s="59">
        <f t="shared" si="116"/>
        <v>696.84453965865646</v>
      </c>
      <c r="BI156" s="59">
        <f ca="1">AVERAGE(OFFSET($BH$3,0,0,'Données projet'!$E$11+1,1))-AVERAGE(OFFSET($H$3,0,0,'Données projet'!$E$11+1,1))</f>
        <v>186.80594222554424</v>
      </c>
      <c r="BJ156" s="59">
        <f t="shared" si="146"/>
        <v>179.02867751001872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5.2281336573955484</v>
      </c>
      <c r="BQ156" s="21">
        <f>EXP(-LN(2)/25)*BQ155+(1-EXP(-LN(2)/25))/(LN(2)/25)*Calculateur!BL156*Calculateur!BN156*VLOOKUP('Données projet'!$B$11,Paramètres!$A$1:$I$89,3,0)*0.475*44/12</f>
        <v>3.2176947281945063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8.4458283855900547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6.2499999999999947</v>
      </c>
      <c r="BY156" s="12">
        <f>IF('Données projet'!$A$114&gt;35,BY155+BX156-CG155,IF(A156&lt;'Données projet'!$A$114,$BV$205^A156,IF(A156='Données projet'!$A$114,'Données projet'!$B$114,BY155+BX156-CG155)))</f>
        <v>365.58974358974308</v>
      </c>
      <c r="BZ156" s="13">
        <f>BY156*VLOOKUP('Données projet'!$B$12,Paramètres!$A$1:$I$89,3,0)*VLOOKUP('Données projet'!$B$12,Paramètres!$A$1:$I$89,5,0)</f>
        <v>330.78559999999953</v>
      </c>
      <c r="CA156" s="13">
        <f t="shared" si="170"/>
        <v>77.593159548575656</v>
      </c>
      <c r="CB156" s="20">
        <f t="shared" si="171"/>
        <v>711.25967288043512</v>
      </c>
      <c r="CC156" s="59">
        <f t="shared" si="119"/>
        <v>1004.5930062137684</v>
      </c>
      <c r="CD156" s="59">
        <f ca="1">AVERAGE(OFFSET($CC$3,0,0,'Données projet'!$E$12+1,1))-AVERAGE(OFFSET($H$3,0,0,'Données projet'!$E$12+1,1))</f>
        <v>265.17389489035344</v>
      </c>
      <c r="CE156" s="59">
        <f t="shared" si="148"/>
        <v>101.57852403610769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48.283980974107692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48.283980974107692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-1.7053025658242404E-13</v>
      </c>
      <c r="CU156" s="17">
        <f>CT156*VLOOKUP('Données projet'!$B$13,Paramètres!$A$1:$I$89,3,0)*VLOOKUP('Données projet'!$B$13,Paramètres!$A$1:$I$89,5,0)</f>
        <v>-1.0197709343628959E-13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182.34243693018033</v>
      </c>
      <c r="CZ156" s="59">
        <f t="shared" si="150"/>
        <v>182.65916563909786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20.565251321024487</v>
      </c>
      <c r="DG156" s="21">
        <f>EXP(-LN(2)/25)*DG155+(1-EXP(-LN(2)/25))/(LN(2)/25)*Calculateur!DB156*Calculateur!DD156*VLOOKUP('Données projet'!$B$13,Paramètres!$A$1:$I$89,3,0)*0.475*44/12</f>
        <v>2.7424248092045489</v>
      </c>
      <c r="DH156" s="21">
        <f>EXP(-LN(2)/2)*DH155+(1-EXP(-LN(2)/2))/(LN(2)/2)*DB156*DE156*VLOOKUP('Données projet'!$B$13,Paramètres!$A$1:$I$89,3,0)*0.475*44/12</f>
        <v>3.2118161518186997E-13</v>
      </c>
      <c r="DI156" s="22">
        <f t="shared" si="175"/>
        <v>23.307676130229357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6.2499999999999947</v>
      </c>
      <c r="DO156" s="12">
        <f>IF('Données projet'!$A$166&gt;35,DO155+DN156-DW155,IF(A156&lt;'Données projet'!$A$166,$DL$205^A156,IF(A156='Données projet'!$A$166,'Données projet'!$B$166,DO155+DN156-DW155)))</f>
        <v>365.58974358974308</v>
      </c>
      <c r="DP156" s="17">
        <f>DO156*VLOOKUP('Données projet'!$B$14,Paramètres!$A$1:$I$89,3,0)*VLOOKUP('Données projet'!$B$14,Paramètres!$A$1:$I$89,5,0)</f>
        <v>347.89519999999953</v>
      </c>
      <c r="DQ156" s="13">
        <f t="shared" si="176"/>
        <v>81.12895902880426</v>
      </c>
      <c r="DR156" s="20">
        <f t="shared" si="177"/>
        <v>747.21707697516661</v>
      </c>
      <c r="DS156" s="59">
        <f t="shared" si="125"/>
        <v>1040.5504103085</v>
      </c>
      <c r="DT156" s="59">
        <f ca="1">AVERAGE(OFFSET($DS$3,0,0,'Données projet'!$E$14+1,1))-AVERAGE(OFFSET($H$3,0,0,'Données projet'!$E$14+1,1))</f>
        <v>286.10360882057586</v>
      </c>
      <c r="DU156" s="59">
        <f t="shared" si="152"/>
        <v>109.24531387923128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50.781428265871888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50.781428265871888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542.26803550633258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262.42149466677068</v>
      </c>
      <c r="T157" s="59">
        <f t="shared" si="142"/>
        <v>232.7693253699756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-1.0197709343628959E-13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249.37919739649828</v>
      </c>
      <c r="AO157" s="59">
        <f t="shared" si="144"/>
        <v>315.05045383693073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23.382893351211322</v>
      </c>
      <c r="AV157" s="21">
        <f>EXP(-LN(2)/25)*AV156+(1-EXP(-LN(2)/25))/(LN(2)/25)*Calculateur!AQ157*Calculateur!AS157*VLOOKUP('Données projet'!$B$10,Paramètres!$A$1:$I$89,3,0)*0.475*44/12</f>
        <v>2.9200504949469477</v>
      </c>
      <c r="AW157" s="21">
        <f>EXP(-LN(2)/2)*AW156+(1-EXP(-LN(2)/2))/(LN(2)/2)*AQ157*AT157*VLOOKUP('Données projet'!$B$10,Paramètres!$A$1:$I$89,3,0)*0.475*44/12</f>
        <v>7.1776133379603257E-14</v>
      </c>
      <c r="AX157" s="21">
        <f t="shared" si="166"/>
        <v>26.302943846158342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212.00000000000009</v>
      </c>
      <c r="BE157" s="13">
        <f>BD157*VLOOKUP('Données projet'!$B$11,Paramètres!$A$1:$I$89,3,0)*VLOOKUP('Données projet'!$B$11,Paramètres!$A$1:$I$89,5,0)</f>
        <v>185.20320000000009</v>
      </c>
      <c r="BF157" s="13">
        <f t="shared" si="167"/>
        <v>46.477875402099386</v>
      </c>
      <c r="BG157" s="20">
        <f t="shared" si="168"/>
        <v>403.5112063253232</v>
      </c>
      <c r="BH157" s="59">
        <f t="shared" si="116"/>
        <v>696.84453965865646</v>
      </c>
      <c r="BI157" s="59">
        <f ca="1">AVERAGE(OFFSET($BH$3,0,0,'Données projet'!$E$11+1,1))-AVERAGE(OFFSET($H$3,0,0,'Données projet'!$E$11+1,1))</f>
        <v>186.80594222554424</v>
      </c>
      <c r="BJ157" s="59">
        <f t="shared" si="146"/>
        <v>179.02867751001872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5.1256131452206803</v>
      </c>
      <c r="BQ157" s="21">
        <f>EXP(-LN(2)/25)*BQ156+(1-EXP(-LN(2)/25))/(LN(2)/25)*Calculateur!BL157*Calculateur!BN157*VLOOKUP('Données projet'!$B$11,Paramètres!$A$1:$I$89,3,0)*0.475*44/12</f>
        <v>3.1297066966408158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8.2553198418614961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371.83974358974359</v>
      </c>
      <c r="BW157" s="12">
        <f>VLOOKUP(A157,'Données projet'!$A$113:$I$133,9,0)</f>
        <v>6.2499999999999947</v>
      </c>
      <c r="BX157" s="12">
        <f t="array" ref="BX157">INDEX(BW:BW,MIN(IF(ISNUMBER(BW157:BW353),ROW(BW157:BW353),"")))</f>
        <v>6.2499999999999947</v>
      </c>
      <c r="BY157" s="12">
        <f>IF('Données projet'!$A$114&gt;35,BY156+BX157-CG156,IF(A157&lt;'Données projet'!$A$114,$BV$205^A157,IF(A157='Données projet'!$A$114,'Données projet'!$B$114,BY156+BX157-CG156)))</f>
        <v>371.83974358974308</v>
      </c>
      <c r="BZ157" s="13">
        <f>BY157*VLOOKUP('Données projet'!$B$12,Paramètres!$A$1:$I$89,3,0)*VLOOKUP('Données projet'!$B$12,Paramètres!$A$1:$I$89,5,0)</f>
        <v>336.44059999999956</v>
      </c>
      <c r="CA157" s="13">
        <f t="shared" si="170"/>
        <v>78.764102025417841</v>
      </c>
      <c r="CB157" s="20">
        <f t="shared" si="171"/>
        <v>723.14818936093525</v>
      </c>
      <c r="CC157" s="59">
        <f t="shared" si="119"/>
        <v>1016.4815226942685</v>
      </c>
      <c r="CD157" s="59">
        <f ca="1">AVERAGE(OFFSET($CC$3,0,0,'Données projet'!$E$12+1,1))-AVERAGE(OFFSET($H$3,0,0,'Données projet'!$E$12+1,1))</f>
        <v>265.17389489035344</v>
      </c>
      <c r="CE157" s="59">
        <f t="shared" si="148"/>
        <v>101.57852403610769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41.557692307692307</v>
      </c>
      <c r="CH157" s="16">
        <f>IF(ISNA(VLOOKUP(A157,'Données projet'!$A$113:$I$133,5,0)),0%,VLOOKUP(A157,'Données projet'!$A$113:$I$133,5,0)*VLOOKUP('Données projet'!$B$12,Paramètres!$A$1:$I$89,7,0))</f>
        <v>0.38700000000000001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63.423681088037355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63.423681088037355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-1.7053025658242404E-13</v>
      </c>
      <c r="CU157" s="17">
        <f>CT157*VLOOKUP('Données projet'!$B$13,Paramètres!$A$1:$I$89,3,0)*VLOOKUP('Données projet'!$B$13,Paramètres!$A$1:$I$89,5,0)</f>
        <v>-1.0197709343628959E-13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182.34243693018033</v>
      </c>
      <c r="CZ157" s="59">
        <f t="shared" si="150"/>
        <v>182.65916563909786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20.161979286183929</v>
      </c>
      <c r="DG157" s="21">
        <f>EXP(-LN(2)/25)*DG156+(1-EXP(-LN(2)/25))/(LN(2)/25)*Calculateur!DB157*Calculateur!DD157*VLOOKUP('Données projet'!$B$13,Paramètres!$A$1:$I$89,3,0)*0.475*44/12</f>
        <v>2.6674330585789976</v>
      </c>
      <c r="DH157" s="21">
        <f>EXP(-LN(2)/2)*DH156+(1-EXP(-LN(2)/2))/(LN(2)/2)*DB157*DE157*VLOOKUP('Données projet'!$B$13,Paramètres!$A$1:$I$89,3,0)*0.475*44/12</f>
        <v>2.2710969808754846E-13</v>
      </c>
      <c r="DI157" s="22">
        <f t="shared" si="175"/>
        <v>22.829412344763153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>
        <f>VLOOKUP(A157,'Données projet'!$A$165:$I$185,2,0)</f>
        <v>371.83974358974359</v>
      </c>
      <c r="DM157" s="12">
        <f>VLOOKUP(A157,'Données projet'!$A$165:$I$185,9,0)</f>
        <v>6.2499999999999947</v>
      </c>
      <c r="DN157" s="12">
        <f t="array" ref="DN157">INDEX(DM:DM,MIN(IF(ISNUMBER(DM157:DM353),ROW(DM157:DM353),"")))</f>
        <v>6.2499999999999947</v>
      </c>
      <c r="DO157" s="12">
        <f>IF('Données projet'!$A$166&gt;35,DO156+DN157-DW156,IF(A157&lt;'Données projet'!$A$166,$DL$205^A157,IF(A157='Données projet'!$A$166,'Données projet'!$B$166,DO156+DN157-DW156)))</f>
        <v>371.83974358974308</v>
      </c>
      <c r="DP157" s="17">
        <f>DO157*VLOOKUP('Données projet'!$B$14,Paramètres!$A$1:$I$89,3,0)*VLOOKUP('Données projet'!$B$14,Paramètres!$A$1:$I$89,5,0)</f>
        <v>353.84269999999952</v>
      </c>
      <c r="DQ157" s="13">
        <f t="shared" si="176"/>
        <v>82.353259531342047</v>
      </c>
      <c r="DR157" s="20">
        <f t="shared" si="177"/>
        <v>759.7079628504199</v>
      </c>
      <c r="DS157" s="59">
        <f t="shared" si="125"/>
        <v>1053.0412961837533</v>
      </c>
      <c r="DT157" s="59">
        <f ca="1">AVERAGE(OFFSET($DS$3,0,0,'Données projet'!$E$14+1,1))-AVERAGE(OFFSET($H$3,0,0,'Données projet'!$E$14+1,1))</f>
        <v>286.10360882057586</v>
      </c>
      <c r="DU157" s="59">
        <f t="shared" si="152"/>
        <v>109.24531387923128</v>
      </c>
      <c r="DV157" s="15">
        <f>IF(ISNA(VLOOKUP(A157,'Données projet'!$A$165:$I$185,3,0)),0,VLOOKUP(A157,'Données projet'!$A$165:$I$185,3,0))</f>
        <v>13</v>
      </c>
      <c r="DW157" s="15">
        <f>IF(ISNA(VLOOKUP(A157,'Données projet'!$A$165:$I$185,4,0)),0,VLOOKUP(A157,'Données projet'!$A$165:$I$185,4,0))</f>
        <v>41.557692307692307</v>
      </c>
      <c r="DX157" s="16">
        <f>IF(ISNA(VLOOKUP(A157,'Données projet'!$A$165:$I$185,5,0)),0%,VLOOKUP(A157,'Données projet'!$A$165:$I$185,5,0)*VLOOKUP('Données projet'!$B$14,Paramètres!$A$1:$I$89,7,0))</f>
        <v>0.38700000000000001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66.704216316728946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66.704216316728946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543.84486732093865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262.42149466677068</v>
      </c>
      <c r="T158" s="59">
        <f t="shared" si="142"/>
        <v>232.7693253699756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-1.0197709343628959E-13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249.37919739649828</v>
      </c>
      <c r="AO158" s="59">
        <f t="shared" si="144"/>
        <v>315.05045383693073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22.924369074750743</v>
      </c>
      <c r="AV158" s="21">
        <f>EXP(-LN(2)/25)*AV157+(1-EXP(-LN(2)/25))/(LN(2)/25)*Calculateur!AQ158*Calculateur!AS158*VLOOKUP('Données projet'!$B$10,Paramètres!$A$1:$I$89,3,0)*0.475*44/12</f>
        <v>2.8402015606038415</v>
      </c>
      <c r="AW158" s="21">
        <f>EXP(-LN(2)/2)*AW157+(1-EXP(-LN(2)/2))/(LN(2)/2)*AQ158*AT158*VLOOKUP('Données projet'!$B$10,Paramètres!$A$1:$I$89,3,0)*0.475*44/12</f>
        <v>5.0753390640067571E-14</v>
      </c>
      <c r="AX158" s="21">
        <f t="shared" si="166"/>
        <v>25.764570635354634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212.00000000000009</v>
      </c>
      <c r="BE158" s="13">
        <f>BD158*VLOOKUP('Données projet'!$B$11,Paramètres!$A$1:$I$89,3,0)*VLOOKUP('Données projet'!$B$11,Paramètres!$A$1:$I$89,5,0)</f>
        <v>185.20320000000009</v>
      </c>
      <c r="BF158" s="13">
        <f t="shared" si="167"/>
        <v>46.477875402099386</v>
      </c>
      <c r="BG158" s="20">
        <f t="shared" si="168"/>
        <v>403.5112063253232</v>
      </c>
      <c r="BH158" s="59">
        <f t="shared" si="116"/>
        <v>696.84453965865646</v>
      </c>
      <c r="BI158" s="59">
        <f ca="1">AVERAGE(OFFSET($BH$3,0,0,'Données projet'!$E$11+1,1))-AVERAGE(OFFSET($H$3,0,0,'Données projet'!$E$11+1,1))</f>
        <v>186.80594222554424</v>
      </c>
      <c r="BJ158" s="59">
        <f t="shared" si="146"/>
        <v>179.02867751001872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5.0251029977582231</v>
      </c>
      <c r="BQ158" s="21">
        <f>EXP(-LN(2)/25)*BQ157+(1-EXP(-LN(2)/25))/(LN(2)/25)*Calculateur!BL158*Calculateur!BN158*VLOOKUP('Données projet'!$B$11,Paramètres!$A$1:$I$89,3,0)*0.475*44/12</f>
        <v>3.0441247024370504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8.0692277001952739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6.3403846153846128</v>
      </c>
      <c r="BY158" s="12">
        <f>IF('Données projet'!$A$114&gt;35,BY157+BX158-CG157,IF(A158&lt;'Données projet'!$A$114,$BV$205^A158,IF(A158='Données projet'!$A$114,'Données projet'!$B$114,BY157+BX158-CG157)))</f>
        <v>336.62243589743537</v>
      </c>
      <c r="BZ158" s="13">
        <f>BY158*VLOOKUP('Données projet'!$B$12,Paramètres!$A$1:$I$89,3,0)*VLOOKUP('Données projet'!$B$12,Paramètres!$A$1:$I$89,5,0)</f>
        <v>304.5759799999995</v>
      </c>
      <c r="CA158" s="13">
        <f t="shared" si="170"/>
        <v>72.134917834185984</v>
      </c>
      <c r="CB158" s="20">
        <f t="shared" si="171"/>
        <v>656.10481372787308</v>
      </c>
      <c r="CC158" s="59">
        <f t="shared" si="119"/>
        <v>949.43814706120634</v>
      </c>
      <c r="CD158" s="59">
        <f ca="1">AVERAGE(OFFSET($CC$3,0,0,'Données projet'!$E$12+1,1))-AVERAGE(OFFSET($H$3,0,0,'Données projet'!$E$12+1,1))</f>
        <v>265.17389489035344</v>
      </c>
      <c r="CE158" s="59">
        <f t="shared" si="148"/>
        <v>101.57852403610769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62.17998138652662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62.17998138652662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-1.7053025658242404E-13</v>
      </c>
      <c r="CU158" s="17">
        <f>CT158*VLOOKUP('Données projet'!$B$13,Paramètres!$A$1:$I$89,3,0)*VLOOKUP('Données projet'!$B$13,Paramètres!$A$1:$I$89,5,0)</f>
        <v>-1.0197709343628959E-13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182.34243693018033</v>
      </c>
      <c r="CZ158" s="59">
        <f t="shared" si="150"/>
        <v>182.65916563909786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19.766615169974941</v>
      </c>
      <c r="DG158" s="21">
        <f>EXP(-LN(2)/25)*DG157+(1-EXP(-LN(2)/25))/(LN(2)/25)*Calculateur!DB158*Calculateur!DD158*VLOOKUP('Données projet'!$B$13,Paramètres!$A$1:$I$89,3,0)*0.475*44/12</f>
        <v>2.5944919613179467</v>
      </c>
      <c r="DH158" s="21">
        <f>EXP(-LN(2)/2)*DH157+(1-EXP(-LN(2)/2))/(LN(2)/2)*DB158*DE158*VLOOKUP('Données projet'!$B$13,Paramètres!$A$1:$I$89,3,0)*0.475*44/12</f>
        <v>1.6059080759093501E-13</v>
      </c>
      <c r="DI158" s="22">
        <f t="shared" si="175"/>
        <v>22.361107131293046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6.3403846153846128</v>
      </c>
      <c r="DO158" s="12">
        <f>IF('Données projet'!$A$166&gt;35,DO157+DN158-DW157,IF(A158&lt;'Données projet'!$A$166,$DL$205^A158,IF(A158='Données projet'!$A$166,'Données projet'!$B$166,DO157+DN158-DW157)))</f>
        <v>336.62243589743537</v>
      </c>
      <c r="DP158" s="17">
        <f>DO158*VLOOKUP('Données projet'!$B$14,Paramètres!$A$1:$I$89,3,0)*VLOOKUP('Données projet'!$B$14,Paramètres!$A$1:$I$89,5,0)</f>
        <v>320.32990999999953</v>
      </c>
      <c r="DQ158" s="13">
        <f t="shared" si="176"/>
        <v>75.421993737117617</v>
      </c>
      <c r="DR158" s="20">
        <f t="shared" si="177"/>
        <v>689.26789900881238</v>
      </c>
      <c r="DS158" s="59">
        <f t="shared" si="125"/>
        <v>982.60123234214575</v>
      </c>
      <c r="DT158" s="59">
        <f ca="1">AVERAGE(OFFSET($DS$3,0,0,'Données projet'!$E$14+1,1))-AVERAGE(OFFSET($H$3,0,0,'Données projet'!$E$14+1,1))</f>
        <v>286.10360882057586</v>
      </c>
      <c r="DU158" s="59">
        <f t="shared" si="152"/>
        <v>109.24531387923128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65.396187320312478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65.396187320312478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545.42147404688967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262.42149466677068</v>
      </c>
      <c r="T159" s="59">
        <f t="shared" si="142"/>
        <v>232.7693253699756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-1.0197709343628959E-13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249.37919739649828</v>
      </c>
      <c r="AO159" s="59">
        <f t="shared" si="144"/>
        <v>315.05045383693073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22.474836179679361</v>
      </c>
      <c r="AV159" s="21">
        <f>EXP(-LN(2)/25)*AV158+(1-EXP(-LN(2)/25))/(LN(2)/25)*Calculateur!AQ159*Calculateur!AS159*VLOOKUP('Données projet'!$B$10,Paramètres!$A$1:$I$89,3,0)*0.475*44/12</f>
        <v>2.7625360995694206</v>
      </c>
      <c r="AW159" s="21">
        <f>EXP(-LN(2)/2)*AW158+(1-EXP(-LN(2)/2))/(LN(2)/2)*AQ159*AT159*VLOOKUP('Données projet'!$B$10,Paramètres!$A$1:$I$89,3,0)*0.475*44/12</f>
        <v>3.5888066689801628E-14</v>
      </c>
      <c r="AX159" s="21">
        <f t="shared" si="166"/>
        <v>25.237372279248817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212.00000000000009</v>
      </c>
      <c r="BE159" s="13">
        <f>BD159*VLOOKUP('Données projet'!$B$11,Paramètres!$A$1:$I$89,3,0)*VLOOKUP('Données projet'!$B$11,Paramètres!$A$1:$I$89,5,0)</f>
        <v>185.20320000000009</v>
      </c>
      <c r="BF159" s="13">
        <f t="shared" si="167"/>
        <v>46.477875402099386</v>
      </c>
      <c r="BG159" s="20">
        <f t="shared" si="168"/>
        <v>403.5112063253232</v>
      </c>
      <c r="BH159" s="59">
        <f t="shared" si="116"/>
        <v>696.84453965865646</v>
      </c>
      <c r="BI159" s="59">
        <f ca="1">AVERAGE(OFFSET($BH$3,0,0,'Données projet'!$E$11+1,1))-AVERAGE(OFFSET($H$3,0,0,'Données projet'!$E$11+1,1))</f>
        <v>186.80594222554424</v>
      </c>
      <c r="BJ159" s="59">
        <f t="shared" si="146"/>
        <v>179.02867751001872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4.9265637929823685</v>
      </c>
      <c r="BQ159" s="21">
        <f>EXP(-LN(2)/25)*BQ158+(1-EXP(-LN(2)/25))/(LN(2)/25)*Calculateur!BL159*Calculateur!BN159*VLOOKUP('Données projet'!$B$11,Paramètres!$A$1:$I$89,3,0)*0.475*44/12</f>
        <v>2.9608829523653486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7.8874467453477166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6.3403846153846128</v>
      </c>
      <c r="BY159" s="12">
        <f>IF('Données projet'!$A$114&gt;35,BY158+BX159-CG158,IF(A159&lt;'Données projet'!$A$114,$BV$205^A159,IF(A159='Données projet'!$A$114,'Données projet'!$B$114,BY158+BX159-CG158)))</f>
        <v>342.96282051281997</v>
      </c>
      <c r="BZ159" s="13">
        <f>BY159*VLOOKUP('Données projet'!$B$12,Paramètres!$A$1:$I$89,3,0)*VLOOKUP('Données projet'!$B$12,Paramètres!$A$1:$I$89,5,0)</f>
        <v>310.31275999999946</v>
      </c>
      <c r="CA159" s="13">
        <f t="shared" si="170"/>
        <v>73.334143074131603</v>
      </c>
      <c r="CB159" s="20">
        <f t="shared" si="171"/>
        <v>668.18502285411148</v>
      </c>
      <c r="CC159" s="59">
        <f t="shared" si="119"/>
        <v>961.51835618744485</v>
      </c>
      <c r="CD159" s="59">
        <f ca="1">AVERAGE(OFFSET($CC$3,0,0,'Données projet'!$E$12+1,1))-AVERAGE(OFFSET($H$3,0,0,'Données projet'!$E$12+1,1))</f>
        <v>265.17389489035344</v>
      </c>
      <c r="CE159" s="59">
        <f t="shared" si="148"/>
        <v>101.57852403610769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60.960669877580592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60.960669877580592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-1.7053025658242404E-13</v>
      </c>
      <c r="CU159" s="17">
        <f>CT159*VLOOKUP('Données projet'!$B$13,Paramètres!$A$1:$I$89,3,0)*VLOOKUP('Données projet'!$B$13,Paramètres!$A$1:$I$89,5,0)</f>
        <v>-1.0197709343628959E-13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182.34243693018033</v>
      </c>
      <c r="CZ159" s="59">
        <f t="shared" si="150"/>
        <v>182.65916563909786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19.37900390293651</v>
      </c>
      <c r="DG159" s="21">
        <f>EXP(-LN(2)/25)*DG158+(1-EXP(-LN(2)/25))/(LN(2)/25)*Calculateur!DB159*Calculateur!DD159*VLOOKUP('Données projet'!$B$13,Paramètres!$A$1:$I$89,3,0)*0.475*44/12</f>
        <v>2.5235454421973049</v>
      </c>
      <c r="DH159" s="21">
        <f>EXP(-LN(2)/2)*DH158+(1-EXP(-LN(2)/2))/(LN(2)/2)*DB159*DE159*VLOOKUP('Données projet'!$B$13,Paramètres!$A$1:$I$89,3,0)*0.475*44/12</f>
        <v>1.1355484904377424E-13</v>
      </c>
      <c r="DI159" s="22">
        <f t="shared" si="175"/>
        <v>21.902549345133927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6.3403846153846128</v>
      </c>
      <c r="DO159" s="12">
        <f>IF('Données projet'!$A$166&gt;35,DO158+DN159-DW158,IF(A159&lt;'Données projet'!$A$166,$DL$205^A159,IF(A159='Données projet'!$A$166,'Données projet'!$B$166,DO158+DN159-DW158)))</f>
        <v>342.96282051281997</v>
      </c>
      <c r="DP159" s="17">
        <f>DO159*VLOOKUP('Données projet'!$B$14,Paramètres!$A$1:$I$89,3,0)*VLOOKUP('Données projet'!$B$14,Paramètres!$A$1:$I$89,5,0)</f>
        <v>326.36341999999951</v>
      </c>
      <c r="DQ159" s="13">
        <f t="shared" si="176"/>
        <v>76.675865804241496</v>
      </c>
      <c r="DR159" s="20">
        <f t="shared" si="177"/>
        <v>701.96008944238645</v>
      </c>
      <c r="DS159" s="59">
        <f t="shared" si="125"/>
        <v>995.29342277571982</v>
      </c>
      <c r="DT159" s="59">
        <f ca="1">AVERAGE(OFFSET($DS$3,0,0,'Données projet'!$E$14+1,1))-AVERAGE(OFFSET($H$3,0,0,'Données projet'!$E$14+1,1))</f>
        <v>286.10360882057586</v>
      </c>
      <c r="DU159" s="59">
        <f t="shared" si="152"/>
        <v>109.24531387923128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64.113807974696826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64.113807974696826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546.99785729443374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262.42149466677068</v>
      </c>
      <c r="T160" s="59">
        <f t="shared" si="142"/>
        <v>232.7693253699756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-1.0197709343628959E-13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249.37919739649828</v>
      </c>
      <c r="AO160" s="59">
        <f t="shared" si="144"/>
        <v>315.05045383693073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22.034118350492335</v>
      </c>
      <c r="AV160" s="21">
        <f>EXP(-LN(2)/25)*AV159+(1-EXP(-LN(2)/25))/(LN(2)/25)*Calculateur!AQ160*Calculateur!AS160*VLOOKUP('Données projet'!$B$10,Paramètres!$A$1:$I$89,3,0)*0.475*44/12</f>
        <v>2.6869944046512351</v>
      </c>
      <c r="AW160" s="21">
        <f>EXP(-LN(2)/2)*AW159+(1-EXP(-LN(2)/2))/(LN(2)/2)*AQ160*AT160*VLOOKUP('Données projet'!$B$10,Paramètres!$A$1:$I$89,3,0)*0.475*44/12</f>
        <v>2.5376695320033785E-14</v>
      </c>
      <c r="AX160" s="21">
        <f t="shared" si="166"/>
        <v>24.721112755143594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212.00000000000009</v>
      </c>
      <c r="BE160" s="13">
        <f>BD160*VLOOKUP('Données projet'!$B$11,Paramètres!$A$1:$I$89,3,0)*VLOOKUP('Données projet'!$B$11,Paramètres!$A$1:$I$89,5,0)</f>
        <v>185.20320000000009</v>
      </c>
      <c r="BF160" s="13">
        <f t="shared" si="167"/>
        <v>46.477875402099386</v>
      </c>
      <c r="BG160" s="20">
        <f t="shared" si="168"/>
        <v>403.5112063253232</v>
      </c>
      <c r="BH160" s="59">
        <f t="shared" si="116"/>
        <v>696.84453965865646</v>
      </c>
      <c r="BI160" s="59">
        <f ca="1">AVERAGE(OFFSET($BH$3,0,0,'Données projet'!$E$11+1,1))-AVERAGE(OFFSET($H$3,0,0,'Données projet'!$E$11+1,1))</f>
        <v>186.80594222554424</v>
      </c>
      <c r="BJ160" s="59">
        <f t="shared" si="146"/>
        <v>179.02867751001872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4.8299568819091876</v>
      </c>
      <c r="BQ160" s="21">
        <f>EXP(-LN(2)/25)*BQ159+(1-EXP(-LN(2)/25))/(LN(2)/25)*Calculateur!BL160*Calculateur!BN160*VLOOKUP('Données projet'!$B$11,Paramètres!$A$1:$I$89,3,0)*0.475*44/12</f>
        <v>2.8799174523268509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7.709874334236039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6.3403846153846128</v>
      </c>
      <c r="BY160" s="12">
        <f>IF('Données projet'!$A$114&gt;35,BY159+BX160-CG159,IF(A160&lt;'Données projet'!$A$114,$BV$205^A160,IF(A160='Données projet'!$A$114,'Données projet'!$B$114,BY159+BX160-CG159)))</f>
        <v>349.30320512820458</v>
      </c>
      <c r="BZ160" s="13">
        <f>BY160*VLOOKUP('Données projet'!$B$12,Paramètres!$A$1:$I$89,3,0)*VLOOKUP('Données projet'!$B$12,Paramètres!$A$1:$I$89,5,0)</f>
        <v>316.04953999999947</v>
      </c>
      <c r="CA160" s="13">
        <f t="shared" si="170"/>
        <v>74.530790323887828</v>
      </c>
      <c r="CB160" s="20">
        <f t="shared" si="171"/>
        <v>680.26074198077038</v>
      </c>
      <c r="CC160" s="59">
        <f t="shared" si="119"/>
        <v>973.59407531410375</v>
      </c>
      <c r="CD160" s="59">
        <f ca="1">AVERAGE(OFFSET($CC$3,0,0,'Données projet'!$E$12+1,1))-AVERAGE(OFFSET($H$3,0,0,'Données projet'!$E$12+1,1))</f>
        <v>265.17389489035344</v>
      </c>
      <c r="CE160" s="59">
        <f t="shared" si="148"/>
        <v>101.57852403610769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59.765268323618415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59.765268323618415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-1.7053025658242404E-13</v>
      </c>
      <c r="CU160" s="17">
        <f>CT160*VLOOKUP('Données projet'!$B$13,Paramètres!$A$1:$I$89,3,0)*VLOOKUP('Données projet'!$B$13,Paramètres!$A$1:$I$89,5,0)</f>
        <v>-1.0197709343628959E-13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182.34243693018033</v>
      </c>
      <c r="CZ160" s="59">
        <f t="shared" si="150"/>
        <v>182.65916563909786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18.998993456425175</v>
      </c>
      <c r="DG160" s="21">
        <f>EXP(-LN(2)/25)*DG159+(1-EXP(-LN(2)/25))/(LN(2)/25)*Calculateur!DB160*Calculateur!DD160*VLOOKUP('Données projet'!$B$13,Paramètres!$A$1:$I$89,3,0)*0.475*44/12</f>
        <v>2.4545389593729325</v>
      </c>
      <c r="DH160" s="21">
        <f>EXP(-LN(2)/2)*DH159+(1-EXP(-LN(2)/2))/(LN(2)/2)*DB160*DE160*VLOOKUP('Données projet'!$B$13,Paramètres!$A$1:$I$89,3,0)*0.475*44/12</f>
        <v>8.0295403795467518E-14</v>
      </c>
      <c r="DI160" s="22">
        <f t="shared" si="175"/>
        <v>21.45353241579819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6.3403846153846128</v>
      </c>
      <c r="DO160" s="12">
        <f>IF('Données projet'!$A$166&gt;35,DO159+DN160-DW159,IF(A160&lt;'Données projet'!$A$166,$DL$205^A160,IF(A160='Données projet'!$A$166,'Données projet'!$B$166,DO159+DN160-DW159)))</f>
        <v>349.30320512820458</v>
      </c>
      <c r="DP160" s="17">
        <f>DO160*VLOOKUP('Données projet'!$B$14,Paramètres!$A$1:$I$89,3,0)*VLOOKUP('Données projet'!$B$14,Paramètres!$A$1:$I$89,5,0)</f>
        <v>332.39692999999949</v>
      </c>
      <c r="DQ160" s="13">
        <f t="shared" si="176"/>
        <v>77.927042406176781</v>
      </c>
      <c r="DR160" s="20">
        <f t="shared" si="177"/>
        <v>714.64758527409037</v>
      </c>
      <c r="DS160" s="59">
        <f t="shared" si="125"/>
        <v>1007.9809186074237</v>
      </c>
      <c r="DT160" s="59">
        <f ca="1">AVERAGE(OFFSET($DS$3,0,0,'Données projet'!$E$14+1,1))-AVERAGE(OFFSET($H$3,0,0,'Données projet'!$E$14+1,1))</f>
        <v>286.10360882057586</v>
      </c>
      <c r="DU160" s="59">
        <f t="shared" si="152"/>
        <v>109.24531387923128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62.856575305874536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62.856575305874536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548.57401865211966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262.42149466677068</v>
      </c>
      <c r="T161" s="59">
        <f t="shared" si="142"/>
        <v>232.7693253699756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-1.0197709343628959E-13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249.37919739649828</v>
      </c>
      <c r="AO161" s="59">
        <f t="shared" si="144"/>
        <v>315.05045383693073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21.602042729124335</v>
      </c>
      <c r="AV161" s="21">
        <f>EXP(-LN(2)/25)*AV160+(1-EXP(-LN(2)/25))/(LN(2)/25)*Calculateur!AQ161*Calculateur!AS161*VLOOKUP('Données projet'!$B$10,Paramètres!$A$1:$I$89,3,0)*0.475*44/12</f>
        <v>2.6135184013531525</v>
      </c>
      <c r="AW161" s="21">
        <f>EXP(-LN(2)/2)*AW160+(1-EXP(-LN(2)/2))/(LN(2)/2)*AQ161*AT161*VLOOKUP('Données projet'!$B$10,Paramètres!$A$1:$I$89,3,0)*0.475*44/12</f>
        <v>1.7944033344900814E-14</v>
      </c>
      <c r="AX161" s="21">
        <f t="shared" si="166"/>
        <v>24.215561130477507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212.00000000000009</v>
      </c>
      <c r="BE161" s="13">
        <f>BD161*VLOOKUP('Données projet'!$B$11,Paramètres!$A$1:$I$89,3,0)*VLOOKUP('Données projet'!$B$11,Paramètres!$A$1:$I$89,5,0)</f>
        <v>185.20320000000009</v>
      </c>
      <c r="BF161" s="13">
        <f t="shared" si="167"/>
        <v>46.477875402099386</v>
      </c>
      <c r="BG161" s="20">
        <f t="shared" si="168"/>
        <v>403.5112063253232</v>
      </c>
      <c r="BH161" s="59">
        <f t="shared" si="116"/>
        <v>696.84453965865646</v>
      </c>
      <c r="BI161" s="59">
        <f ca="1">AVERAGE(OFFSET($BH$3,0,0,'Données projet'!$E$11+1,1))-AVERAGE(OFFSET($H$3,0,0,'Données projet'!$E$11+1,1))</f>
        <v>186.80594222554424</v>
      </c>
      <c r="BJ161" s="59">
        <f t="shared" si="146"/>
        <v>179.02867751001872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4.7352443734377552</v>
      </c>
      <c r="BQ161" s="21">
        <f>EXP(-LN(2)/25)*BQ160+(1-EXP(-LN(2)/25))/(LN(2)/25)*Calculateur!BL161*Calculateur!BN161*VLOOKUP('Données projet'!$B$11,Paramètres!$A$1:$I$89,3,0)*0.475*44/12</f>
        <v>2.8011659581446966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7.5364103315824522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6.3403846153846128</v>
      </c>
      <c r="BY161" s="12">
        <f>IF('Données projet'!$A$114&gt;35,BY160+BX161-CG160,IF(A161&lt;'Données projet'!$A$114,$BV$205^A161,IF(A161='Données projet'!$A$114,'Données projet'!$B$114,BY160+BX161-CG160)))</f>
        <v>355.64358974358919</v>
      </c>
      <c r="BZ161" s="13">
        <f>BY161*VLOOKUP('Données projet'!$B$12,Paramètres!$A$1:$I$89,3,0)*VLOOKUP('Données projet'!$B$12,Paramètres!$A$1:$I$89,5,0)</f>
        <v>321.78631999999948</v>
      </c>
      <c r="CA161" s="13">
        <f t="shared" si="170"/>
        <v>75.724911775401807</v>
      </c>
      <c r="CB161" s="20">
        <f t="shared" si="171"/>
        <v>692.33206200882375</v>
      </c>
      <c r="CC161" s="59">
        <f t="shared" si="119"/>
        <v>985.66539534215713</v>
      </c>
      <c r="CD161" s="59">
        <f ca="1">AVERAGE(OFFSET($CC$3,0,0,'Données projet'!$E$12+1,1))-AVERAGE(OFFSET($H$3,0,0,'Données projet'!$E$12+1,1))</f>
        <v>265.17389489035344</v>
      </c>
      <c r="CE161" s="59">
        <f t="shared" si="148"/>
        <v>101.57852403610769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58.59330786500648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58.59330786500648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-1.7053025658242404E-13</v>
      </c>
      <c r="CU161" s="17">
        <f>CT161*VLOOKUP('Données projet'!$B$13,Paramètres!$A$1:$I$89,3,0)*VLOOKUP('Données projet'!$B$13,Paramètres!$A$1:$I$89,5,0)</f>
        <v>-1.0197709343628959E-13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182.34243693018033</v>
      </c>
      <c r="CZ161" s="59">
        <f t="shared" si="150"/>
        <v>182.65916563909786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18.626434782986443</v>
      </c>
      <c r="DG161" s="21">
        <f>EXP(-LN(2)/25)*DG160+(1-EXP(-LN(2)/25))/(LN(2)/25)*Calculateur!DB161*Calculateur!DD161*VLOOKUP('Données projet'!$B$13,Paramètres!$A$1:$I$89,3,0)*0.475*44/12</f>
        <v>2.3874194624502856</v>
      </c>
      <c r="DH161" s="21">
        <f>EXP(-LN(2)/2)*DH160+(1-EXP(-LN(2)/2))/(LN(2)/2)*DB161*DE161*VLOOKUP('Données projet'!$B$13,Paramètres!$A$1:$I$89,3,0)*0.475*44/12</f>
        <v>5.6777424521887134E-14</v>
      </c>
      <c r="DI161" s="22">
        <f t="shared" si="175"/>
        <v>21.013854245436786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6.3403846153846128</v>
      </c>
      <c r="DO161" s="12">
        <f>IF('Données projet'!$A$166&gt;35,DO160+DN161-DW160,IF(A161&lt;'Données projet'!$A$166,$DL$205^A161,IF(A161='Données projet'!$A$166,'Données projet'!$B$166,DO160+DN161-DW160)))</f>
        <v>355.64358974358919</v>
      </c>
      <c r="DP161" s="17">
        <f>DO161*VLOOKUP('Données projet'!$B$14,Paramètres!$A$1:$I$89,3,0)*VLOOKUP('Données projet'!$B$14,Paramètres!$A$1:$I$89,5,0)</f>
        <v>338.43043999999946</v>
      </c>
      <c r="DQ161" s="13">
        <f t="shared" si="176"/>
        <v>79.175578113176201</v>
      </c>
      <c r="DR161" s="20">
        <f t="shared" si="177"/>
        <v>727.33048154711423</v>
      </c>
      <c r="DS161" s="59">
        <f t="shared" si="125"/>
        <v>1020.6638148804475</v>
      </c>
      <c r="DT161" s="59">
        <f ca="1">AVERAGE(OFFSET($DS$3,0,0,'Données projet'!$E$14+1,1))-AVERAGE(OFFSET($H$3,0,0,'Données projet'!$E$14+1,1))</f>
        <v>286.10360882057586</v>
      </c>
      <c r="DU161" s="59">
        <f t="shared" si="152"/>
        <v>109.24531387923128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61.623996202851636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61.623996202851636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550.14995968722587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262.42149466677068</v>
      </c>
      <c r="T162" s="59">
        <f t="shared" si="142"/>
        <v>232.7693253699756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-1.0197709343628959E-13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249.37919739649828</v>
      </c>
      <c r="AO162" s="59">
        <f t="shared" si="144"/>
        <v>315.05045383693073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21.178439847151257</v>
      </c>
      <c r="AV162" s="21">
        <f>EXP(-LN(2)/25)*AV161+(1-EXP(-LN(2)/25))/(LN(2)/25)*Calculateur!AQ162*Calculateur!AS162*VLOOKUP('Données projet'!$B$10,Paramètres!$A$1:$I$89,3,0)*0.475*44/12</f>
        <v>2.5420516032291909</v>
      </c>
      <c r="AW162" s="21">
        <f>EXP(-LN(2)/2)*AW161+(1-EXP(-LN(2)/2))/(LN(2)/2)*AQ162*AT162*VLOOKUP('Données projet'!$B$10,Paramètres!$A$1:$I$89,3,0)*0.475*44/12</f>
        <v>1.2688347660016893E-14</v>
      </c>
      <c r="AX162" s="21">
        <f t="shared" si="166"/>
        <v>23.720491450380461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212.00000000000009</v>
      </c>
      <c r="BE162" s="13">
        <f>BD162*VLOOKUP('Données projet'!$B$11,Paramètres!$A$1:$I$89,3,0)*VLOOKUP('Données projet'!$B$11,Paramètres!$A$1:$I$89,5,0)</f>
        <v>185.20320000000009</v>
      </c>
      <c r="BF162" s="13">
        <f t="shared" si="167"/>
        <v>46.477875402099386</v>
      </c>
      <c r="BG162" s="20">
        <f t="shared" si="168"/>
        <v>403.5112063253232</v>
      </c>
      <c r="BH162" s="59">
        <f t="shared" si="116"/>
        <v>696.84453965865646</v>
      </c>
      <c r="BI162" s="59">
        <f ca="1">AVERAGE(OFFSET($BH$3,0,0,'Données projet'!$E$11+1,1))-AVERAGE(OFFSET($H$3,0,0,'Données projet'!$E$11+1,1))</f>
        <v>186.80594222554424</v>
      </c>
      <c r="BJ162" s="59">
        <f t="shared" si="146"/>
        <v>179.02867751001872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4.642389119488521</v>
      </c>
      <c r="BQ162" s="21">
        <f>EXP(-LN(2)/25)*BQ161+(1-EXP(-LN(2)/25))/(LN(2)/25)*Calculateur!BL162*Calculateur!BN162*VLOOKUP('Données projet'!$B$11,Paramètres!$A$1:$I$89,3,0)*0.475*44/12</f>
        <v>2.7245679277123145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7.3669570472008354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6.3403846153846128</v>
      </c>
      <c r="BY162" s="12">
        <f>IF('Données projet'!$A$114&gt;35,BY161+BX162-CG161,IF(A162&lt;'Données projet'!$A$114,$BV$205^A162,IF(A162='Données projet'!$A$114,'Données projet'!$B$114,BY161+BX162-CG161)))</f>
        <v>361.9839743589738</v>
      </c>
      <c r="BZ162" s="13">
        <f>BY162*VLOOKUP('Données projet'!$B$12,Paramètres!$A$1:$I$89,3,0)*VLOOKUP('Données projet'!$B$12,Paramètres!$A$1:$I$89,5,0)</f>
        <v>327.52309999999949</v>
      </c>
      <c r="CA162" s="13">
        <f t="shared" si="170"/>
        <v>76.916557653095737</v>
      </c>
      <c r="CB162" s="20">
        <f t="shared" si="171"/>
        <v>704.39907041247409</v>
      </c>
      <c r="CC162" s="59">
        <f t="shared" si="119"/>
        <v>997.73240374580746</v>
      </c>
      <c r="CD162" s="59">
        <f ca="1">AVERAGE(OFFSET($CC$3,0,0,'Données projet'!$E$12+1,1))-AVERAGE(OFFSET($H$3,0,0,'Données projet'!$E$12+1,1))</f>
        <v>265.17389489035344</v>
      </c>
      <c r="CE162" s="59">
        <f t="shared" si="148"/>
        <v>101.57852403610769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57.444328836162626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57.444328836162626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-1.7053025658242404E-13</v>
      </c>
      <c r="CU162" s="17">
        <f>CT162*VLOOKUP('Données projet'!$B$13,Paramètres!$A$1:$I$89,3,0)*VLOOKUP('Données projet'!$B$13,Paramètres!$A$1:$I$89,5,0)</f>
        <v>-1.0197709343628959E-13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182.34243693018033</v>
      </c>
      <c r="CZ162" s="59">
        <f t="shared" si="150"/>
        <v>182.65916563909786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18.261181757895493</v>
      </c>
      <c r="DG162" s="21">
        <f>EXP(-LN(2)/25)*DG161+(1-EXP(-LN(2)/25))/(LN(2)/25)*Calculateur!DB162*Calculateur!DD162*VLOOKUP('Données projet'!$B$13,Paramètres!$A$1:$I$89,3,0)*0.475*44/12</f>
        <v>2.3221353517006493</v>
      </c>
      <c r="DH162" s="21">
        <f>EXP(-LN(2)/2)*DH161+(1-EXP(-LN(2)/2))/(LN(2)/2)*DB162*DE162*VLOOKUP('Données projet'!$B$13,Paramètres!$A$1:$I$89,3,0)*0.475*44/12</f>
        <v>4.0147701897733765E-14</v>
      </c>
      <c r="DI162" s="22">
        <f t="shared" si="175"/>
        <v>20.58331710959618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6.3403846153846128</v>
      </c>
      <c r="DO162" s="12">
        <f>IF('Données projet'!$A$166&gt;35,DO161+DN162-DW161,IF(A162&lt;'Données projet'!$A$166,$DL$205^A162,IF(A162='Données projet'!$A$166,'Données projet'!$B$166,DO161+DN162-DW161)))</f>
        <v>361.9839743589738</v>
      </c>
      <c r="DP162" s="17">
        <f>DO162*VLOOKUP('Données projet'!$B$14,Paramètres!$A$1:$I$89,3,0)*VLOOKUP('Données projet'!$B$14,Paramètres!$A$1:$I$89,5,0)</f>
        <v>344.46394999999944</v>
      </c>
      <c r="DQ162" s="13">
        <f t="shared" si="176"/>
        <v>80.421525438310539</v>
      </c>
      <c r="DR162" s="20">
        <f t="shared" si="177"/>
        <v>740.00886972172327</v>
      </c>
      <c r="DS162" s="59">
        <f t="shared" si="125"/>
        <v>1033.3422030550566</v>
      </c>
      <c r="DT162" s="59">
        <f ca="1">AVERAGE(OFFSET($DS$3,0,0,'Données projet'!$E$14+1,1))-AVERAGE(OFFSET($H$3,0,0,'Données projet'!$E$14+1,1))</f>
        <v>286.10360882057586</v>
      </c>
      <c r="DU162" s="59">
        <f t="shared" si="152"/>
        <v>109.24531387923128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60.415587224239999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60.415587224239999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551.72568194617588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262.42149466677068</v>
      </c>
      <c r="T163" s="59">
        <f t="shared" si="142"/>
        <v>232.7693253699756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-1.0197709343628959E-13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249.37919739649828</v>
      </c>
      <c r="AO163" s="59">
        <f t="shared" si="144"/>
        <v>315.05045383693073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20.763143559321424</v>
      </c>
      <c r="AV163" s="21">
        <f>EXP(-LN(2)/25)*AV162+(1-EXP(-LN(2)/25))/(LN(2)/25)*Calculateur!AQ163*Calculateur!AS163*VLOOKUP('Données projet'!$B$10,Paramètres!$A$1:$I$89,3,0)*0.475*44/12</f>
        <v>2.4725390684582047</v>
      </c>
      <c r="AW163" s="21">
        <f>EXP(-LN(2)/2)*AW162+(1-EXP(-LN(2)/2))/(LN(2)/2)*AQ163*AT163*VLOOKUP('Données projet'!$B$10,Paramètres!$A$1:$I$89,3,0)*0.475*44/12</f>
        <v>8.9720166724504071E-15</v>
      </c>
      <c r="AX163" s="21">
        <f t="shared" si="166"/>
        <v>23.235682627779639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212.00000000000009</v>
      </c>
      <c r="BE163" s="13">
        <f>BD163*VLOOKUP('Données projet'!$B$11,Paramètres!$A$1:$I$89,3,0)*VLOOKUP('Données projet'!$B$11,Paramètres!$A$1:$I$89,5,0)</f>
        <v>185.20320000000009</v>
      </c>
      <c r="BF163" s="13">
        <f t="shared" si="167"/>
        <v>46.477875402099386</v>
      </c>
      <c r="BG163" s="20">
        <f t="shared" si="168"/>
        <v>403.5112063253232</v>
      </c>
      <c r="BH163" s="59">
        <f t="shared" si="116"/>
        <v>696.84453965865646</v>
      </c>
      <c r="BI163" s="59">
        <f ca="1">AVERAGE(OFFSET($BH$3,0,0,'Données projet'!$E$11+1,1))-AVERAGE(OFFSET($H$3,0,0,'Données projet'!$E$11+1,1))</f>
        <v>186.80594222554424</v>
      </c>
      <c r="BJ163" s="59">
        <f t="shared" si="146"/>
        <v>179.02867751001872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4.5513547004331185</v>
      </c>
      <c r="BQ163" s="21">
        <f>EXP(-LN(2)/25)*BQ162+(1-EXP(-LN(2)/25))/(LN(2)/25)*Calculateur!BL163*Calculateur!BN163*VLOOKUP('Données projet'!$B$11,Paramètres!$A$1:$I$89,3,0)*0.475*44/12</f>
        <v>2.6500644744502209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7.2014191748833394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6.3403846153846128</v>
      </c>
      <c r="BY163" s="12">
        <f>IF('Données projet'!$A$114&gt;35,BY162+BX163-CG162,IF(A163&lt;'Données projet'!$A$114,$BV$205^A163,IF(A163='Données projet'!$A$114,'Données projet'!$B$114,BY162+BX163-CG162)))</f>
        <v>368.3243589743584</v>
      </c>
      <c r="BZ163" s="13">
        <f>BY163*VLOOKUP('Données projet'!$B$12,Paramètres!$A$1:$I$89,3,0)*VLOOKUP('Données projet'!$B$12,Paramètres!$A$1:$I$89,5,0)</f>
        <v>333.2598799999995</v>
      </c>
      <c r="CA163" s="13">
        <f t="shared" si="170"/>
        <v>78.105776321178652</v>
      </c>
      <c r="CB163" s="20">
        <f t="shared" si="171"/>
        <v>716.46185142605191</v>
      </c>
      <c r="CC163" s="59">
        <f t="shared" si="119"/>
        <v>1009.7951847593852</v>
      </c>
      <c r="CD163" s="59">
        <f ca="1">AVERAGE(OFFSET($CC$3,0,0,'Données projet'!$E$12+1,1))-AVERAGE(OFFSET($H$3,0,0,'Données projet'!$E$12+1,1))</f>
        <v>265.17389489035344</v>
      </c>
      <c r="CE163" s="59">
        <f t="shared" si="148"/>
        <v>101.57852403610769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56.317880585266394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56.317880585266394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-1.7053025658242404E-13</v>
      </c>
      <c r="CU163" s="17">
        <f>CT163*VLOOKUP('Données projet'!$B$13,Paramètres!$A$1:$I$89,3,0)*VLOOKUP('Données projet'!$B$13,Paramètres!$A$1:$I$89,5,0)</f>
        <v>-1.0197709343628959E-13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182.34243693018033</v>
      </c>
      <c r="CZ163" s="59">
        <f t="shared" si="150"/>
        <v>182.65916563909786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17.903091121844227</v>
      </c>
      <c r="DG163" s="21">
        <f>EXP(-LN(2)/25)*DG162+(1-EXP(-LN(2)/25))/(LN(2)/25)*Calculateur!DB163*Calculateur!DD163*VLOOKUP('Données projet'!$B$13,Paramètres!$A$1:$I$89,3,0)*0.475*44/12</f>
        <v>2.2586364383926041</v>
      </c>
      <c r="DH163" s="21">
        <f>EXP(-LN(2)/2)*DH162+(1-EXP(-LN(2)/2))/(LN(2)/2)*DB163*DE163*VLOOKUP('Données projet'!$B$13,Paramètres!$A$1:$I$89,3,0)*0.475*44/12</f>
        <v>2.838871226094357E-14</v>
      </c>
      <c r="DI163" s="22">
        <f t="shared" si="175"/>
        <v>20.161727560236859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6.3403846153846128</v>
      </c>
      <c r="DO163" s="12">
        <f>IF('Données projet'!$A$166&gt;35,DO162+DN163-DW162,IF(A163&lt;'Données projet'!$A$166,$DL$205^A163,IF(A163='Données projet'!$A$166,'Données projet'!$B$166,DO162+DN163-DW162)))</f>
        <v>368.3243589743584</v>
      </c>
      <c r="DP163" s="17">
        <f>DO163*VLOOKUP('Données projet'!$B$14,Paramètres!$A$1:$I$89,3,0)*VLOOKUP('Données projet'!$B$14,Paramètres!$A$1:$I$89,5,0)</f>
        <v>350.49745999999948</v>
      </c>
      <c r="DQ163" s="13">
        <f t="shared" si="176"/>
        <v>81.664934949670652</v>
      </c>
      <c r="DR163" s="20">
        <f t="shared" si="177"/>
        <v>752.68283787067548</v>
      </c>
      <c r="DS163" s="59">
        <f t="shared" si="125"/>
        <v>1046.0161712040087</v>
      </c>
      <c r="DT163" s="59">
        <f ca="1">AVERAGE(OFFSET($DS$3,0,0,'Données projet'!$E$14+1,1))-AVERAGE(OFFSET($H$3,0,0,'Données projet'!$E$14+1,1))</f>
        <v>286.10360882057586</v>
      </c>
      <c r="DU163" s="59">
        <f t="shared" si="152"/>
        <v>109.24531387923128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59.230874408642237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59.230874408642237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553.30118695494502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262.42149466677068</v>
      </c>
      <c r="T164" s="59">
        <f t="shared" si="142"/>
        <v>232.7693253699756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-1.0197709343628959E-13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249.37919739649828</v>
      </c>
      <c r="AO164" s="59">
        <f t="shared" si="144"/>
        <v>315.05045383693073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20.35599097839021</v>
      </c>
      <c r="AV164" s="21">
        <f>EXP(-LN(2)/25)*AV163+(1-EXP(-LN(2)/25))/(LN(2)/25)*Calculateur!AQ164*Calculateur!AS164*VLOOKUP('Données projet'!$B$10,Paramètres!$A$1:$I$89,3,0)*0.475*44/12</f>
        <v>2.4049273576060366</v>
      </c>
      <c r="AW164" s="21">
        <f>EXP(-LN(2)/2)*AW163+(1-EXP(-LN(2)/2))/(LN(2)/2)*AQ164*AT164*VLOOKUP('Données projet'!$B$10,Paramètres!$A$1:$I$89,3,0)*0.475*44/12</f>
        <v>6.3441738300084463E-15</v>
      </c>
      <c r="AX164" s="21">
        <f t="shared" si="166"/>
        <v>22.760918335996255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212.00000000000009</v>
      </c>
      <c r="BE164" s="13">
        <f>BD164*VLOOKUP('Données projet'!$B$11,Paramètres!$A$1:$I$89,3,0)*VLOOKUP('Données projet'!$B$11,Paramètres!$A$1:$I$89,5,0)</f>
        <v>185.20320000000009</v>
      </c>
      <c r="BF164" s="13">
        <f t="shared" si="167"/>
        <v>46.477875402099386</v>
      </c>
      <c r="BG164" s="20">
        <f t="shared" si="168"/>
        <v>403.5112063253232</v>
      </c>
      <c r="BH164" s="59">
        <f t="shared" si="116"/>
        <v>696.84453965865646</v>
      </c>
      <c r="BI164" s="59">
        <f ca="1">AVERAGE(OFFSET($BH$3,0,0,'Données projet'!$E$11+1,1))-AVERAGE(OFFSET($H$3,0,0,'Données projet'!$E$11+1,1))</f>
        <v>186.80594222554424</v>
      </c>
      <c r="BJ164" s="59">
        <f t="shared" si="146"/>
        <v>179.02867751001872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4.4621054108098797</v>
      </c>
      <c r="BQ164" s="21">
        <f>EXP(-LN(2)/25)*BQ163+(1-EXP(-LN(2)/25))/(LN(2)/25)*Calculateur!BL164*Calculateur!BN164*VLOOKUP('Données projet'!$B$11,Paramètres!$A$1:$I$89,3,0)*0.475*44/12</f>
        <v>2.5775983220355458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7.0397037328454255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6.3403846153846128</v>
      </c>
      <c r="BY164" s="12">
        <f>IF('Données projet'!$A$114&gt;35,BY163+BX164-CG163,IF(A164&lt;'Données projet'!$A$114,$BV$205^A164,IF(A164='Données projet'!$A$114,'Données projet'!$B$114,BY163+BX164-CG163)))</f>
        <v>374.66474358974301</v>
      </c>
      <c r="BZ164" s="13">
        <f>BY164*VLOOKUP('Données projet'!$B$12,Paramètres!$A$1:$I$89,3,0)*VLOOKUP('Données projet'!$B$12,Paramètres!$A$1:$I$89,5,0)</f>
        <v>338.99665999999951</v>
      </c>
      <c r="CA164" s="13">
        <f t="shared" si="170"/>
        <v>79.292614383358782</v>
      </c>
      <c r="CB164" s="20">
        <f t="shared" si="171"/>
        <v>728.52048621768233</v>
      </c>
      <c r="CC164" s="59">
        <f t="shared" si="119"/>
        <v>1021.8538195510157</v>
      </c>
      <c r="CD164" s="59">
        <f ca="1">AVERAGE(OFFSET($CC$3,0,0,'Données projet'!$E$12+1,1))-AVERAGE(OFFSET($H$3,0,0,'Données projet'!$E$12+1,1))</f>
        <v>265.17389489035344</v>
      </c>
      <c r="CE164" s="59">
        <f t="shared" si="148"/>
        <v>101.57852403610769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55.213521297504649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55.213521297504649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-1.7053025658242404E-13</v>
      </c>
      <c r="CU164" s="17">
        <f>CT164*VLOOKUP('Données projet'!$B$13,Paramètres!$A$1:$I$89,3,0)*VLOOKUP('Données projet'!$B$13,Paramètres!$A$1:$I$89,5,0)</f>
        <v>-1.0197709343628959E-13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182.34243693018033</v>
      </c>
      <c r="CZ164" s="59">
        <f t="shared" si="150"/>
        <v>182.65916563909786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17.552022424752206</v>
      </c>
      <c r="DG164" s="21">
        <f>EXP(-LN(2)/25)*DG163+(1-EXP(-LN(2)/25))/(LN(2)/25)*Calculateur!DB164*Calculateur!DD164*VLOOKUP('Données projet'!$B$13,Paramètres!$A$1:$I$89,3,0)*0.475*44/12</f>
        <v>2.1968739062082303</v>
      </c>
      <c r="DH164" s="21">
        <f>EXP(-LN(2)/2)*DH163+(1-EXP(-LN(2)/2))/(LN(2)/2)*DB164*DE164*VLOOKUP('Données projet'!$B$13,Paramètres!$A$1:$I$89,3,0)*0.475*44/12</f>
        <v>2.0073850948866886E-14</v>
      </c>
      <c r="DI164" s="22">
        <f t="shared" si="175"/>
        <v>19.748896330960456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6.3403846153846128</v>
      </c>
      <c r="DO164" s="12">
        <f>IF('Données projet'!$A$166&gt;35,DO163+DN164-DW163,IF(A164&lt;'Données projet'!$A$166,$DL$205^A164,IF(A164='Données projet'!$A$166,'Données projet'!$B$166,DO163+DN164-DW163)))</f>
        <v>374.66474358974301</v>
      </c>
      <c r="DP164" s="17">
        <f>DO164*VLOOKUP('Données projet'!$B$14,Paramètres!$A$1:$I$89,3,0)*VLOOKUP('Données projet'!$B$14,Paramètres!$A$1:$I$89,5,0)</f>
        <v>356.53096999999946</v>
      </c>
      <c r="DQ164" s="13">
        <f t="shared" si="176"/>
        <v>82.905855374623457</v>
      </c>
      <c r="DR164" s="20">
        <f t="shared" si="177"/>
        <v>765.35247086080153</v>
      </c>
      <c r="DS164" s="59">
        <f t="shared" si="125"/>
        <v>1058.6858041941348</v>
      </c>
      <c r="DT164" s="59">
        <f ca="1">AVERAGE(OFFSET($DS$3,0,0,'Données projet'!$E$14+1,1))-AVERAGE(OFFSET($H$3,0,0,'Données projet'!$E$14+1,1))</f>
        <v>286.10360882057586</v>
      </c>
      <c r="DU164" s="59">
        <f t="shared" si="152"/>
        <v>109.24531387923128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58.069393088754879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58.069393088754879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554.87647621945644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262.42149466677068</v>
      </c>
      <c r="T165" s="59">
        <f t="shared" si="142"/>
        <v>232.7693253699756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-1.0197709343628959E-13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249.37919739649828</v>
      </c>
      <c r="AO165" s="59">
        <f t="shared" si="144"/>
        <v>315.05045383693073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19.956822411232505</v>
      </c>
      <c r="AV165" s="21">
        <f>EXP(-LN(2)/25)*AV164+(1-EXP(-LN(2)/25))/(LN(2)/25)*Calculateur!AQ165*Calculateur!AS165*VLOOKUP('Données projet'!$B$10,Paramètres!$A$1:$I$89,3,0)*0.475*44/12</f>
        <v>2.3391644925426665</v>
      </c>
      <c r="AW165" s="21">
        <f>EXP(-LN(2)/2)*AW164+(1-EXP(-LN(2)/2))/(LN(2)/2)*AQ165*AT165*VLOOKUP('Données projet'!$B$10,Paramètres!$A$1:$I$89,3,0)*0.475*44/12</f>
        <v>4.4860083362252035E-15</v>
      </c>
      <c r="AX165" s="21">
        <f t="shared" si="166"/>
        <v>22.295986903775177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212.00000000000009</v>
      </c>
      <c r="BE165" s="13">
        <f>BD165*VLOOKUP('Données projet'!$B$11,Paramètres!$A$1:$I$89,3,0)*VLOOKUP('Données projet'!$B$11,Paramètres!$A$1:$I$89,5,0)</f>
        <v>185.20320000000009</v>
      </c>
      <c r="BF165" s="13">
        <f t="shared" si="167"/>
        <v>46.477875402099386</v>
      </c>
      <c r="BG165" s="20">
        <f t="shared" si="168"/>
        <v>403.5112063253232</v>
      </c>
      <c r="BH165" s="59">
        <f t="shared" si="116"/>
        <v>696.84453965865646</v>
      </c>
      <c r="BI165" s="59">
        <f ca="1">AVERAGE(OFFSET($BH$3,0,0,'Données projet'!$E$11+1,1))-AVERAGE(OFFSET($H$3,0,0,'Données projet'!$E$11+1,1))</f>
        <v>186.80594222554424</v>
      </c>
      <c r="BJ165" s="59">
        <f t="shared" si="146"/>
        <v>179.02867751001872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4.3746062453194616</v>
      </c>
      <c r="BQ165" s="21">
        <f>EXP(-LN(2)/25)*BQ164+(1-EXP(-LN(2)/25))/(LN(2)/25)*Calculateur!BL165*Calculateur!BN165*VLOOKUP('Données projet'!$B$11,Paramètres!$A$1:$I$89,3,0)*0.475*44/12</f>
        <v>2.5071137603694793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6.8817200056889405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6.3403846153846128</v>
      </c>
      <c r="BY165" s="12">
        <f>IF('Données projet'!$A$114&gt;35,BY164+BX165-CG164,IF(A165&lt;'Données projet'!$A$114,$BV$205^A165,IF(A165='Données projet'!$A$114,'Données projet'!$B$114,BY164+BX165-CG164)))</f>
        <v>381.00512820512762</v>
      </c>
      <c r="BZ165" s="13">
        <f>BY165*VLOOKUP('Données projet'!$B$12,Paramètres!$A$1:$I$89,3,0)*VLOOKUP('Données projet'!$B$12,Paramètres!$A$1:$I$89,5,0)</f>
        <v>344.73343999999946</v>
      </c>
      <c r="CA165" s="13">
        <f t="shared" si="170"/>
        <v>80.477116775616508</v>
      </c>
      <c r="CB165" s="20">
        <f t="shared" si="171"/>
        <v>740.57505305086443</v>
      </c>
      <c r="CC165" s="59">
        <f t="shared" si="119"/>
        <v>1033.9083863841977</v>
      </c>
      <c r="CD165" s="59">
        <f ca="1">AVERAGE(OFFSET($CC$3,0,0,'Données projet'!$E$12+1,1))-AVERAGE(OFFSET($H$3,0,0,'Données projet'!$E$12+1,1))</f>
        <v>265.17389489035344</v>
      </c>
      <c r="CE165" s="59">
        <f t="shared" si="148"/>
        <v>101.57852403610769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54.130817821783253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54.130817821783253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-1.7053025658242404E-13</v>
      </c>
      <c r="CU165" s="17">
        <f>CT165*VLOOKUP('Données projet'!$B$13,Paramètres!$A$1:$I$89,3,0)*VLOOKUP('Données projet'!$B$13,Paramètres!$A$1:$I$89,5,0)</f>
        <v>-1.0197709343628959E-13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182.34243693018033</v>
      </c>
      <c r="CZ165" s="59">
        <f t="shared" si="150"/>
        <v>182.65916563909786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17.207837970679396</v>
      </c>
      <c r="DG165" s="21">
        <f>EXP(-LN(2)/25)*DG164+(1-EXP(-LN(2)/25))/(LN(2)/25)*Calculateur!DB165*Calculateur!DD165*VLOOKUP('Données projet'!$B$13,Paramètres!$A$1:$I$89,3,0)*0.475*44/12</f>
        <v>2.1368002737143885</v>
      </c>
      <c r="DH165" s="21">
        <f>EXP(-LN(2)/2)*DH164+(1-EXP(-LN(2)/2))/(LN(2)/2)*DB165*DE165*VLOOKUP('Données projet'!$B$13,Paramètres!$A$1:$I$89,3,0)*0.475*44/12</f>
        <v>1.4194356130471787E-14</v>
      </c>
      <c r="DI165" s="22">
        <f t="shared" si="175"/>
        <v>19.344638244393799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6.3403846153846128</v>
      </c>
      <c r="DO165" s="12">
        <f>IF('Données projet'!$A$166&gt;35,DO164+DN165-DW164,IF(A165&lt;'Données projet'!$A$166,$DL$205^A165,IF(A165='Données projet'!$A$166,'Données projet'!$B$166,DO164+DN165-DW164)))</f>
        <v>381.00512820512762</v>
      </c>
      <c r="DP165" s="17">
        <f>DO165*VLOOKUP('Données projet'!$B$14,Paramètres!$A$1:$I$89,3,0)*VLOOKUP('Données projet'!$B$14,Paramètres!$A$1:$I$89,5,0)</f>
        <v>362.56447999999943</v>
      </c>
      <c r="DQ165" s="13">
        <f t="shared" si="176"/>
        <v>84.144333696811529</v>
      </c>
      <c r="DR165" s="20">
        <f t="shared" si="177"/>
        <v>778.01785052194566</v>
      </c>
      <c r="DS165" s="59">
        <f t="shared" si="125"/>
        <v>1071.351183855279</v>
      </c>
      <c r="DT165" s="59">
        <f ca="1">AVERAGE(OFFSET($DS$3,0,0,'Données projet'!$E$14+1,1))-AVERAGE(OFFSET($H$3,0,0,'Données projet'!$E$14+1,1))</f>
        <v>286.10360882057586</v>
      </c>
      <c r="DU165" s="59">
        <f t="shared" si="152"/>
        <v>109.24531387923128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56.93068770911686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56.93068770911686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556.45155122596543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262.42149466677068</v>
      </c>
      <c r="T166" s="59">
        <f t="shared" si="142"/>
        <v>232.7693253699756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-1.0197709343628959E-13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249.37919739649828</v>
      </c>
      <c r="AO166" s="59">
        <f t="shared" si="144"/>
        <v>315.05045383693073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19.565481296207977</v>
      </c>
      <c r="AV166" s="21">
        <f>EXP(-LN(2)/25)*AV165+(1-EXP(-LN(2)/25))/(LN(2)/25)*Calculateur!AQ166*Calculateur!AS166*VLOOKUP('Données projet'!$B$10,Paramètres!$A$1:$I$89,3,0)*0.475*44/12</f>
        <v>2.275199916482773</v>
      </c>
      <c r="AW166" s="21">
        <f>EXP(-LN(2)/2)*AW165+(1-EXP(-LN(2)/2))/(LN(2)/2)*AQ166*AT166*VLOOKUP('Données projet'!$B$10,Paramètres!$A$1:$I$89,3,0)*0.475*44/12</f>
        <v>3.1720869150042232E-15</v>
      </c>
      <c r="AX166" s="21">
        <f t="shared" si="166"/>
        <v>21.840681212690754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212.00000000000009</v>
      </c>
      <c r="BE166" s="13">
        <f>BD166*VLOOKUP('Données projet'!$B$11,Paramètres!$A$1:$I$89,3,0)*VLOOKUP('Données projet'!$B$11,Paramètres!$A$1:$I$89,5,0)</f>
        <v>185.20320000000009</v>
      </c>
      <c r="BF166" s="13">
        <f t="shared" si="167"/>
        <v>46.477875402099386</v>
      </c>
      <c r="BG166" s="20">
        <f t="shared" si="168"/>
        <v>403.5112063253232</v>
      </c>
      <c r="BH166" s="59">
        <f t="shared" si="116"/>
        <v>696.84453965865646</v>
      </c>
      <c r="BI166" s="59">
        <f ca="1">AVERAGE(OFFSET($BH$3,0,0,'Données projet'!$E$11+1,1))-AVERAGE(OFFSET($H$3,0,0,'Données projet'!$E$11+1,1))</f>
        <v>186.80594222554424</v>
      </c>
      <c r="BJ166" s="59">
        <f t="shared" si="146"/>
        <v>179.02867751001872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4.2888228850950894</v>
      </c>
      <c r="BQ166" s="21">
        <f>EXP(-LN(2)/25)*BQ165+(1-EXP(-LN(2)/25))/(LN(2)/25)*Calculateur!BL166*Calculateur!BN166*VLOOKUP('Données projet'!$B$11,Paramètres!$A$1:$I$89,3,0)*0.475*44/12</f>
        <v>2.4385566027487933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6.7273794878438826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6.3403846153846128</v>
      </c>
      <c r="BY166" s="12">
        <f>IF('Données projet'!$A$114&gt;35,BY165+BX166-CG165,IF(A166&lt;'Données projet'!$A$114,$BV$205^A166,IF(A166='Données projet'!$A$114,'Données projet'!$B$114,BY165+BX166-CG165)))</f>
        <v>387.34551282051223</v>
      </c>
      <c r="BZ166" s="13">
        <f>BY166*VLOOKUP('Données projet'!$B$12,Paramètres!$A$1:$I$89,3,0)*VLOOKUP('Données projet'!$B$12,Paramètres!$A$1:$I$89,5,0)</f>
        <v>350.47021999999941</v>
      </c>
      <c r="CA166" s="13">
        <f t="shared" si="170"/>
        <v>81.659326852624957</v>
      </c>
      <c r="CB166" s="20">
        <f t="shared" si="171"/>
        <v>752.62562743498745</v>
      </c>
      <c r="CC166" s="59">
        <f t="shared" si="119"/>
        <v>1045.9589607683208</v>
      </c>
      <c r="CD166" s="59">
        <f ca="1">AVERAGE(OFFSET($CC$3,0,0,'Données projet'!$E$12+1,1))-AVERAGE(OFFSET($H$3,0,0,'Données projet'!$E$12+1,1))</f>
        <v>265.17389489035344</v>
      </c>
      <c r="CE166" s="59">
        <f t="shared" si="148"/>
        <v>101.57852403610769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53.069345500836846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53.069345500836846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-1.7053025658242404E-13</v>
      </c>
      <c r="CU166" s="17">
        <f>CT166*VLOOKUP('Données projet'!$B$13,Paramètres!$A$1:$I$89,3,0)*VLOOKUP('Données projet'!$B$13,Paramètres!$A$1:$I$89,5,0)</f>
        <v>-1.0197709343628959E-13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182.34243693018033</v>
      </c>
      <c r="CZ166" s="59">
        <f t="shared" si="150"/>
        <v>182.65916563909786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16.870402763819165</v>
      </c>
      <c r="DG166" s="21">
        <f>EXP(-LN(2)/25)*DG165+(1-EXP(-LN(2)/25))/(LN(2)/25)*Calculateur!DB166*Calculateur!DD166*VLOOKUP('Données projet'!$B$13,Paramètres!$A$1:$I$89,3,0)*0.475*44/12</f>
        <v>2.0783693578602258</v>
      </c>
      <c r="DH166" s="21">
        <f>EXP(-LN(2)/2)*DH165+(1-EXP(-LN(2)/2))/(LN(2)/2)*DB166*DE166*VLOOKUP('Données projet'!$B$13,Paramètres!$A$1:$I$89,3,0)*0.475*44/12</f>
        <v>1.0036925474433444E-14</v>
      </c>
      <c r="DI166" s="22">
        <f t="shared" si="175"/>
        <v>18.948772121679401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6.3403846153846128</v>
      </c>
      <c r="DO166" s="12">
        <f>IF('Données projet'!$A$166&gt;35,DO165+DN166-DW165,IF(A166&lt;'Données projet'!$A$166,$DL$205^A166,IF(A166='Données projet'!$A$166,'Données projet'!$B$166,DO165+DN166-DW165)))</f>
        <v>387.34551282051223</v>
      </c>
      <c r="DP166" s="17">
        <f>DO166*VLOOKUP('Données projet'!$B$14,Paramètres!$A$1:$I$89,3,0)*VLOOKUP('Données projet'!$B$14,Paramètres!$A$1:$I$89,5,0)</f>
        <v>368.59798999999941</v>
      </c>
      <c r="DQ166" s="13">
        <f t="shared" si="176"/>
        <v>85.38041524651328</v>
      </c>
      <c r="DR166" s="20">
        <f t="shared" si="177"/>
        <v>790.67905580434297</v>
      </c>
      <c r="DS166" s="59">
        <f t="shared" si="125"/>
        <v>1084.0123891376763</v>
      </c>
      <c r="DT166" s="59">
        <f ca="1">AVERAGE(OFFSET($DS$3,0,0,'Données projet'!$E$14+1,1))-AVERAGE(OFFSET($H$3,0,0,'Données projet'!$E$14+1,1))</f>
        <v>286.10360882057586</v>
      </c>
      <c r="DU166" s="59">
        <f t="shared" si="152"/>
        <v>109.24531387923128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55.814311647431843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55.814311647431843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558.02641344143728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262.42149466677068</v>
      </c>
      <c r="T167" s="59">
        <f t="shared" si="142"/>
        <v>232.7693253699756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-1.0197709343628959E-13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249.37919739649828</v>
      </c>
      <c r="AO167" s="59">
        <f t="shared" si="144"/>
        <v>315.05045383693073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19.181814141754568</v>
      </c>
      <c r="AV167" s="21">
        <f>EXP(-LN(2)/25)*AV166+(1-EXP(-LN(2)/25))/(LN(2)/25)*Calculateur!AQ167*Calculateur!AS167*VLOOKUP('Données projet'!$B$10,Paramètres!$A$1:$I$89,3,0)*0.475*44/12</f>
        <v>2.2129844551189879</v>
      </c>
      <c r="AW167" s="21">
        <f>EXP(-LN(2)/2)*AW166+(1-EXP(-LN(2)/2))/(LN(2)/2)*AQ167*AT167*VLOOKUP('Données projet'!$B$10,Paramètres!$A$1:$I$89,3,0)*0.475*44/12</f>
        <v>2.2430041681126018E-15</v>
      </c>
      <c r="AX167" s="21">
        <f t="shared" si="166"/>
        <v>21.39479859687356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212.00000000000009</v>
      </c>
      <c r="BE167" s="13">
        <f>BD167*VLOOKUP('Données projet'!$B$11,Paramètres!$A$1:$I$89,3,0)*VLOOKUP('Données projet'!$B$11,Paramètres!$A$1:$I$89,5,0)</f>
        <v>185.20320000000009</v>
      </c>
      <c r="BF167" s="13">
        <f t="shared" si="167"/>
        <v>46.477875402099386</v>
      </c>
      <c r="BG167" s="20">
        <f t="shared" si="168"/>
        <v>403.5112063253232</v>
      </c>
      <c r="BH167" s="59">
        <f t="shared" si="116"/>
        <v>696.84453965865646</v>
      </c>
      <c r="BI167" s="59">
        <f ca="1">AVERAGE(OFFSET($BH$3,0,0,'Données projet'!$E$11+1,1))-AVERAGE(OFFSET($H$3,0,0,'Données projet'!$E$11+1,1))</f>
        <v>186.80594222554424</v>
      </c>
      <c r="BJ167" s="59">
        <f t="shared" si="146"/>
        <v>179.02867751001872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4.2047216842420339</v>
      </c>
      <c r="BQ167" s="21">
        <f>EXP(-LN(2)/25)*BQ166+(1-EXP(-LN(2)/25))/(LN(2)/25)*Calculateur!BL167*Calculateur!BN167*VLOOKUP('Données projet'!$B$11,Paramètres!$A$1:$I$89,3,0)*0.475*44/12</f>
        <v>2.3718741442085092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6.576595828450543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393.6858974358974</v>
      </c>
      <c r="BW167" s="12">
        <f>VLOOKUP(A167,'Données projet'!$A$113:$I$133,9,0)</f>
        <v>6.3403846153846128</v>
      </c>
      <c r="BX167" s="12">
        <f t="array" ref="BX167">INDEX(BW:BW,MIN(IF(ISNUMBER(BW167:BW363),ROW(BW167:BW363),"")))</f>
        <v>6.3403846153846128</v>
      </c>
      <c r="BY167" s="12">
        <f>IF('Données projet'!$A$114&gt;35,BY166+BX167-CG166,IF(A167&lt;'Données projet'!$A$114,$BV$205^A167,IF(A167='Données projet'!$A$114,'Données projet'!$B$114,BY166+BX167-CG166)))</f>
        <v>393.68589743589683</v>
      </c>
      <c r="BZ167" s="13">
        <f>BY167*VLOOKUP('Données projet'!$B$12,Paramètres!$A$1:$I$89,3,0)*VLOOKUP('Données projet'!$B$12,Paramètres!$A$1:$I$89,5,0)</f>
        <v>356.20699999999943</v>
      </c>
      <c r="CA167" s="13">
        <f t="shared" si="170"/>
        <v>82.839286468353521</v>
      </c>
      <c r="CB167" s="20">
        <f t="shared" si="171"/>
        <v>764.67228226571467</v>
      </c>
      <c r="CC167" s="59">
        <f t="shared" si="119"/>
        <v>1058.005615599048</v>
      </c>
      <c r="CD167" s="59">
        <f ca="1">AVERAGE(OFFSET($CC$3,0,0,'Données projet'!$E$12+1,1))-AVERAGE(OFFSET($H$3,0,0,'Données projet'!$E$12+1,1))</f>
        <v>265.17389489035344</v>
      </c>
      <c r="CE167" s="59">
        <f t="shared" si="148"/>
        <v>101.57852403610769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44.814102564102562</v>
      </c>
      <c r="CH167" s="16">
        <f>IF(ISNA(VLOOKUP(A167,'Données projet'!$A$113:$I$133,5,0)),0%,VLOOKUP(A167,'Données projet'!$A$113:$I$133,5,0)*VLOOKUP('Données projet'!$B$12,Paramètres!$A$1:$I$89,7,0))</f>
        <v>0.38700000000000001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69.375727652642539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69.375727652642539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-1.7053025658242404E-13</v>
      </c>
      <c r="CU167" s="17">
        <f>CT167*VLOOKUP('Données projet'!$B$13,Paramètres!$A$1:$I$89,3,0)*VLOOKUP('Données projet'!$B$13,Paramètres!$A$1:$I$89,5,0)</f>
        <v>-1.0197709343628959E-13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182.34243693018033</v>
      </c>
      <c r="CZ167" s="59">
        <f t="shared" si="150"/>
        <v>182.65916563909786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16.539584455550312</v>
      </c>
      <c r="DG167" s="21">
        <f>EXP(-LN(2)/25)*DG166+(1-EXP(-LN(2)/25))/(LN(2)/25)*Calculateur!DB167*Calculateur!DD167*VLOOKUP('Données projet'!$B$13,Paramètres!$A$1:$I$89,3,0)*0.475*44/12</f>
        <v>2.0215362384728435</v>
      </c>
      <c r="DH167" s="21">
        <f>EXP(-LN(2)/2)*DH166+(1-EXP(-LN(2)/2))/(LN(2)/2)*DB167*DE167*VLOOKUP('Données projet'!$B$13,Paramètres!$A$1:$I$89,3,0)*0.475*44/12</f>
        <v>7.0971780652358949E-15</v>
      </c>
      <c r="DI167" s="22">
        <f t="shared" si="175"/>
        <v>18.561120694023163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>
        <f>VLOOKUP(A167,'Données projet'!$A$165:$I$185,2,0)</f>
        <v>393.6858974358974</v>
      </c>
      <c r="DM167" s="12">
        <f>VLOOKUP(A167,'Données projet'!$A$165:$I$185,9,0)</f>
        <v>6.3403846153846128</v>
      </c>
      <c r="DN167" s="12">
        <f t="array" ref="DN167">INDEX(DM:DM,MIN(IF(ISNUMBER(DM167:DM363),ROW(DM167:DM363),"")))</f>
        <v>6.3403846153846128</v>
      </c>
      <c r="DO167" s="12">
        <f>IF('Données projet'!$A$166&gt;35,DO166+DN167-DW166,IF(A167&lt;'Données projet'!$A$166,$DL$205^A167,IF(A167='Données projet'!$A$166,'Données projet'!$B$166,DO166+DN167-DW166)))</f>
        <v>393.68589743589683</v>
      </c>
      <c r="DP167" s="17">
        <f>DO167*VLOOKUP('Données projet'!$B$14,Paramètres!$A$1:$I$89,3,0)*VLOOKUP('Données projet'!$B$14,Paramètres!$A$1:$I$89,5,0)</f>
        <v>374.63149999999945</v>
      </c>
      <c r="DQ167" s="13">
        <f t="shared" si="176"/>
        <v>86.614143784918298</v>
      </c>
      <c r="DR167" s="20">
        <f t="shared" si="177"/>
        <v>803.3361629253983</v>
      </c>
      <c r="DS167" s="59">
        <f t="shared" si="125"/>
        <v>1096.6694962587317</v>
      </c>
      <c r="DT167" s="59">
        <f ca="1">AVERAGE(OFFSET($DS$3,0,0,'Données projet'!$E$14+1,1))-AVERAGE(OFFSET($H$3,0,0,'Données projet'!$E$14+1,1))</f>
        <v>286.10360882057586</v>
      </c>
      <c r="DU167" s="59">
        <f t="shared" si="152"/>
        <v>109.24531387923128</v>
      </c>
      <c r="DV167" s="15">
        <f>IF(ISNA(VLOOKUP(A167,'Données projet'!$A$165:$I$185,3,0)),0,VLOOKUP(A167,'Données projet'!$A$165:$I$185,3,0))</f>
        <v>14</v>
      </c>
      <c r="DW167" s="15">
        <f>IF(ISNA(VLOOKUP(A167,'Données projet'!$A$165:$I$185,4,0)),0,VLOOKUP(A167,'Données projet'!$A$165:$I$185,4,0))</f>
        <v>44.814102564102562</v>
      </c>
      <c r="DX167" s="16">
        <f>IF(ISNA(VLOOKUP(A167,'Données projet'!$A$165:$I$185,5,0)),0%,VLOOKUP(A167,'Données projet'!$A$165:$I$185,5,0)*VLOOKUP('Données projet'!$B$14,Paramètres!$A$1:$I$89,7,0))</f>
        <v>0.38700000000000001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72.964127358813684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72.964127358813684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559.60106431391182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262.42149466677068</v>
      </c>
      <c r="T168" s="59">
        <f t="shared" si="142"/>
        <v>232.7693253699756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-1.0197709343628959E-13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249.37919739649828</v>
      </c>
      <c r="AO168" s="59">
        <f t="shared" si="144"/>
        <v>315.05045383693073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18.805670466186132</v>
      </c>
      <c r="AV168" s="21">
        <f>EXP(-LN(2)/25)*AV167+(1-EXP(-LN(2)/25))/(LN(2)/25)*Calculateur!AQ168*Calculateur!AS168*VLOOKUP('Données projet'!$B$10,Paramètres!$A$1:$I$89,3,0)*0.475*44/12</f>
        <v>2.1524702788179644</v>
      </c>
      <c r="AW168" s="21">
        <f>EXP(-LN(2)/2)*AW167+(1-EXP(-LN(2)/2))/(LN(2)/2)*AQ168*AT168*VLOOKUP('Données projet'!$B$10,Paramètres!$A$1:$I$89,3,0)*0.475*44/12</f>
        <v>1.5860434575021116E-15</v>
      </c>
      <c r="AX168" s="21">
        <f t="shared" si="166"/>
        <v>20.958140745004098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212.00000000000009</v>
      </c>
      <c r="BE168" s="13">
        <f>BD168*VLOOKUP('Données projet'!$B$11,Paramètres!$A$1:$I$89,3,0)*VLOOKUP('Données projet'!$B$11,Paramètres!$A$1:$I$89,5,0)</f>
        <v>185.20320000000009</v>
      </c>
      <c r="BF168" s="13">
        <f t="shared" si="167"/>
        <v>46.477875402099386</v>
      </c>
      <c r="BG168" s="20">
        <f t="shared" si="168"/>
        <v>403.5112063253232</v>
      </c>
      <c r="BH168" s="59">
        <f t="shared" si="116"/>
        <v>696.84453965865646</v>
      </c>
      <c r="BI168" s="59">
        <f ca="1">AVERAGE(OFFSET($BH$3,0,0,'Données projet'!$E$11+1,1))-AVERAGE(OFFSET($H$3,0,0,'Données projet'!$E$11+1,1))</f>
        <v>186.80594222554424</v>
      </c>
      <c r="BJ168" s="59">
        <f t="shared" si="146"/>
        <v>179.02867751001872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4.1222696566410395</v>
      </c>
      <c r="BQ168" s="21">
        <f>EXP(-LN(2)/25)*BQ167+(1-EXP(-LN(2)/25))/(LN(2)/25)*Calculateur!BL168*Calculateur!BN168*VLOOKUP('Données projet'!$B$11,Paramètres!$A$1:$I$89,3,0)*0.475*44/12</f>
        <v>2.3070151210036873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6.4292847776447264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6.4179487179487182</v>
      </c>
      <c r="BY168" s="12">
        <f>IF('Données projet'!$A$114&gt;35,BY167+BX168-CG167,IF(A168&lt;'Données projet'!$A$114,$BV$205^A168,IF(A168='Données projet'!$A$114,'Données projet'!$B$114,BY167+BX168-CG167)))</f>
        <v>355.28974358974301</v>
      </c>
      <c r="BZ168" s="13">
        <f>BY168*VLOOKUP('Données projet'!$B$12,Paramètres!$A$1:$I$89,3,0)*VLOOKUP('Données projet'!$B$12,Paramètres!$A$1:$I$89,5,0)</f>
        <v>321.46615999999949</v>
      </c>
      <c r="CA168" s="13">
        <f t="shared" si="170"/>
        <v>75.658335555310842</v>
      </c>
      <c r="CB168" s="20">
        <f t="shared" si="171"/>
        <v>691.65849642549881</v>
      </c>
      <c r="CC168" s="59">
        <f t="shared" si="119"/>
        <v>984.99182975883218</v>
      </c>
      <c r="CD168" s="59">
        <f ca="1">AVERAGE(OFFSET($CC$3,0,0,'Données projet'!$E$12+1,1))-AVERAGE(OFFSET($H$3,0,0,'Données projet'!$E$12+1,1))</f>
        <v>265.17389489035344</v>
      </c>
      <c r="CE168" s="59">
        <f t="shared" si="148"/>
        <v>101.57852403610769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68.015311948389822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68.015311948389822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-1.7053025658242404E-13</v>
      </c>
      <c r="CU168" s="17">
        <f>CT168*VLOOKUP('Données projet'!$B$13,Paramètres!$A$1:$I$89,3,0)*VLOOKUP('Données projet'!$B$13,Paramètres!$A$1:$I$89,5,0)</f>
        <v>-1.0197709343628959E-13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182.34243693018033</v>
      </c>
      <c r="CZ168" s="59">
        <f t="shared" si="150"/>
        <v>182.65916563909786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16.215253292527365</v>
      </c>
      <c r="DG168" s="21">
        <f>EXP(-LN(2)/25)*DG167+(1-EXP(-LN(2)/25))/(LN(2)/25)*Calculateur!DB168*Calculateur!DD168*VLOOKUP('Données projet'!$B$13,Paramètres!$A$1:$I$89,3,0)*0.475*44/12</f>
        <v>1.9662572237238332</v>
      </c>
      <c r="DH168" s="21">
        <f>EXP(-LN(2)/2)*DH167+(1-EXP(-LN(2)/2))/(LN(2)/2)*DB168*DE168*VLOOKUP('Données projet'!$B$13,Paramètres!$A$1:$I$89,3,0)*0.475*44/12</f>
        <v>5.018462737216723E-15</v>
      </c>
      <c r="DI168" s="22">
        <f t="shared" si="175"/>
        <v>18.181510516251201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6.4179487179487182</v>
      </c>
      <c r="DO168" s="12">
        <f>IF('Données projet'!$A$166&gt;35,DO167+DN168-DW167,IF(A168&lt;'Données projet'!$A$166,$DL$205^A168,IF(A168='Données projet'!$A$166,'Données projet'!$B$166,DO167+DN168-DW167)))</f>
        <v>355.28974358974301</v>
      </c>
      <c r="DP168" s="17">
        <f>DO168*VLOOKUP('Données projet'!$B$14,Paramètres!$A$1:$I$89,3,0)*VLOOKUP('Données projet'!$B$14,Paramètres!$A$1:$I$89,5,0)</f>
        <v>338.09371999999945</v>
      </c>
      <c r="DQ168" s="13">
        <f t="shared" si="176"/>
        <v>79.105968118384311</v>
      </c>
      <c r="DR168" s="20">
        <f t="shared" si="177"/>
        <v>726.62279013951832</v>
      </c>
      <c r="DS168" s="59">
        <f t="shared" si="125"/>
        <v>1019.9561234728517</v>
      </c>
      <c r="DT168" s="59">
        <f ca="1">AVERAGE(OFFSET($DS$3,0,0,'Données projet'!$E$14+1,1))-AVERAGE(OFFSET($H$3,0,0,'Données projet'!$E$14+1,1))</f>
        <v>286.10360882057586</v>
      </c>
      <c r="DU168" s="59">
        <f t="shared" si="152"/>
        <v>109.24531387923128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71.533345325030652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71.533345325030652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561.17550527286198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262.42149466677068</v>
      </c>
      <c r="T169" s="59">
        <f t="shared" si="142"/>
        <v>232.7693253699756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-1.0197709343628959E-13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249.37919739649828</v>
      </c>
      <c r="AO169" s="59">
        <f t="shared" si="144"/>
        <v>315.05045383693073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18.436902738670607</v>
      </c>
      <c r="AV169" s="21">
        <f>EXP(-LN(2)/25)*AV168+(1-EXP(-LN(2)/25))/(LN(2)/25)*Calculateur!AQ169*Calculateur!AS169*VLOOKUP('Données projet'!$B$10,Paramètres!$A$1:$I$89,3,0)*0.475*44/12</f>
        <v>2.0936108658501946</v>
      </c>
      <c r="AW169" s="21">
        <f>EXP(-LN(2)/2)*AW168+(1-EXP(-LN(2)/2))/(LN(2)/2)*AQ169*AT169*VLOOKUP('Données projet'!$B$10,Paramètres!$A$1:$I$89,3,0)*0.475*44/12</f>
        <v>1.1215020840563009E-15</v>
      </c>
      <c r="AX169" s="21">
        <f t="shared" si="166"/>
        <v>20.530513604520802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212.00000000000009</v>
      </c>
      <c r="BE169" s="13">
        <f>BD169*VLOOKUP('Données projet'!$B$11,Paramètres!$A$1:$I$89,3,0)*VLOOKUP('Données projet'!$B$11,Paramètres!$A$1:$I$89,5,0)</f>
        <v>185.20320000000009</v>
      </c>
      <c r="BF169" s="13">
        <f t="shared" si="167"/>
        <v>46.477875402099386</v>
      </c>
      <c r="BG169" s="20">
        <f t="shared" si="168"/>
        <v>403.5112063253232</v>
      </c>
      <c r="BH169" s="59">
        <f t="shared" si="116"/>
        <v>696.84453965865646</v>
      </c>
      <c r="BI169" s="59">
        <f ca="1">AVERAGE(OFFSET($BH$3,0,0,'Données projet'!$E$11+1,1))-AVERAGE(OFFSET($H$3,0,0,'Données projet'!$E$11+1,1))</f>
        <v>186.80594222554424</v>
      </c>
      <c r="BJ169" s="59">
        <f t="shared" si="146"/>
        <v>179.02867751001872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4.0414344630105292</v>
      </c>
      <c r="BQ169" s="21">
        <f>EXP(-LN(2)/25)*BQ168+(1-EXP(-LN(2)/25))/(LN(2)/25)*Calculateur!BL169*Calculateur!BN169*VLOOKUP('Données projet'!$B$11,Paramètres!$A$1:$I$89,3,0)*0.475*44/12</f>
        <v>2.2439296711991892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6.2853641342097184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6.4179487179487182</v>
      </c>
      <c r="BY169" s="12">
        <f>IF('Données projet'!$A$114&gt;35,BY168+BX169-CG168,IF(A169&lt;'Données projet'!$A$114,$BV$205^A169,IF(A169='Données projet'!$A$114,'Données projet'!$B$114,BY168+BX169-CG168)))</f>
        <v>361.70769230769173</v>
      </c>
      <c r="BZ169" s="13">
        <f>BY169*VLOOKUP('Données projet'!$B$12,Paramètres!$A$1:$I$89,3,0)*VLOOKUP('Données projet'!$B$12,Paramètres!$A$1:$I$89,5,0)</f>
        <v>327.27311999999944</v>
      </c>
      <c r="CA169" s="13">
        <f t="shared" si="170"/>
        <v>76.864682645751117</v>
      </c>
      <c r="CB169" s="20">
        <f t="shared" si="171"/>
        <v>703.8733396080155</v>
      </c>
      <c r="CC169" s="59">
        <f t="shared" si="119"/>
        <v>997.20667294134887</v>
      </c>
      <c r="CD169" s="59">
        <f ca="1">AVERAGE(OFFSET($CC$3,0,0,'Données projet'!$E$12+1,1))-AVERAGE(OFFSET($H$3,0,0,'Données projet'!$E$12+1,1))</f>
        <v>265.17389489035344</v>
      </c>
      <c r="CE169" s="59">
        <f t="shared" si="148"/>
        <v>101.57852403610769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66.681573166325862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66.681573166325862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-1.7053025658242404E-13</v>
      </c>
      <c r="CU169" s="17">
        <f>CT169*VLOOKUP('Données projet'!$B$13,Paramètres!$A$1:$I$89,3,0)*VLOOKUP('Données projet'!$B$13,Paramètres!$A$1:$I$89,5,0)</f>
        <v>-1.0197709343628959E-13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182.34243693018033</v>
      </c>
      <c r="CZ169" s="59">
        <f t="shared" si="150"/>
        <v>182.65916563909786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15.897282065788822</v>
      </c>
      <c r="DG169" s="21">
        <f>EXP(-LN(2)/25)*DG168+(1-EXP(-LN(2)/25))/(LN(2)/25)*Calculateur!DB169*Calculateur!DD169*VLOOKUP('Données projet'!$B$13,Paramètres!$A$1:$I$89,3,0)*0.475*44/12</f>
        <v>1.9124898165401314</v>
      </c>
      <c r="DH169" s="21">
        <f>EXP(-LN(2)/2)*DH168+(1-EXP(-LN(2)/2))/(LN(2)/2)*DB169*DE169*VLOOKUP('Données projet'!$B$13,Paramètres!$A$1:$I$89,3,0)*0.475*44/12</f>
        <v>3.5485890326179478E-15</v>
      </c>
      <c r="DI169" s="22">
        <f t="shared" si="175"/>
        <v>17.809771882328956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6.4179487179487182</v>
      </c>
      <c r="DO169" s="12">
        <f>IF('Données projet'!$A$166&gt;35,DO168+DN169-DW168,IF(A169&lt;'Données projet'!$A$166,$DL$205^A169,IF(A169='Données projet'!$A$166,'Données projet'!$B$166,DO168+DN169-DW168)))</f>
        <v>361.70769230769173</v>
      </c>
      <c r="DP169" s="17">
        <f>DO169*VLOOKUP('Données projet'!$B$14,Paramètres!$A$1:$I$89,3,0)*VLOOKUP('Données projet'!$B$14,Paramètres!$A$1:$I$89,5,0)</f>
        <v>344.20103999999947</v>
      </c>
      <c r="DQ169" s="13">
        <f t="shared" si="176"/>
        <v>80.367286567642481</v>
      </c>
      <c r="DR169" s="20">
        <f t="shared" si="177"/>
        <v>739.4565021053096</v>
      </c>
      <c r="DS169" s="59">
        <f t="shared" si="125"/>
        <v>1032.789835438643</v>
      </c>
      <c r="DT169" s="59">
        <f ca="1">AVERAGE(OFFSET($DS$3,0,0,'Données projet'!$E$14+1,1))-AVERAGE(OFFSET($H$3,0,0,'Données projet'!$E$14+1,1))</f>
        <v>286.10360882057586</v>
      </c>
      <c r="DU169" s="59">
        <f t="shared" si="152"/>
        <v>109.24531387923128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70.130620054239245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70.130620054239245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562.74973772954172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262.42149466677068</v>
      </c>
      <c r="T170" s="59">
        <f t="shared" si="142"/>
        <v>232.7693253699756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-1.0197709343628959E-13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249.37919739649828</v>
      </c>
      <c r="AO170" s="59">
        <f t="shared" si="144"/>
        <v>315.05045383693073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18.075366321365557</v>
      </c>
      <c r="AV170" s="21">
        <f>EXP(-LN(2)/25)*AV169+(1-EXP(-LN(2)/25))/(LN(2)/25)*Calculateur!AQ170*Calculateur!AS170*VLOOKUP('Données projet'!$B$10,Paramètres!$A$1:$I$89,3,0)*0.475*44/12</f>
        <v>2.0363609666253106</v>
      </c>
      <c r="AW170" s="21">
        <f>EXP(-LN(2)/2)*AW169+(1-EXP(-LN(2)/2))/(LN(2)/2)*AQ170*AT170*VLOOKUP('Données projet'!$B$10,Paramètres!$A$1:$I$89,3,0)*0.475*44/12</f>
        <v>7.9302172875105579E-16</v>
      </c>
      <c r="AX170" s="21">
        <f t="shared" si="166"/>
        <v>20.111727287990867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212.00000000000009</v>
      </c>
      <c r="BE170" s="13">
        <f>BD170*VLOOKUP('Données projet'!$B$11,Paramètres!$A$1:$I$89,3,0)*VLOOKUP('Données projet'!$B$11,Paramètres!$A$1:$I$89,5,0)</f>
        <v>185.20320000000009</v>
      </c>
      <c r="BF170" s="13">
        <f t="shared" si="167"/>
        <v>46.477875402099386</v>
      </c>
      <c r="BG170" s="20">
        <f t="shared" si="168"/>
        <v>403.5112063253232</v>
      </c>
      <c r="BH170" s="59">
        <f t="shared" si="116"/>
        <v>696.84453965865646</v>
      </c>
      <c r="BI170" s="59">
        <f ca="1">AVERAGE(OFFSET($BH$3,0,0,'Données projet'!$E$11+1,1))-AVERAGE(OFFSET($H$3,0,0,'Données projet'!$E$11+1,1))</f>
        <v>186.80594222554424</v>
      </c>
      <c r="BJ170" s="59">
        <f t="shared" si="146"/>
        <v>179.02867751001872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3.9621843982225133</v>
      </c>
      <c r="BQ170" s="21">
        <f>EXP(-LN(2)/25)*BQ169+(1-EXP(-LN(2)/25))/(LN(2)/25)*Calculateur!BL170*Calculateur!BN170*VLOOKUP('Données projet'!$B$11,Paramètres!$A$1:$I$89,3,0)*0.475*44/12</f>
        <v>2.1825692963371144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6.1447536945596273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6.4179487179487182</v>
      </c>
      <c r="BY170" s="12">
        <f>IF('Données projet'!$A$114&gt;35,BY169+BX170-CG169,IF(A170&lt;'Données projet'!$A$114,$BV$205^A170,IF(A170='Données projet'!$A$114,'Données projet'!$B$114,BY169+BX170-CG169)))</f>
        <v>368.12564102564045</v>
      </c>
      <c r="BZ170" s="13">
        <f>BY170*VLOOKUP('Données projet'!$B$12,Paramètres!$A$1:$I$89,3,0)*VLOOKUP('Données projet'!$B$12,Paramètres!$A$1:$I$89,5,0)</f>
        <v>333.08007999999944</v>
      </c>
      <c r="CA170" s="13">
        <f t="shared" si="170"/>
        <v>78.068540652807755</v>
      </c>
      <c r="CB170" s="20">
        <f t="shared" si="171"/>
        <v>716.08384763697256</v>
      </c>
      <c r="CC170" s="59">
        <f t="shared" si="119"/>
        <v>1009.4171809703059</v>
      </c>
      <c r="CD170" s="59">
        <f ca="1">AVERAGE(OFFSET($CC$3,0,0,'Données projet'!$E$12+1,1))-AVERAGE(OFFSET($H$3,0,0,'Données projet'!$E$12+1,1))</f>
        <v>265.17389489035344</v>
      </c>
      <c r="CE170" s="59">
        <f t="shared" si="148"/>
        <v>101.57852403610769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65.373988188277835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65.373988188277835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-1.7053025658242404E-13</v>
      </c>
      <c r="CU170" s="17">
        <f>CT170*VLOOKUP('Données projet'!$B$13,Paramètres!$A$1:$I$89,3,0)*VLOOKUP('Données projet'!$B$13,Paramètres!$A$1:$I$89,5,0)</f>
        <v>-1.0197709343628959E-13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182.34243693018033</v>
      </c>
      <c r="CZ170" s="59">
        <f t="shared" si="150"/>
        <v>182.65916563909786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15.585546060863326</v>
      </c>
      <c r="DG170" s="21">
        <f>EXP(-LN(2)/25)*DG169+(1-EXP(-LN(2)/25))/(LN(2)/25)*Calculateur!DB170*Calculateur!DD170*VLOOKUP('Données projet'!$B$13,Paramètres!$A$1:$I$89,3,0)*0.475*44/12</f>
        <v>1.8601926819333732</v>
      </c>
      <c r="DH170" s="21">
        <f>EXP(-LN(2)/2)*DH169+(1-EXP(-LN(2)/2))/(LN(2)/2)*DB170*DE170*VLOOKUP('Données projet'!$B$13,Paramètres!$A$1:$I$89,3,0)*0.475*44/12</f>
        <v>2.5092313686083619E-15</v>
      </c>
      <c r="DI170" s="22">
        <f t="shared" si="175"/>
        <v>17.445738742796703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6.4179487179487182</v>
      </c>
      <c r="DO170" s="12">
        <f>IF('Données projet'!$A$166&gt;35,DO169+DN170-DW169,IF(A170&lt;'Données projet'!$A$166,$DL$205^A170,IF(A170='Données projet'!$A$166,'Données projet'!$B$166,DO169+DN170-DW169)))</f>
        <v>368.12564102564045</v>
      </c>
      <c r="DP170" s="17">
        <f>DO170*VLOOKUP('Données projet'!$B$14,Paramètres!$A$1:$I$89,3,0)*VLOOKUP('Données projet'!$B$14,Paramètres!$A$1:$I$89,5,0)</f>
        <v>350.30835999999942</v>
      </c>
      <c r="DQ170" s="13">
        <f t="shared" si="176"/>
        <v>81.626002509862275</v>
      </c>
      <c r="DR170" s="20">
        <f t="shared" si="177"/>
        <v>752.28568137134243</v>
      </c>
      <c r="DS170" s="59">
        <f t="shared" si="125"/>
        <v>1045.6190147046757</v>
      </c>
      <c r="DT170" s="59">
        <f ca="1">AVERAGE(OFFSET($DS$3,0,0,'Données projet'!$E$14+1,1))-AVERAGE(OFFSET($H$3,0,0,'Données projet'!$E$14+1,1))</f>
        <v>286.10360882057586</v>
      </c>
      <c r="DU170" s="59">
        <f t="shared" si="152"/>
        <v>109.24531387923128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68.755401370430121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68.755401370430121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564.32376307732591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262.42149466677068</v>
      </c>
      <c r="T171" s="59">
        <f t="shared" si="142"/>
        <v>232.7693253699756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-1.0197709343628959E-13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249.37919739649828</v>
      </c>
      <c r="AO171" s="59">
        <f t="shared" si="144"/>
        <v>315.05045383693073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17.720919412688417</v>
      </c>
      <c r="AV171" s="21">
        <f>EXP(-LN(2)/25)*AV170+(1-EXP(-LN(2)/25))/(LN(2)/25)*Calculateur!AQ171*Calculateur!AS171*VLOOKUP('Données projet'!$B$10,Paramètres!$A$1:$I$89,3,0)*0.475*44/12</f>
        <v>1.9806765689053725</v>
      </c>
      <c r="AW171" s="21">
        <f>EXP(-LN(2)/2)*AW170+(1-EXP(-LN(2)/2))/(LN(2)/2)*AQ171*AT171*VLOOKUP('Données projet'!$B$10,Paramètres!$A$1:$I$89,3,0)*0.475*44/12</f>
        <v>5.6075104202815044E-16</v>
      </c>
      <c r="AX171" s="21">
        <f t="shared" si="166"/>
        <v>19.70159598159379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212.00000000000009</v>
      </c>
      <c r="BE171" s="13">
        <f>BD171*VLOOKUP('Données projet'!$B$11,Paramètres!$A$1:$I$89,3,0)*VLOOKUP('Données projet'!$B$11,Paramètres!$A$1:$I$89,5,0)</f>
        <v>185.20320000000009</v>
      </c>
      <c r="BF171" s="13">
        <f t="shared" si="167"/>
        <v>46.477875402099386</v>
      </c>
      <c r="BG171" s="20">
        <f t="shared" si="168"/>
        <v>403.5112063253232</v>
      </c>
      <c r="BH171" s="59">
        <f t="shared" si="116"/>
        <v>696.84453965865646</v>
      </c>
      <c r="BI171" s="59">
        <f ca="1">AVERAGE(OFFSET($BH$3,0,0,'Données projet'!$E$11+1,1))-AVERAGE(OFFSET($H$3,0,0,'Données projet'!$E$11+1,1))</f>
        <v>186.80594222554424</v>
      </c>
      <c r="BJ171" s="59">
        <f t="shared" si="146"/>
        <v>179.02867751001872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3.884488378867224</v>
      </c>
      <c r="BQ171" s="21">
        <f>EXP(-LN(2)/25)*BQ170+(1-EXP(-LN(2)/25))/(LN(2)/25)*Calculateur!BL171*Calculateur!BN171*VLOOKUP('Données projet'!$B$11,Paramètres!$A$1:$I$89,3,0)*0.475*44/12</f>
        <v>2.1228868241524452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6.0073752030196692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6.4179487179487182</v>
      </c>
      <c r="BY171" s="12">
        <f>IF('Données projet'!$A$114&gt;35,BY170+BX171-CG170,IF(A171&lt;'Données projet'!$A$114,$BV$205^A171,IF(A171='Données projet'!$A$114,'Données projet'!$B$114,BY170+BX171-CG170)))</f>
        <v>374.54358974358917</v>
      </c>
      <c r="BZ171" s="13">
        <f>BY171*VLOOKUP('Données projet'!$B$12,Paramètres!$A$1:$I$89,3,0)*VLOOKUP('Données projet'!$B$12,Paramètres!$A$1:$I$89,5,0)</f>
        <v>338.88703999999944</v>
      </c>
      <c r="CA171" s="13">
        <f t="shared" si="170"/>
        <v>79.26995797846979</v>
      </c>
      <c r="CB171" s="20">
        <f t="shared" si="171"/>
        <v>728.29010481250054</v>
      </c>
      <c r="CC171" s="59">
        <f t="shared" si="119"/>
        <v>1021.6234381458339</v>
      </c>
      <c r="CD171" s="59">
        <f ca="1">AVERAGE(OFFSET($CC$3,0,0,'Données projet'!$E$12+1,1))-AVERAGE(OFFSET($H$3,0,0,'Données projet'!$E$12+1,1))</f>
        <v>265.17389489035344</v>
      </c>
      <c r="CE171" s="59">
        <f t="shared" si="148"/>
        <v>101.57852403610769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64.092044154101245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64.092044154101245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-1.7053025658242404E-13</v>
      </c>
      <c r="CU171" s="17">
        <f>CT171*VLOOKUP('Données projet'!$B$13,Paramètres!$A$1:$I$89,3,0)*VLOOKUP('Données projet'!$B$13,Paramètres!$A$1:$I$89,5,0)</f>
        <v>-1.0197709343628959E-13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182.34243693018033</v>
      </c>
      <c r="CZ171" s="59">
        <f t="shared" si="150"/>
        <v>182.65916563909786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15.279923008854229</v>
      </c>
      <c r="DG171" s="21">
        <f>EXP(-LN(2)/25)*DG170+(1-EXP(-LN(2)/25))/(LN(2)/25)*Calculateur!DB171*Calculateur!DD171*VLOOKUP('Données projet'!$B$13,Paramètres!$A$1:$I$89,3,0)*0.475*44/12</f>
        <v>1.8093256152226234</v>
      </c>
      <c r="DH171" s="21">
        <f>EXP(-LN(2)/2)*DH170+(1-EXP(-LN(2)/2))/(LN(2)/2)*DB171*DE171*VLOOKUP('Données projet'!$B$13,Paramètres!$A$1:$I$89,3,0)*0.475*44/12</f>
        <v>1.7742945163089743E-15</v>
      </c>
      <c r="DI171" s="22">
        <f t="shared" si="175"/>
        <v>17.089248624076852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6.4179487179487182</v>
      </c>
      <c r="DO171" s="12">
        <f>IF('Données projet'!$A$166&gt;35,DO170+DN171-DW170,IF(A171&lt;'Données projet'!$A$166,$DL$205^A171,IF(A171='Données projet'!$A$166,'Données projet'!$B$166,DO170+DN171-DW170)))</f>
        <v>374.54358974358917</v>
      </c>
      <c r="DP171" s="17">
        <f>DO171*VLOOKUP('Données projet'!$B$14,Paramètres!$A$1:$I$89,3,0)*VLOOKUP('Données projet'!$B$14,Paramètres!$A$1:$I$89,5,0)</f>
        <v>356.41567999999944</v>
      </c>
      <c r="DQ171" s="13">
        <f t="shared" si="176"/>
        <v>82.882166552636136</v>
      </c>
      <c r="DR171" s="20">
        <f t="shared" si="177"/>
        <v>765.11041607917366</v>
      </c>
      <c r="DS171" s="59">
        <f t="shared" si="125"/>
        <v>1058.443749412507</v>
      </c>
      <c r="DT171" s="59">
        <f ca="1">AVERAGE(OFFSET($DS$3,0,0,'Données projet'!$E$14+1,1))-AVERAGE(OFFSET($H$3,0,0,'Données projet'!$E$14+1,1))</f>
        <v>286.10360882057586</v>
      </c>
      <c r="DU171" s="59">
        <f t="shared" si="152"/>
        <v>109.24531387923128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67.407149886209922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67.407149886209922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565.89758269204208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262.42149466677068</v>
      </c>
      <c r="T172" s="59">
        <f t="shared" si="142"/>
        <v>232.7693253699756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-1.0197709343628959E-13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249.37919739649828</v>
      </c>
      <c r="AO172" s="59">
        <f t="shared" si="144"/>
        <v>315.05045383693073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17.373422991699169</v>
      </c>
      <c r="AV172" s="21">
        <f>EXP(-LN(2)/25)*AV171+(1-EXP(-LN(2)/25))/(LN(2)/25)*Calculateur!AQ172*Calculateur!AS172*VLOOKUP('Données projet'!$B$10,Paramètres!$A$1:$I$89,3,0)*0.475*44/12</f>
        <v>1.9265148639694012</v>
      </c>
      <c r="AW172" s="21">
        <f>EXP(-LN(2)/2)*AW171+(1-EXP(-LN(2)/2))/(LN(2)/2)*AQ172*AT172*VLOOKUP('Données projet'!$B$10,Paramètres!$A$1:$I$89,3,0)*0.475*44/12</f>
        <v>3.965108643755279E-16</v>
      </c>
      <c r="AX172" s="21">
        <f t="shared" si="166"/>
        <v>19.299937855668571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212.00000000000009</v>
      </c>
      <c r="BE172" s="13">
        <f>BD172*VLOOKUP('Données projet'!$B$11,Paramètres!$A$1:$I$89,3,0)*VLOOKUP('Données projet'!$B$11,Paramètres!$A$1:$I$89,5,0)</f>
        <v>185.20320000000009</v>
      </c>
      <c r="BF172" s="13">
        <f t="shared" si="167"/>
        <v>46.477875402099386</v>
      </c>
      <c r="BG172" s="20">
        <f t="shared" si="168"/>
        <v>403.5112063253232</v>
      </c>
      <c r="BH172" s="59">
        <f t="shared" si="116"/>
        <v>696.84453965865646</v>
      </c>
      <c r="BI172" s="59">
        <f ca="1">AVERAGE(OFFSET($BH$3,0,0,'Données projet'!$E$11+1,1))-AVERAGE(OFFSET($H$3,0,0,'Données projet'!$E$11+1,1))</f>
        <v>186.80594222554424</v>
      </c>
      <c r="BJ172" s="59">
        <f t="shared" si="146"/>
        <v>179.02867751001872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3.8083159310615997</v>
      </c>
      <c r="BQ172" s="21">
        <f>EXP(-LN(2)/25)*BQ171+(1-EXP(-LN(2)/25))/(LN(2)/25)*Calculateur!BL172*Calculateur!BN172*VLOOKUP('Données projet'!$B$11,Paramètres!$A$1:$I$89,3,0)*0.475*44/12</f>
        <v>2.0648363723082306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5.8731523033698299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6.4179487179487182</v>
      </c>
      <c r="BY172" s="12">
        <f>IF('Données projet'!$A$114&gt;35,BY171+BX172-CG171,IF(A172&lt;'Données projet'!$A$114,$BV$205^A172,IF(A172='Données projet'!$A$114,'Données projet'!$B$114,BY171+BX172-CG171)))</f>
        <v>380.96153846153788</v>
      </c>
      <c r="BZ172" s="13">
        <f>BY172*VLOOKUP('Données projet'!$B$12,Paramètres!$A$1:$I$89,3,0)*VLOOKUP('Données projet'!$B$12,Paramètres!$A$1:$I$89,5,0)</f>
        <v>344.69399999999945</v>
      </c>
      <c r="CA172" s="13">
        <f t="shared" si="170"/>
        <v>80.468981270905161</v>
      </c>
      <c r="CB172" s="20">
        <f t="shared" si="171"/>
        <v>740.49219238015883</v>
      </c>
      <c r="CC172" s="59">
        <f t="shared" si="119"/>
        <v>1033.8255257134922</v>
      </c>
      <c r="CD172" s="59">
        <f ca="1">AVERAGE(OFFSET($CC$3,0,0,'Données projet'!$E$12+1,1))-AVERAGE(OFFSET($H$3,0,0,'Données projet'!$E$12+1,1))</f>
        <v>265.17389489035344</v>
      </c>
      <c r="CE172" s="59">
        <f t="shared" si="148"/>
        <v>101.57852403610769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62.835238260526211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62.835238260526211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-1.7053025658242404E-13</v>
      </c>
      <c r="CU172" s="17">
        <f>CT172*VLOOKUP('Données projet'!$B$13,Paramètres!$A$1:$I$89,3,0)*VLOOKUP('Données projet'!$B$13,Paramètres!$A$1:$I$89,5,0)</f>
        <v>-1.0197709343628959E-13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182.34243693018033</v>
      </c>
      <c r="CZ172" s="59">
        <f t="shared" si="150"/>
        <v>182.65916563909786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14.980293038483376</v>
      </c>
      <c r="DG172" s="21">
        <f>EXP(-LN(2)/25)*DG171+(1-EXP(-LN(2)/25))/(LN(2)/25)*Calculateur!DB172*Calculateur!DD172*VLOOKUP('Données projet'!$B$13,Paramètres!$A$1:$I$89,3,0)*0.475*44/12</f>
        <v>1.7598495111260619</v>
      </c>
      <c r="DH172" s="21">
        <f>EXP(-LN(2)/2)*DH171+(1-EXP(-LN(2)/2))/(LN(2)/2)*DB172*DE172*VLOOKUP('Données projet'!$B$13,Paramètres!$A$1:$I$89,3,0)*0.475*44/12</f>
        <v>1.2546156843041811E-15</v>
      </c>
      <c r="DI172" s="22">
        <f t="shared" si="175"/>
        <v>16.740142549609438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6.4179487179487182</v>
      </c>
      <c r="DO172" s="12">
        <f>IF('Données projet'!$A$166&gt;35,DO171+DN172-DW171,IF(A172&lt;'Données projet'!$A$166,$DL$205^A172,IF(A172='Données projet'!$A$166,'Données projet'!$B$166,DO171+DN172-DW171)))</f>
        <v>380.96153846153788</v>
      </c>
      <c r="DP172" s="17">
        <f>DO172*VLOOKUP('Données projet'!$B$14,Paramètres!$A$1:$I$89,3,0)*VLOOKUP('Données projet'!$B$14,Paramètres!$A$1:$I$89,5,0)</f>
        <v>362.52299999999946</v>
      </c>
      <c r="DQ172" s="13">
        <f t="shared" si="176"/>
        <v>84.135827469816192</v>
      </c>
      <c r="DR172" s="20">
        <f t="shared" si="177"/>
        <v>777.93079117659556</v>
      </c>
      <c r="DS172" s="59">
        <f t="shared" si="125"/>
        <v>1071.2641245099289</v>
      </c>
      <c r="DT172" s="59">
        <f ca="1">AVERAGE(OFFSET($DS$3,0,0,'Données projet'!$E$14+1,1))-AVERAGE(OFFSET($H$3,0,0,'Données projet'!$E$14+1,1))</f>
        <v>286.10360882057586</v>
      </c>
      <c r="DU172" s="59">
        <f t="shared" si="152"/>
        <v>109.24531387923128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66.08533679124308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66.08533679124308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567.4711979322941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262.42149466677068</v>
      </c>
      <c r="T173" s="59">
        <f t="shared" si="142"/>
        <v>232.7693253699756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-1.0197709343628959E-13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249.37919739649828</v>
      </c>
      <c r="AO173" s="59">
        <f t="shared" si="144"/>
        <v>315.05045383693073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17.032740763573631</v>
      </c>
      <c r="AV173" s="21">
        <f>EXP(-LN(2)/25)*AV172+(1-EXP(-LN(2)/25))/(LN(2)/25)*Calculateur!AQ173*Calculateur!AS173*VLOOKUP('Données projet'!$B$10,Paramètres!$A$1:$I$89,3,0)*0.475*44/12</f>
        <v>1.8738342137031443</v>
      </c>
      <c r="AW173" s="21">
        <f>EXP(-LN(2)/2)*AW172+(1-EXP(-LN(2)/2))/(LN(2)/2)*AQ173*AT173*VLOOKUP('Données projet'!$B$10,Paramètres!$A$1:$I$89,3,0)*0.475*44/12</f>
        <v>2.8037552101407522E-16</v>
      </c>
      <c r="AX173" s="21">
        <f t="shared" si="166"/>
        <v>18.906574977276776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212.00000000000009</v>
      </c>
      <c r="BE173" s="13">
        <f>BD173*VLOOKUP('Données projet'!$B$11,Paramètres!$A$1:$I$89,3,0)*VLOOKUP('Données projet'!$B$11,Paramètres!$A$1:$I$89,5,0)</f>
        <v>185.20320000000009</v>
      </c>
      <c r="BF173" s="13">
        <f t="shared" si="167"/>
        <v>46.477875402099386</v>
      </c>
      <c r="BG173" s="20">
        <f t="shared" si="168"/>
        <v>403.5112063253232</v>
      </c>
      <c r="BH173" s="59">
        <f t="shared" si="116"/>
        <v>696.84453965865646</v>
      </c>
      <c r="BI173" s="59">
        <f ca="1">AVERAGE(OFFSET($BH$3,0,0,'Données projet'!$E$11+1,1))-AVERAGE(OFFSET($H$3,0,0,'Données projet'!$E$11+1,1))</f>
        <v>186.80594222554424</v>
      </c>
      <c r="BJ173" s="59">
        <f t="shared" si="146"/>
        <v>179.02867751001872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3.7336371784968381</v>
      </c>
      <c r="BQ173" s="21">
        <f>EXP(-LN(2)/25)*BQ172+(1-EXP(-LN(2)/25))/(LN(2)/25)*Calculateur!BL173*Calculateur!BN173*VLOOKUP('Données projet'!$B$11,Paramètres!$A$1:$I$89,3,0)*0.475*44/12</f>
        <v>2.0083733131224366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5.7420104916192747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6.4179487179487182</v>
      </c>
      <c r="BY173" s="12">
        <f>IF('Données projet'!$A$114&gt;35,BY172+BX173-CG172,IF(A173&lt;'Données projet'!$A$114,$BV$205^A173,IF(A173='Données projet'!$A$114,'Données projet'!$B$114,BY172+BX173-CG172)))</f>
        <v>387.3794871794866</v>
      </c>
      <c r="BZ173" s="13">
        <f>BY173*VLOOKUP('Données projet'!$B$12,Paramètres!$A$1:$I$89,3,0)*VLOOKUP('Données projet'!$B$12,Paramètres!$A$1:$I$89,5,0)</f>
        <v>350.50095999999945</v>
      </c>
      <c r="CA173" s="13">
        <f t="shared" si="170"/>
        <v>81.665655516464668</v>
      </c>
      <c r="CB173" s="20">
        <f t="shared" si="171"/>
        <v>752.69018869117497</v>
      </c>
      <c r="CC173" s="59">
        <f t="shared" si="119"/>
        <v>1046.0235220245083</v>
      </c>
      <c r="CD173" s="59">
        <f ca="1">AVERAGE(OFFSET($CC$3,0,0,'Données projet'!$E$12+1,1))-AVERAGE(OFFSET($H$3,0,0,'Données projet'!$E$12+1,1))</f>
        <v>265.17389489035344</v>
      </c>
      <c r="CE173" s="59">
        <f t="shared" si="148"/>
        <v>101.57852403610769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61.603077563948283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61.603077563948283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-1.7053025658242404E-13</v>
      </c>
      <c r="CU173" s="17">
        <f>CT173*VLOOKUP('Données projet'!$B$13,Paramètres!$A$1:$I$89,3,0)*VLOOKUP('Données projet'!$B$13,Paramètres!$A$1:$I$89,5,0)</f>
        <v>-1.0197709343628959E-13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182.34243693018033</v>
      </c>
      <c r="CZ173" s="59">
        <f t="shared" si="150"/>
        <v>182.65916563909786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14.68653862907526</v>
      </c>
      <c r="DG173" s="21">
        <f>EXP(-LN(2)/25)*DG172+(1-EXP(-LN(2)/25))/(LN(2)/25)*Calculateur!DB173*Calculateur!DD173*VLOOKUP('Données projet'!$B$13,Paramètres!$A$1:$I$89,3,0)*0.475*44/12</f>
        <v>1.7117263336978561</v>
      </c>
      <c r="DH173" s="21">
        <f>EXP(-LN(2)/2)*DH172+(1-EXP(-LN(2)/2))/(LN(2)/2)*DB173*DE173*VLOOKUP('Données projet'!$B$13,Paramètres!$A$1:$I$89,3,0)*0.475*44/12</f>
        <v>8.8714725815448726E-16</v>
      </c>
      <c r="DI173" s="22">
        <f t="shared" si="175"/>
        <v>16.398264962773116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6.4179487179487182</v>
      </c>
      <c r="DO173" s="12">
        <f>IF('Données projet'!$A$166&gt;35,DO172+DN173-DW172,IF(A173&lt;'Données projet'!$A$166,$DL$205^A173,IF(A173='Données projet'!$A$166,'Données projet'!$B$166,DO172+DN173-DW172)))</f>
        <v>387.3794871794866</v>
      </c>
      <c r="DP173" s="17">
        <f>DO173*VLOOKUP('Données projet'!$B$14,Paramètres!$A$1:$I$89,3,0)*VLOOKUP('Données projet'!$B$14,Paramètres!$A$1:$I$89,5,0)</f>
        <v>368.63031999999947</v>
      </c>
      <c r="DQ173" s="13">
        <f t="shared" si="176"/>
        <v>85.387032297711414</v>
      </c>
      <c r="DR173" s="20">
        <f t="shared" si="177"/>
        <v>790.74688858517982</v>
      </c>
      <c r="DS173" s="59">
        <f t="shared" si="125"/>
        <v>1084.0802219185132</v>
      </c>
      <c r="DT173" s="59">
        <f ca="1">AVERAGE(OFFSET($DS$3,0,0,'Données projet'!$E$14+1,1))-AVERAGE(OFFSET($H$3,0,0,'Données projet'!$E$14+1,1))</f>
        <v>286.10360882057586</v>
      </c>
      <c r="DU173" s="59">
        <f t="shared" si="152"/>
        <v>109.24531387923128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64.789443644842152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64.789443644842152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569.04461013977686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262.42149466677068</v>
      </c>
      <c r="T174" s="59">
        <f t="shared" si="142"/>
        <v>232.7693253699756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-1.0197709343628959E-13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249.37919739649828</v>
      </c>
      <c r="AO174" s="59">
        <f t="shared" si="144"/>
        <v>315.05045383693073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16.698739106145997</v>
      </c>
      <c r="AV174" s="21">
        <f>EXP(-LN(2)/25)*AV173+(1-EXP(-LN(2)/25))/(LN(2)/25)*Calculateur!AQ174*Calculateur!AS174*VLOOKUP('Données projet'!$B$10,Paramètres!$A$1:$I$89,3,0)*0.475*44/12</f>
        <v>1.8225941185887733</v>
      </c>
      <c r="AW174" s="21">
        <f>EXP(-LN(2)/2)*AW173+(1-EXP(-LN(2)/2))/(LN(2)/2)*AQ174*AT174*VLOOKUP('Données projet'!$B$10,Paramètres!$A$1:$I$89,3,0)*0.475*44/12</f>
        <v>1.9825543218776395E-16</v>
      </c>
      <c r="AX174" s="21">
        <f t="shared" si="166"/>
        <v>18.521333224734772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212.00000000000009</v>
      </c>
      <c r="BE174" s="13">
        <f>BD174*VLOOKUP('Données projet'!$B$11,Paramètres!$A$1:$I$89,3,0)*VLOOKUP('Données projet'!$B$11,Paramètres!$A$1:$I$89,5,0)</f>
        <v>185.20320000000009</v>
      </c>
      <c r="BF174" s="13">
        <f t="shared" si="167"/>
        <v>46.477875402099386</v>
      </c>
      <c r="BG174" s="20">
        <f t="shared" si="168"/>
        <v>403.5112063253232</v>
      </c>
      <c r="BH174" s="59">
        <f t="shared" si="116"/>
        <v>696.84453965865646</v>
      </c>
      <c r="BI174" s="59">
        <f ca="1">AVERAGE(OFFSET($BH$3,0,0,'Données projet'!$E$11+1,1))-AVERAGE(OFFSET($H$3,0,0,'Données projet'!$E$11+1,1))</f>
        <v>186.80594222554424</v>
      </c>
      <c r="BJ174" s="59">
        <f t="shared" si="146"/>
        <v>179.02867751001872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3.6604228307203299</v>
      </c>
      <c r="BQ174" s="21">
        <f>EXP(-LN(2)/25)*BQ173+(1-EXP(-LN(2)/25))/(LN(2)/25)*Calculateur!BL174*Calculateur!BN174*VLOOKUP('Données projet'!$B$11,Paramètres!$A$1:$I$89,3,0)*0.475*44/12</f>
        <v>1.9534542392593413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5.6138770699796714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6.4179487179487182</v>
      </c>
      <c r="BY174" s="12">
        <f>IF('Données projet'!$A$114&gt;35,BY173+BX174-CG173,IF(A174&lt;'Données projet'!$A$114,$BV$205^A174,IF(A174='Données projet'!$A$114,'Données projet'!$B$114,BY173+BX174-CG173)))</f>
        <v>393.79743589743532</v>
      </c>
      <c r="BZ174" s="13">
        <f>BY174*VLOOKUP('Données projet'!$B$12,Paramètres!$A$1:$I$89,3,0)*VLOOKUP('Données projet'!$B$12,Paramètres!$A$1:$I$89,5,0)</f>
        <v>356.30791999999946</v>
      </c>
      <c r="CA174" s="13">
        <f t="shared" si="170"/>
        <v>82.860024125417155</v>
      </c>
      <c r="CB174" s="20">
        <f t="shared" si="171"/>
        <v>764.88416935176735</v>
      </c>
      <c r="CC174" s="59">
        <f t="shared" si="119"/>
        <v>1058.2175026851007</v>
      </c>
      <c r="CD174" s="59">
        <f ca="1">AVERAGE(OFFSET($CC$3,0,0,'Données projet'!$E$12+1,1))-AVERAGE(OFFSET($H$3,0,0,'Données projet'!$E$12+1,1))</f>
        <v>265.17389489035344</v>
      </c>
      <c r="CE174" s="59">
        <f t="shared" si="148"/>
        <v>101.57852403610769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60.395078787086433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60.395078787086433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-1.7053025658242404E-13</v>
      </c>
      <c r="CU174" s="17">
        <f>CT174*VLOOKUP('Données projet'!$B$13,Paramètres!$A$1:$I$89,3,0)*VLOOKUP('Données projet'!$B$13,Paramètres!$A$1:$I$89,5,0)</f>
        <v>-1.0197709343628959E-13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182.34243693018033</v>
      </c>
      <c r="CZ174" s="59">
        <f t="shared" si="150"/>
        <v>182.65916563909786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14.398544564463139</v>
      </c>
      <c r="DG174" s="21">
        <f>EXP(-LN(2)/25)*DG173+(1-EXP(-LN(2)/25))/(LN(2)/25)*Calculateur!DB174*Calculateur!DD174*VLOOKUP('Données projet'!$B$13,Paramètres!$A$1:$I$89,3,0)*0.475*44/12</f>
        <v>1.6649190870871124</v>
      </c>
      <c r="DH174" s="21">
        <f>EXP(-LN(2)/2)*DH173+(1-EXP(-LN(2)/2))/(LN(2)/2)*DB174*DE174*VLOOKUP('Données projet'!$B$13,Paramètres!$A$1:$I$89,3,0)*0.475*44/12</f>
        <v>6.2730784215209067E-16</v>
      </c>
      <c r="DI174" s="22">
        <f t="shared" si="175"/>
        <v>16.063463651550251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6.4179487179487182</v>
      </c>
      <c r="DO174" s="12">
        <f>IF('Données projet'!$A$166&gt;35,DO173+DN174-DW173,IF(A174&lt;'Données projet'!$A$166,$DL$205^A174,IF(A174='Données projet'!$A$166,'Données projet'!$B$166,DO173+DN174-DW173)))</f>
        <v>393.79743589743532</v>
      </c>
      <c r="DP174" s="17">
        <f>DO174*VLOOKUP('Données projet'!$B$14,Paramètres!$A$1:$I$89,3,0)*VLOOKUP('Données projet'!$B$14,Paramètres!$A$1:$I$89,5,0)</f>
        <v>374.73763999999943</v>
      </c>
      <c r="DQ174" s="13">
        <f t="shared" si="176"/>
        <v>86.635826424729046</v>
      </c>
      <c r="DR174" s="20">
        <f t="shared" si="177"/>
        <v>803.55878735640215</v>
      </c>
      <c r="DS174" s="59">
        <f t="shared" si="125"/>
        <v>1096.8921206897355</v>
      </c>
      <c r="DT174" s="59">
        <f ca="1">AVERAGE(OFFSET($DS$3,0,0,'Données projet'!$E$14+1,1))-AVERAGE(OFFSET($H$3,0,0,'Données projet'!$E$14+1,1))</f>
        <v>286.10360882057586</v>
      </c>
      <c r="DU174" s="59">
        <f t="shared" si="152"/>
        <v>109.24531387923128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63.518962172625379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63.518962172625379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570.61782063958549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262.42149466677068</v>
      </c>
      <c r="T175" s="59">
        <f t="shared" si="142"/>
        <v>232.7693253699756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-1.0197709343628959E-13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249.37919739649828</v>
      </c>
      <c r="AO175" s="59">
        <f t="shared" si="144"/>
        <v>315.05045383693073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16.371287017499622</v>
      </c>
      <c r="AV175" s="21">
        <f>EXP(-LN(2)/25)*AV174+(1-EXP(-LN(2)/25))/(LN(2)/25)*Calculateur!AQ175*Calculateur!AS175*VLOOKUP('Données projet'!$B$10,Paramètres!$A$1:$I$89,3,0)*0.475*44/12</f>
        <v>1.7727551865699043</v>
      </c>
      <c r="AW175" s="21">
        <f>EXP(-LN(2)/2)*AW174+(1-EXP(-LN(2)/2))/(LN(2)/2)*AQ175*AT175*VLOOKUP('Données projet'!$B$10,Paramètres!$A$1:$I$89,3,0)*0.475*44/12</f>
        <v>1.4018776050703761E-16</v>
      </c>
      <c r="AX175" s="21">
        <f t="shared" si="166"/>
        <v>18.144042204069525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212.00000000000009</v>
      </c>
      <c r="BE175" s="13">
        <f>BD175*VLOOKUP('Données projet'!$B$11,Paramètres!$A$1:$I$89,3,0)*VLOOKUP('Données projet'!$B$11,Paramètres!$A$1:$I$89,5,0)</f>
        <v>185.20320000000009</v>
      </c>
      <c r="BF175" s="13">
        <f t="shared" si="167"/>
        <v>46.477875402099386</v>
      </c>
      <c r="BG175" s="20">
        <f t="shared" si="168"/>
        <v>403.5112063253232</v>
      </c>
      <c r="BH175" s="59">
        <f t="shared" si="116"/>
        <v>696.84453965865646</v>
      </c>
      <c r="BI175" s="59">
        <f ca="1">AVERAGE(OFFSET($BH$3,0,0,'Données projet'!$E$11+1,1))-AVERAGE(OFFSET($H$3,0,0,'Données projet'!$E$11+1,1))</f>
        <v>186.80594222554424</v>
      </c>
      <c r="BJ175" s="59">
        <f t="shared" si="146"/>
        <v>179.02867751001872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3.5886441716473763</v>
      </c>
      <c r="BQ175" s="21">
        <f>EXP(-LN(2)/25)*BQ174+(1-EXP(-LN(2)/25))/(LN(2)/25)*Calculateur!BL175*Calculateur!BN175*VLOOKUP('Données projet'!$B$11,Paramètres!$A$1:$I$89,3,0)*0.475*44/12</f>
        <v>1.9000369303591007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5.4886811020064767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6.4179487179487182</v>
      </c>
      <c r="BY175" s="12">
        <f>IF('Données projet'!$A$114&gt;35,BY174+BX175-CG174,IF(A175&lt;'Données projet'!$A$114,$BV$205^A175,IF(A175='Données projet'!$A$114,'Données projet'!$B$114,BY174+BX175-CG174)))</f>
        <v>400.21538461538404</v>
      </c>
      <c r="BZ175" s="13">
        <f>BY175*VLOOKUP('Données projet'!$B$12,Paramètres!$A$1:$I$89,3,0)*VLOOKUP('Données projet'!$B$12,Paramètres!$A$1:$I$89,5,0)</f>
        <v>362.11487999999946</v>
      </c>
      <c r="CA175" s="13">
        <f t="shared" si="170"/>
        <v>84.052129011936628</v>
      </c>
      <c r="CB175" s="20">
        <f t="shared" si="171"/>
        <v>777.07420736245524</v>
      </c>
      <c r="CC175" s="59">
        <f t="shared" si="119"/>
        <v>1070.4075406957886</v>
      </c>
      <c r="CD175" s="59">
        <f ca="1">AVERAGE(OFFSET($CC$3,0,0,'Données projet'!$E$12+1,1))-AVERAGE(OFFSET($H$3,0,0,'Données projet'!$E$12+1,1))</f>
        <v>265.17389489035344</v>
      </c>
      <c r="CE175" s="59">
        <f t="shared" si="148"/>
        <v>101.57852403610769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59.210768129432338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59.210768129432338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-1.7053025658242404E-13</v>
      </c>
      <c r="CU175" s="17">
        <f>CT175*VLOOKUP('Données projet'!$B$13,Paramètres!$A$1:$I$89,3,0)*VLOOKUP('Données projet'!$B$13,Paramètres!$A$1:$I$89,5,0)</f>
        <v>-1.0197709343628959E-13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182.34243693018033</v>
      </c>
      <c r="CZ175" s="59">
        <f t="shared" si="150"/>
        <v>182.65916563909786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14.116197887799027</v>
      </c>
      <c r="DG175" s="21">
        <f>EXP(-LN(2)/25)*DG174+(1-EXP(-LN(2)/25))/(LN(2)/25)*Calculateur!DB175*Calculateur!DD175*VLOOKUP('Données projet'!$B$13,Paramètres!$A$1:$I$89,3,0)*0.475*44/12</f>
        <v>1.6193917870964258</v>
      </c>
      <c r="DH175" s="21">
        <f>EXP(-LN(2)/2)*DH174+(1-EXP(-LN(2)/2))/(LN(2)/2)*DB175*DE175*VLOOKUP('Données projet'!$B$13,Paramètres!$A$1:$I$89,3,0)*0.475*44/12</f>
        <v>4.4357362907724373E-16</v>
      </c>
      <c r="DI175" s="22">
        <f t="shared" si="175"/>
        <v>15.735589674895452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6.4179487179487182</v>
      </c>
      <c r="DO175" s="12">
        <f>IF('Données projet'!$A$166&gt;35,DO174+DN175-DW174,IF(A175&lt;'Données projet'!$A$166,$DL$205^A175,IF(A175='Données projet'!$A$166,'Données projet'!$B$166,DO174+DN175-DW174)))</f>
        <v>400.21538461538404</v>
      </c>
      <c r="DP175" s="17">
        <f>DO175*VLOOKUP('Données projet'!$B$14,Paramètres!$A$1:$I$89,3,0)*VLOOKUP('Données projet'!$B$14,Paramètres!$A$1:$I$89,5,0)</f>
        <v>380.84495999999945</v>
      </c>
      <c r="DQ175" s="13">
        <f t="shared" si="176"/>
        <v>87.882253675006481</v>
      </c>
      <c r="DR175" s="20">
        <f t="shared" si="177"/>
        <v>816.36656381730199</v>
      </c>
      <c r="DS175" s="59">
        <f t="shared" si="125"/>
        <v>1109.6998971506353</v>
      </c>
      <c r="DT175" s="59">
        <f ca="1">AVERAGE(OFFSET($DS$3,0,0,'Données projet'!$E$14+1,1))-AVERAGE(OFFSET($H$3,0,0,'Données projet'!$E$14+1,1))</f>
        <v>286.10360882057586</v>
      </c>
      <c r="DU175" s="59">
        <f t="shared" si="152"/>
        <v>109.24531387923128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62.27339406716159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62.27339406716159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572.19083074051537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262.42149466677068</v>
      </c>
      <c r="T176" s="59">
        <f t="shared" si="142"/>
        <v>232.7693253699756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-1.0197709343628959E-13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249.37919739649828</v>
      </c>
      <c r="AO176" s="59">
        <f t="shared" si="144"/>
        <v>315.05045383693073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16.05025606458555</v>
      </c>
      <c r="AV176" s="21">
        <f>EXP(-LN(2)/25)*AV175+(1-EXP(-LN(2)/25))/(LN(2)/25)*Calculateur!AQ176*Calculateur!AS176*VLOOKUP('Données projet'!$B$10,Paramètres!$A$1:$I$89,3,0)*0.475*44/12</f>
        <v>1.7242791027680067</v>
      </c>
      <c r="AW176" s="21">
        <f>EXP(-LN(2)/2)*AW175+(1-EXP(-LN(2)/2))/(LN(2)/2)*AQ176*AT176*VLOOKUP('Données projet'!$B$10,Paramètres!$A$1:$I$89,3,0)*0.475*44/12</f>
        <v>9.9127716093881974E-17</v>
      </c>
      <c r="AX176" s="21">
        <f t="shared" si="166"/>
        <v>17.774535167353555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212.00000000000009</v>
      </c>
      <c r="BE176" s="13">
        <f>BD176*VLOOKUP('Données projet'!$B$11,Paramètres!$A$1:$I$89,3,0)*VLOOKUP('Données projet'!$B$11,Paramètres!$A$1:$I$89,5,0)</f>
        <v>185.20320000000009</v>
      </c>
      <c r="BF176" s="13">
        <f t="shared" si="167"/>
        <v>46.477875402099386</v>
      </c>
      <c r="BG176" s="20">
        <f t="shared" si="168"/>
        <v>403.5112063253232</v>
      </c>
      <c r="BH176" s="59">
        <f t="shared" si="116"/>
        <v>696.84453965865646</v>
      </c>
      <c r="BI176" s="59">
        <f ca="1">AVERAGE(OFFSET($BH$3,0,0,'Données projet'!$E$11+1,1))-AVERAGE(OFFSET($H$3,0,0,'Données projet'!$E$11+1,1))</f>
        <v>186.80594222554424</v>
      </c>
      <c r="BJ176" s="59">
        <f t="shared" si="146"/>
        <v>179.02867751001872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3.5182730482981843</v>
      </c>
      <c r="BQ176" s="21">
        <f>EXP(-LN(2)/25)*BQ175+(1-EXP(-LN(2)/25))/(LN(2)/25)*Calculateur!BL176*Calculateur!BN176*VLOOKUP('Données projet'!$B$11,Paramètres!$A$1:$I$89,3,0)*0.475*44/12</f>
        <v>1.8480803205798315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5.3663533688780163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6.4179487179487182</v>
      </c>
      <c r="BY176" s="12">
        <f>IF('Données projet'!$A$114&gt;35,BY175+BX176-CG175,IF(A176&lt;'Données projet'!$A$114,$BV$205^A176,IF(A176='Données projet'!$A$114,'Données projet'!$B$114,BY175+BX176-CG175)))</f>
        <v>406.63333333333276</v>
      </c>
      <c r="BZ176" s="13">
        <f>BY176*VLOOKUP('Données projet'!$B$12,Paramètres!$A$1:$I$89,3,0)*VLOOKUP('Données projet'!$B$12,Paramètres!$A$1:$I$89,5,0)</f>
        <v>367.92183999999946</v>
      </c>
      <c r="CA176" s="13">
        <f t="shared" si="170"/>
        <v>85.242010668812711</v>
      </c>
      <c r="CB176" s="20">
        <f t="shared" si="171"/>
        <v>789.26037324818117</v>
      </c>
      <c r="CC176" s="59">
        <f t="shared" si="119"/>
        <v>1082.5937065815144</v>
      </c>
      <c r="CD176" s="59">
        <f ca="1">AVERAGE(OFFSET($CC$3,0,0,'Données projet'!$E$12+1,1))-AVERAGE(OFFSET($H$3,0,0,'Données projet'!$E$12+1,1))</f>
        <v>265.17389489035344</v>
      </c>
      <c r="CE176" s="59">
        <f t="shared" si="148"/>
        <v>101.57852403610769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58.049681081416672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58.049681081416672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-1.7053025658242404E-13</v>
      </c>
      <c r="CU176" s="17">
        <f>CT176*VLOOKUP('Données projet'!$B$13,Paramètres!$A$1:$I$89,3,0)*VLOOKUP('Données projet'!$B$13,Paramètres!$A$1:$I$89,5,0)</f>
        <v>-1.0197709343628959E-13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182.34243693018033</v>
      </c>
      <c r="CZ176" s="59">
        <f t="shared" si="150"/>
        <v>182.65916563909786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13.839387857249829</v>
      </c>
      <c r="DG176" s="21">
        <f>EXP(-LN(2)/25)*DG175+(1-EXP(-LN(2)/25))/(LN(2)/25)*Calculateur!DB176*Calculateur!DD176*VLOOKUP('Données projet'!$B$13,Paramètres!$A$1:$I$89,3,0)*0.475*44/12</f>
        <v>1.5751094335181612</v>
      </c>
      <c r="DH176" s="21">
        <f>EXP(-LN(2)/2)*DH175+(1-EXP(-LN(2)/2))/(LN(2)/2)*DB176*DE176*VLOOKUP('Données projet'!$B$13,Paramètres!$A$1:$I$89,3,0)*0.475*44/12</f>
        <v>3.1365392107604539E-16</v>
      </c>
      <c r="DI176" s="22">
        <f t="shared" si="175"/>
        <v>15.41449729076799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6.4179487179487182</v>
      </c>
      <c r="DO176" s="12">
        <f>IF('Données projet'!$A$166&gt;35,DO175+DN176-DW175,IF(A176&lt;'Données projet'!$A$166,$DL$205^A176,IF(A176='Données projet'!$A$166,'Données projet'!$B$166,DO175+DN176-DW175)))</f>
        <v>406.63333333333276</v>
      </c>
      <c r="DP176" s="17">
        <f>DO176*VLOOKUP('Données projet'!$B$14,Paramètres!$A$1:$I$89,3,0)*VLOOKUP('Données projet'!$B$14,Paramètres!$A$1:$I$89,5,0)</f>
        <v>386.95227999999946</v>
      </c>
      <c r="DQ176" s="13">
        <f t="shared" si="176"/>
        <v>89.126356386526894</v>
      </c>
      <c r="DR176" s="20">
        <f t="shared" si="177"/>
        <v>829.17029170653325</v>
      </c>
      <c r="DS176" s="59">
        <f t="shared" si="125"/>
        <v>1122.5036250398666</v>
      </c>
      <c r="DT176" s="59">
        <f ca="1">AVERAGE(OFFSET($DS$3,0,0,'Données projet'!$E$14+1,1))-AVERAGE(OFFSET($H$3,0,0,'Données projet'!$E$14+1,1))</f>
        <v>286.10360882057586</v>
      </c>
      <c r="DU176" s="59">
        <f t="shared" si="152"/>
        <v>109.24531387923128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61.052250792524418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61.052250792524418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573.76364173535603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262.42149466677068</v>
      </c>
      <c r="T177" s="59">
        <f t="shared" si="142"/>
        <v>232.7693253699756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-1.0197709343628959E-13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249.37919739649828</v>
      </c>
      <c r="AO177" s="59">
        <f t="shared" si="144"/>
        <v>315.05045383693073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15.735520332848575</v>
      </c>
      <c r="AV177" s="21">
        <f>EXP(-LN(2)/25)*AV176+(1-EXP(-LN(2)/25))/(LN(2)/25)*Calculateur!AQ177*Calculateur!AS177*VLOOKUP('Données projet'!$B$10,Paramètres!$A$1:$I$89,3,0)*0.475*44/12</f>
        <v>1.6771286000269183</v>
      </c>
      <c r="AW177" s="21">
        <f>EXP(-LN(2)/2)*AW176+(1-EXP(-LN(2)/2))/(LN(2)/2)*AQ177*AT177*VLOOKUP('Données projet'!$B$10,Paramètres!$A$1:$I$89,3,0)*0.475*44/12</f>
        <v>7.0093880253518805E-17</v>
      </c>
      <c r="AX177" s="21">
        <f t="shared" si="166"/>
        <v>17.412648932875491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212.00000000000009</v>
      </c>
      <c r="BE177" s="13">
        <f>BD177*VLOOKUP('Données projet'!$B$11,Paramètres!$A$1:$I$89,3,0)*VLOOKUP('Données projet'!$B$11,Paramètres!$A$1:$I$89,5,0)</f>
        <v>185.20320000000009</v>
      </c>
      <c r="BF177" s="13">
        <f t="shared" si="167"/>
        <v>46.477875402099386</v>
      </c>
      <c r="BG177" s="20">
        <f t="shared" si="168"/>
        <v>403.5112063253232</v>
      </c>
      <c r="BH177" s="59">
        <f t="shared" si="116"/>
        <v>696.84453965865646</v>
      </c>
      <c r="BI177" s="59">
        <f ca="1">AVERAGE(OFFSET($BH$3,0,0,'Données projet'!$E$11+1,1))-AVERAGE(OFFSET($H$3,0,0,'Données projet'!$E$11+1,1))</f>
        <v>186.80594222554424</v>
      </c>
      <c r="BJ177" s="59">
        <f t="shared" si="146"/>
        <v>179.02867751001872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3.4492818597557231</v>
      </c>
      <c r="BQ177" s="21">
        <f>EXP(-LN(2)/25)*BQ176+(1-EXP(-LN(2)/25))/(LN(2)/25)*Calculateur!BL177*Calculateur!BN177*VLOOKUP('Données projet'!$B$11,Paramètres!$A$1:$I$89,3,0)*0.475*44/12</f>
        <v>1.7975444670272558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5.2468263267829789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413.05128205128204</v>
      </c>
      <c r="BW177" s="12">
        <f>VLOOKUP(A177,'Données projet'!$A$113:$I$133,9,0)</f>
        <v>6.4179487179487182</v>
      </c>
      <c r="BX177" s="12">
        <f t="array" ref="BX177">INDEX(BW:BW,MIN(IF(ISNUMBER(BW177:BW373),ROW(BW177:BW373),"")))</f>
        <v>6.4179487179487182</v>
      </c>
      <c r="BY177" s="12">
        <f>IF('Données projet'!$A$114&gt;35,BY176+BX177-CG176,IF(A177&lt;'Données projet'!$A$114,$BV$205^A177,IF(A177='Données projet'!$A$114,'Données projet'!$B$114,BY176+BX177-CG176)))</f>
        <v>413.05128205128148</v>
      </c>
      <c r="BZ177" s="13">
        <f>BY177*VLOOKUP('Données projet'!$B$12,Paramètres!$A$1:$I$89,3,0)*VLOOKUP('Données projet'!$B$12,Paramètres!$A$1:$I$89,5,0)</f>
        <v>373.72879999999947</v>
      </c>
      <c r="CA177" s="13">
        <f t="shared" si="170"/>
        <v>86.429708237311118</v>
      </c>
      <c r="CB177" s="20">
        <f t="shared" si="171"/>
        <v>801.44273517998261</v>
      </c>
      <c r="CC177" s="59">
        <f t="shared" si="119"/>
        <v>1094.776068513316</v>
      </c>
      <c r="CD177" s="59">
        <f ca="1">AVERAGE(OFFSET($CC$3,0,0,'Données projet'!$E$12+1,1))-AVERAGE(OFFSET($H$3,0,0,'Données projet'!$E$12+1,1))</f>
        <v>265.17389489035344</v>
      </c>
      <c r="CE177" s="59">
        <f t="shared" si="148"/>
        <v>101.57852403610769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162.38461538461539</v>
      </c>
      <c r="CH177" s="16">
        <f>IF(ISNA(VLOOKUP(A177,'Données projet'!$A$113:$I$133,5,0)),0%,VLOOKUP(A177,'Données projet'!$A$113:$I$133,5,0)*VLOOKUP('Données projet'!$B$12,Paramètres!$A$1:$I$89,7,0))</f>
        <v>0.38700000000000001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119.7686370759256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119.7686370759256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-1.7053025658242404E-13</v>
      </c>
      <c r="CU177" s="17">
        <f>CT177*VLOOKUP('Données projet'!$B$13,Paramètres!$A$1:$I$89,3,0)*VLOOKUP('Données projet'!$B$13,Paramètres!$A$1:$I$89,5,0)</f>
        <v>-1.0197709343628959E-13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182.34243693018033</v>
      </c>
      <c r="CZ177" s="59">
        <f t="shared" si="150"/>
        <v>182.65916563909786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13.568005902562254</v>
      </c>
      <c r="DG177" s="21">
        <f>EXP(-LN(2)/25)*DG176+(1-EXP(-LN(2)/25))/(LN(2)/25)*Calculateur!DB177*Calculateur!DD177*VLOOKUP('Données projet'!$B$13,Paramètres!$A$1:$I$89,3,0)*0.475*44/12</f>
        <v>1.532037983227202</v>
      </c>
      <c r="DH177" s="21">
        <f>EXP(-LN(2)/2)*DH176+(1-EXP(-LN(2)/2))/(LN(2)/2)*DB177*DE177*VLOOKUP('Données projet'!$B$13,Paramètres!$A$1:$I$89,3,0)*0.475*44/12</f>
        <v>2.2178681453862189E-16</v>
      </c>
      <c r="DI177" s="22">
        <f t="shared" si="175"/>
        <v>15.100043885789455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>
        <f>VLOOKUP(A177,'Données projet'!$A$165:$I$185,2,0)</f>
        <v>413.05128205128204</v>
      </c>
      <c r="DM177" s="12">
        <f>VLOOKUP(A177,'Données projet'!$A$165:$I$185,9,0)</f>
        <v>6.4179487179487182</v>
      </c>
      <c r="DN177" s="12">
        <f t="array" ref="DN177">INDEX(DM:DM,MIN(IF(ISNUMBER(DM177:DM373),ROW(DM177:DM373),"")))</f>
        <v>6.4179487179487182</v>
      </c>
      <c r="DO177" s="12">
        <f>IF('Données projet'!$A$166&gt;35,DO176+DN177-DW176,IF(A177&lt;'Données projet'!$A$166,$DL$205^A177,IF(A177='Données projet'!$A$166,'Données projet'!$B$166,DO176+DN177-DW176)))</f>
        <v>413.05128205128148</v>
      </c>
      <c r="DP177" s="17">
        <f>DO177*VLOOKUP('Données projet'!$B$14,Paramètres!$A$1:$I$89,3,0)*VLOOKUP('Données projet'!$B$14,Paramètres!$A$1:$I$89,5,0)</f>
        <v>393.05959999999948</v>
      </c>
      <c r="DQ177" s="13">
        <f t="shared" si="176"/>
        <v>90.368175484162705</v>
      </c>
      <c r="DR177" s="20">
        <f t="shared" si="177"/>
        <v>841.97004230158245</v>
      </c>
      <c r="DS177" s="59">
        <f t="shared" si="125"/>
        <v>1135.3033756349157</v>
      </c>
      <c r="DT177" s="59">
        <f ca="1">AVERAGE(OFFSET($DS$3,0,0,'Données projet'!$E$14+1,1))-AVERAGE(OFFSET($H$3,0,0,'Données projet'!$E$14+1,1))</f>
        <v>286.10360882057586</v>
      </c>
      <c r="DU177" s="59">
        <f t="shared" si="152"/>
        <v>109.24531387923128</v>
      </c>
      <c r="DV177" s="15">
        <f>IF(ISNA(VLOOKUP(A177,'Données projet'!$A$165:$I$185,3,0)),0,VLOOKUP(A177,'Données projet'!$A$165:$I$185,3,0))</f>
        <v>15</v>
      </c>
      <c r="DW177" s="15">
        <f>IF(ISNA(VLOOKUP(A177,'Données projet'!$A$165:$I$185,4,0)),0,VLOOKUP(A177,'Données projet'!$A$165:$I$185,4,0))</f>
        <v>162.38461538461539</v>
      </c>
      <c r="DX177" s="16">
        <f>IF(ISNA(VLOOKUP(A177,'Données projet'!$A$165:$I$185,5,0)),0%,VLOOKUP(A177,'Données projet'!$A$165:$I$185,5,0)*VLOOKUP('Données projet'!$B$14,Paramètres!$A$1:$I$89,7,0))</f>
        <v>0.38700000000000001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125.96356657985277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125.96356657985277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575.3362549011772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262.42149466677068</v>
      </c>
      <c r="T178" s="59">
        <f t="shared" si="142"/>
        <v>232.7693253699756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-1.0197709343628959E-13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249.37919739649828</v>
      </c>
      <c r="AO178" s="59">
        <f t="shared" si="144"/>
        <v>315.05045383693073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15.426956376841121</v>
      </c>
      <c r="AV178" s="21">
        <f>EXP(-LN(2)/25)*AV177+(1-EXP(-LN(2)/25))/(LN(2)/25)*Calculateur!AQ178*Calculateur!AS178*VLOOKUP('Données projet'!$B$10,Paramètres!$A$1:$I$89,3,0)*0.475*44/12</f>
        <v>1.6312674302628223</v>
      </c>
      <c r="AW178" s="21">
        <f>EXP(-LN(2)/2)*AW177+(1-EXP(-LN(2)/2))/(LN(2)/2)*AQ178*AT178*VLOOKUP('Données projet'!$B$10,Paramètres!$A$1:$I$89,3,0)*0.475*44/12</f>
        <v>4.9563858046940987E-17</v>
      </c>
      <c r="AX178" s="21">
        <f t="shared" si="166"/>
        <v>17.058223807103943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212.00000000000009</v>
      </c>
      <c r="BE178" s="13">
        <f>BD178*VLOOKUP('Données projet'!$B$11,Paramètres!$A$1:$I$89,3,0)*VLOOKUP('Données projet'!$B$11,Paramètres!$A$1:$I$89,5,0)</f>
        <v>185.20320000000009</v>
      </c>
      <c r="BF178" s="13">
        <f t="shared" si="167"/>
        <v>46.477875402099386</v>
      </c>
      <c r="BG178" s="20">
        <f t="shared" si="168"/>
        <v>403.5112063253232</v>
      </c>
      <c r="BH178" s="59">
        <f t="shared" si="116"/>
        <v>696.84453965865646</v>
      </c>
      <c r="BI178" s="59">
        <f ca="1">AVERAGE(OFFSET($BH$3,0,0,'Données projet'!$E$11+1,1))-AVERAGE(OFFSET($H$3,0,0,'Données projet'!$E$11+1,1))</f>
        <v>186.80594222554424</v>
      </c>
      <c r="BJ178" s="59">
        <f t="shared" si="146"/>
        <v>179.02867751001872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3.3816435463401096</v>
      </c>
      <c r="BQ178" s="21">
        <f>EXP(-LN(2)/25)*BQ177+(1-EXP(-LN(2)/25))/(LN(2)/25)*Calculateur!BL178*Calculateur!BN178*VLOOKUP('Données projet'!$B$11,Paramètres!$A$1:$I$89,3,0)*0.475*44/12</f>
        <v>1.7483905190476403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5.1300340653877496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4.0982905982905988</v>
      </c>
      <c r="BY178" s="12">
        <f>IF('Données projet'!$A$114&gt;35,BY177+BX178-CG177,IF(A178&lt;'Données projet'!$A$114,$BV$205^A178,IF(A178='Données projet'!$A$114,'Données projet'!$B$114,BY177+BX178-CG177)))</f>
        <v>254.76495726495668</v>
      </c>
      <c r="BZ178" s="13">
        <f>BY178*VLOOKUP('Données projet'!$B$12,Paramètres!$A$1:$I$89,3,0)*VLOOKUP('Données projet'!$B$12,Paramètres!$A$1:$I$89,5,0)</f>
        <v>230.5113333333328</v>
      </c>
      <c r="CA178" s="13">
        <f t="shared" si="170"/>
        <v>56.393229459006619</v>
      </c>
      <c r="CB178" s="20">
        <f t="shared" si="171"/>
        <v>499.6921135299911</v>
      </c>
      <c r="CC178" s="59">
        <f t="shared" si="119"/>
        <v>793.02544686332442</v>
      </c>
      <c r="CD178" s="59">
        <f ca="1">AVERAGE(OFFSET($CC$3,0,0,'Données projet'!$E$12+1,1))-AVERAGE(OFFSET($H$3,0,0,'Données projet'!$E$12+1,1))</f>
        <v>265.17389489035344</v>
      </c>
      <c r="CE178" s="59">
        <f t="shared" si="148"/>
        <v>101.57852403610769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117.42004715452207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117.42004715452207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-1.7053025658242404E-13</v>
      </c>
      <c r="CU178" s="17">
        <f>CT178*VLOOKUP('Données projet'!$B$13,Paramètres!$A$1:$I$89,3,0)*VLOOKUP('Données projet'!$B$13,Paramètres!$A$1:$I$89,5,0)</f>
        <v>-1.0197709343628959E-13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182.34243693018033</v>
      </c>
      <c r="CZ178" s="59">
        <f t="shared" si="150"/>
        <v>182.65916563909786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13.301945582479455</v>
      </c>
      <c r="DG178" s="21">
        <f>EXP(-LN(2)/25)*DG177+(1-EXP(-LN(2)/25))/(LN(2)/25)*Calculateur!DB178*Calculateur!DD178*VLOOKUP('Données projet'!$B$13,Paramètres!$A$1:$I$89,3,0)*0.475*44/12</f>
        <v>1.490144324009478</v>
      </c>
      <c r="DH178" s="21">
        <f>EXP(-LN(2)/2)*DH177+(1-EXP(-LN(2)/2))/(LN(2)/2)*DB178*DE178*VLOOKUP('Données projet'!$B$13,Paramètres!$A$1:$I$89,3,0)*0.475*44/12</f>
        <v>1.5682696053802272E-16</v>
      </c>
      <c r="DI178" s="22">
        <f t="shared" si="175"/>
        <v>14.792089906488933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4.0982905982905988</v>
      </c>
      <c r="DO178" s="12">
        <f>IF('Données projet'!$A$166&gt;35,DO177+DN178-DW177,IF(A178&lt;'Données projet'!$A$166,$DL$205^A178,IF(A178='Données projet'!$A$166,'Données projet'!$B$166,DO177+DN178-DW177)))</f>
        <v>254.76495726495668</v>
      </c>
      <c r="DP178" s="17">
        <f>DO178*VLOOKUP('Données projet'!$B$14,Paramètres!$A$1:$I$89,3,0)*VLOOKUP('Données projet'!$B$14,Paramètres!$A$1:$I$89,5,0)</f>
        <v>242.43433333333275</v>
      </c>
      <c r="DQ178" s="13">
        <f t="shared" si="176"/>
        <v>58.962981130025206</v>
      </c>
      <c r="DR178" s="20">
        <f t="shared" si="177"/>
        <v>524.93365602368169</v>
      </c>
      <c r="DS178" s="59">
        <f t="shared" si="125"/>
        <v>818.26698935701506</v>
      </c>
      <c r="DT178" s="59">
        <f ca="1">AVERAGE(OFFSET($DS$3,0,0,'Données projet'!$E$14+1,1))-AVERAGE(OFFSET($H$3,0,0,'Données projet'!$E$14+1,1))</f>
        <v>286.10360882057586</v>
      </c>
      <c r="DU178" s="59">
        <f t="shared" si="152"/>
        <v>109.24531387923128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123.49349786941112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123.49349786941112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576.90867149960923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262.42149466677068</v>
      </c>
      <c r="T179" s="59">
        <f t="shared" si="142"/>
        <v>232.7693253699756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-1.0197709343628959E-13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249.37919739649828</v>
      </c>
      <c r="AO179" s="59">
        <f t="shared" si="144"/>
        <v>315.05045383693073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15.124443171805543</v>
      </c>
      <c r="AV179" s="21">
        <f>EXP(-LN(2)/25)*AV178+(1-EXP(-LN(2)/25))/(LN(2)/25)*Calculateur!AQ179*Calculateur!AS179*VLOOKUP('Données projet'!$B$10,Paramètres!$A$1:$I$89,3,0)*0.475*44/12</f>
        <v>1.5866603365976595</v>
      </c>
      <c r="AW179" s="21">
        <f>EXP(-LN(2)/2)*AW178+(1-EXP(-LN(2)/2))/(LN(2)/2)*AQ179*AT179*VLOOKUP('Données projet'!$B$10,Paramètres!$A$1:$I$89,3,0)*0.475*44/12</f>
        <v>3.5046940126759403E-17</v>
      </c>
      <c r="AX179" s="21">
        <f t="shared" si="166"/>
        <v>16.711103508403202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212.00000000000009</v>
      </c>
      <c r="BE179" s="13">
        <f>BD179*VLOOKUP('Données projet'!$B$11,Paramètres!$A$1:$I$89,3,0)*VLOOKUP('Données projet'!$B$11,Paramètres!$A$1:$I$89,5,0)</f>
        <v>185.20320000000009</v>
      </c>
      <c r="BF179" s="13">
        <f t="shared" si="167"/>
        <v>46.477875402099386</v>
      </c>
      <c r="BG179" s="20">
        <f t="shared" si="168"/>
        <v>403.5112063253232</v>
      </c>
      <c r="BH179" s="59">
        <f t="shared" si="116"/>
        <v>696.84453965865646</v>
      </c>
      <c r="BI179" s="59">
        <f ca="1">AVERAGE(OFFSET($BH$3,0,0,'Données projet'!$E$11+1,1))-AVERAGE(OFFSET($H$3,0,0,'Données projet'!$E$11+1,1))</f>
        <v>186.80594222554424</v>
      </c>
      <c r="BJ179" s="59">
        <f t="shared" si="146"/>
        <v>179.02867751001872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3.3153315789952784</v>
      </c>
      <c r="BQ179" s="21">
        <f>EXP(-LN(2)/25)*BQ178+(1-EXP(-LN(2)/25))/(LN(2)/25)*Calculateur!BL179*Calculateur!BN179*VLOOKUP('Données projet'!$B$11,Paramètres!$A$1:$I$89,3,0)*0.475*44/12</f>
        <v>1.7005806883604211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5.0159122673556995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4.0982905982905988</v>
      </c>
      <c r="BY179" s="12">
        <f>IF('Données projet'!$A$114&gt;35,BY178+BX179-CG178,IF(A179&lt;'Données projet'!$A$114,$BV$205^A179,IF(A179='Données projet'!$A$114,'Données projet'!$B$114,BY178+BX179-CG178)))</f>
        <v>258.8632478632473</v>
      </c>
      <c r="BZ179" s="13">
        <f>BY179*VLOOKUP('Données projet'!$B$12,Paramètres!$A$1:$I$89,3,0)*VLOOKUP('Données projet'!$B$12,Paramètres!$A$1:$I$89,5,0)</f>
        <v>234.21946666666616</v>
      </c>
      <c r="CA179" s="13">
        <f t="shared" si="170"/>
        <v>57.194061341064028</v>
      </c>
      <c r="CB179" s="20">
        <f t="shared" si="171"/>
        <v>507.54522794679673</v>
      </c>
      <c r="CC179" s="59">
        <f t="shared" si="119"/>
        <v>800.87856128013004</v>
      </c>
      <c r="CD179" s="59">
        <f ca="1">AVERAGE(OFFSET($CC$3,0,0,'Données projet'!$E$12+1,1))-AVERAGE(OFFSET($H$3,0,0,'Données projet'!$E$12+1,1))</f>
        <v>265.17389489035344</v>
      </c>
      <c r="CE179" s="59">
        <f t="shared" si="148"/>
        <v>101.57852403610769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115.11751164897885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115.11751164897885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-1.7053025658242404E-13</v>
      </c>
      <c r="CU179" s="17">
        <f>CT179*VLOOKUP('Données projet'!$B$13,Paramètres!$A$1:$I$89,3,0)*VLOOKUP('Données projet'!$B$13,Paramètres!$A$1:$I$89,5,0)</f>
        <v>-1.0197709343628959E-13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182.34243693018033</v>
      </c>
      <c r="CZ179" s="59">
        <f t="shared" si="150"/>
        <v>182.65916563909786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13.041102542992707</v>
      </c>
      <c r="DG179" s="21">
        <f>EXP(-LN(2)/25)*DG178+(1-EXP(-LN(2)/25))/(LN(2)/25)*Calculateur!DB179*Calculateur!DD179*VLOOKUP('Données projet'!$B$13,Paramètres!$A$1:$I$89,3,0)*0.475*44/12</f>
        <v>1.4493962491061547</v>
      </c>
      <c r="DH179" s="21">
        <f>EXP(-LN(2)/2)*DH178+(1-EXP(-LN(2)/2))/(LN(2)/2)*DB179*DE179*VLOOKUP('Données projet'!$B$13,Paramètres!$A$1:$I$89,3,0)*0.475*44/12</f>
        <v>1.1089340726931096E-16</v>
      </c>
      <c r="DI179" s="22">
        <f t="shared" si="175"/>
        <v>14.490498792098862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4.0982905982905988</v>
      </c>
      <c r="DO179" s="12">
        <f>IF('Données projet'!$A$166&gt;35,DO178+DN179-DW178,IF(A179&lt;'Données projet'!$A$166,$DL$205^A179,IF(A179='Données projet'!$A$166,'Données projet'!$B$166,DO178+DN179-DW178)))</f>
        <v>258.8632478632473</v>
      </c>
      <c r="DP179" s="17">
        <f>DO179*VLOOKUP('Données projet'!$B$14,Paramètres!$A$1:$I$89,3,0)*VLOOKUP('Données projet'!$B$14,Paramètres!$A$1:$I$89,5,0)</f>
        <v>246.33426666666614</v>
      </c>
      <c r="DQ179" s="13">
        <f t="shared" si="176"/>
        <v>59.800305674178176</v>
      </c>
      <c r="DR179" s="20">
        <f t="shared" si="177"/>
        <v>533.18438016030393</v>
      </c>
      <c r="DS179" s="59">
        <f t="shared" si="125"/>
        <v>826.5177134936373</v>
      </c>
      <c r="DT179" s="59">
        <f ca="1">AVERAGE(OFFSET($DS$3,0,0,'Données projet'!$E$14+1,1))-AVERAGE(OFFSET($H$3,0,0,'Données projet'!$E$14+1,1))</f>
        <v>286.10360882057586</v>
      </c>
      <c r="DU179" s="59">
        <f t="shared" si="152"/>
        <v>109.24531387923128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121.07186569978808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121.07186569978808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578.48089277711574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262.42149466677068</v>
      </c>
      <c r="T180" s="59">
        <f t="shared" si="142"/>
        <v>232.7693253699756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-1.0197709343628959E-13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249.37919739649828</v>
      </c>
      <c r="AO180" s="59">
        <f t="shared" si="144"/>
        <v>315.05045383693073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14.827862066205878</v>
      </c>
      <c r="AV180" s="21">
        <f>EXP(-LN(2)/25)*AV179+(1-EXP(-LN(2)/25))/(LN(2)/25)*Calculateur!AQ180*Calculateur!AS180*VLOOKUP('Données projet'!$B$10,Paramètres!$A$1:$I$89,3,0)*0.475*44/12</f>
        <v>1.5432730262545558</v>
      </c>
      <c r="AW180" s="21">
        <f>EXP(-LN(2)/2)*AW179+(1-EXP(-LN(2)/2))/(LN(2)/2)*AQ180*AT180*VLOOKUP('Données projet'!$B$10,Paramètres!$A$1:$I$89,3,0)*0.475*44/12</f>
        <v>2.4781929023470494E-17</v>
      </c>
      <c r="AX180" s="21">
        <f t="shared" si="166"/>
        <v>16.371135092460435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212.00000000000009</v>
      </c>
      <c r="BE180" s="13">
        <f>BD180*VLOOKUP('Données projet'!$B$11,Paramètres!$A$1:$I$89,3,0)*VLOOKUP('Données projet'!$B$11,Paramètres!$A$1:$I$89,5,0)</f>
        <v>185.20320000000009</v>
      </c>
      <c r="BF180" s="13">
        <f t="shared" si="167"/>
        <v>46.477875402099386</v>
      </c>
      <c r="BG180" s="20">
        <f t="shared" si="168"/>
        <v>403.5112063253232</v>
      </c>
      <c r="BH180" s="59">
        <f t="shared" si="116"/>
        <v>696.84453965865646</v>
      </c>
      <c r="BI180" s="59">
        <f ca="1">AVERAGE(OFFSET($BH$3,0,0,'Données projet'!$E$11+1,1))-AVERAGE(OFFSET($H$3,0,0,'Données projet'!$E$11+1,1))</f>
        <v>186.80594222554424</v>
      </c>
      <c r="BJ180" s="59">
        <f t="shared" si="146"/>
        <v>179.02867751001872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3.2503199488837731</v>
      </c>
      <c r="BQ180" s="21">
        <f>EXP(-LN(2)/25)*BQ179+(1-EXP(-LN(2)/25))/(LN(2)/25)*Calculateur!BL180*Calculateur!BN180*VLOOKUP('Données projet'!$B$11,Paramètres!$A$1:$I$89,3,0)*0.475*44/12</f>
        <v>1.6540782200075537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4.9043981688913263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262.96153846153845</v>
      </c>
      <c r="BW180" s="12">
        <f>VLOOKUP(A180,'Données projet'!$A$113:$I$133,9,0)</f>
        <v>4.0982905982905988</v>
      </c>
      <c r="BX180" s="12">
        <f t="array" ref="BX180">INDEX(BW:BW,MIN(IF(ISNUMBER(BW180:BW376),ROW(BW180:BW376),"")))</f>
        <v>4.0982905982905988</v>
      </c>
      <c r="BY180" s="12">
        <f>IF('Données projet'!$A$114&gt;35,BY179+BX180-CG179,IF(A180&lt;'Données projet'!$A$114,$BV$205^A180,IF(A180='Données projet'!$A$114,'Données projet'!$B$114,BY179+BX180-CG179)))</f>
        <v>262.96153846153788</v>
      </c>
      <c r="BZ180" s="13">
        <f>BY180*VLOOKUP('Données projet'!$B$12,Paramètres!$A$1:$I$89,3,0)*VLOOKUP('Données projet'!$B$12,Paramètres!$A$1:$I$89,5,0)</f>
        <v>237.92759999999947</v>
      </c>
      <c r="CA180" s="13">
        <f t="shared" si="170"/>
        <v>57.993418719759447</v>
      </c>
      <c r="CB180" s="20">
        <f t="shared" si="171"/>
        <v>515.39577427024676</v>
      </c>
      <c r="CC180" s="59">
        <f t="shared" si="119"/>
        <v>808.72910760358013</v>
      </c>
      <c r="CD180" s="59">
        <f ca="1">AVERAGE(OFFSET($CC$3,0,0,'Données projet'!$E$12+1,1))-AVERAGE(OFFSET($H$3,0,0,'Données projet'!$E$12+1,1))</f>
        <v>265.17389489035344</v>
      </c>
      <c r="CE180" s="59">
        <f t="shared" si="148"/>
        <v>101.57852403610769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87</v>
      </c>
      <c r="CH180" s="16">
        <f>IF(ISNA(VLOOKUP(A180,'Données projet'!$A$113:$I$133,5,0)),0%,VLOOKUP(A180,'Données projet'!$A$113:$I$133,5,0)*VLOOKUP('Données projet'!$B$12,Paramètres!$A$1:$I$89,7,0))</f>
        <v>0.38700000000000001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146.53685784253753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146.53685784253753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-1.7053025658242404E-13</v>
      </c>
      <c r="CU180" s="17">
        <f>CT180*VLOOKUP('Données projet'!$B$13,Paramètres!$A$1:$I$89,3,0)*VLOOKUP('Données projet'!$B$13,Paramètres!$A$1:$I$89,5,0)</f>
        <v>-1.0197709343628959E-13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182.34243693018033</v>
      </c>
      <c r="CZ180" s="59">
        <f t="shared" si="150"/>
        <v>182.65916563909786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12.78537447641175</v>
      </c>
      <c r="DG180" s="21">
        <f>EXP(-LN(2)/25)*DG179+(1-EXP(-LN(2)/25))/(LN(2)/25)*Calculateur!DB180*Calculateur!DD180*VLOOKUP('Données projet'!$B$13,Paramètres!$A$1:$I$89,3,0)*0.475*44/12</f>
        <v>1.4097624324539109</v>
      </c>
      <c r="DH180" s="21">
        <f>EXP(-LN(2)/2)*DH179+(1-EXP(-LN(2)/2))/(LN(2)/2)*DB180*DE180*VLOOKUP('Données projet'!$B$13,Paramètres!$A$1:$I$89,3,0)*0.475*44/12</f>
        <v>7.8413480269011371E-17</v>
      </c>
      <c r="DI180" s="22">
        <f t="shared" si="175"/>
        <v>14.195136908865662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>
        <f>VLOOKUP(A180,'Données projet'!$A$165:$I$185,2,0)</f>
        <v>262.96153846153845</v>
      </c>
      <c r="DM180" s="12">
        <f>VLOOKUP(A180,'Données projet'!$A$165:$I$185,9,0)</f>
        <v>4.0982905982905988</v>
      </c>
      <c r="DN180" s="12">
        <f t="array" ref="DN180">INDEX(DM:DM,MIN(IF(ISNUMBER(DM180:DM376),ROW(DM180:DM376),"")))</f>
        <v>4.0982905982905988</v>
      </c>
      <c r="DO180" s="12">
        <f>IF('Données projet'!$A$166&gt;35,DO179+DN180-DW179,IF(A180&lt;'Données projet'!$A$166,$DL$205^A180,IF(A180='Données projet'!$A$166,'Données projet'!$B$166,DO179+DN180-DW179)))</f>
        <v>262.96153846153788</v>
      </c>
      <c r="DP180" s="17">
        <f>DO180*VLOOKUP('Données projet'!$B$14,Paramètres!$A$1:$I$89,3,0)*VLOOKUP('Données projet'!$B$14,Paramètres!$A$1:$I$89,5,0)</f>
        <v>250.23419999999945</v>
      </c>
      <c r="DQ180" s="13">
        <f t="shared" si="176"/>
        <v>60.636088524146409</v>
      </c>
      <c r="DR180" s="20">
        <f t="shared" si="177"/>
        <v>541.43241917955402</v>
      </c>
      <c r="DS180" s="59">
        <f t="shared" si="125"/>
        <v>834.76575251288727</v>
      </c>
      <c r="DT180" s="59">
        <f ca="1">AVERAGE(OFFSET($DS$3,0,0,'Données projet'!$E$14+1,1))-AVERAGE(OFFSET($H$3,0,0,'Données projet'!$E$14+1,1))</f>
        <v>286.10360882057586</v>
      </c>
      <c r="DU180" s="59">
        <f t="shared" si="152"/>
        <v>109.24531387923128</v>
      </c>
      <c r="DV180" s="15">
        <f>IF(ISNA(VLOOKUP(A180,'Données projet'!$A$165:$I$185,3,0)),0,VLOOKUP(A180,'Données projet'!$A$165:$I$185,3,0))</f>
        <v>16</v>
      </c>
      <c r="DW180" s="15">
        <f>IF(ISNA(VLOOKUP(A180,'Données projet'!$A$165:$I$185,4,0)),0,VLOOKUP(A180,'Données projet'!$A$165:$I$185,4,0))</f>
        <v>87</v>
      </c>
      <c r="DX180" s="16">
        <f>IF(ISNA(VLOOKUP(A180,'Données projet'!$A$165:$I$185,5,0)),0%,VLOOKUP(A180,'Données projet'!$A$165:$I$185,5,0)*VLOOKUP('Données projet'!$B$14,Paramètres!$A$1:$I$89,7,0))</f>
        <v>0.38700000000000001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154.11635048956532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154.11635048956532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580.05291996526171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262.42149466677068</v>
      </c>
      <c r="T181" s="59">
        <f t="shared" si="142"/>
        <v>232.7693253699756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-1.0197709343628959E-13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249.37919739649828</v>
      </c>
      <c r="AO181" s="59">
        <f t="shared" si="144"/>
        <v>315.05045383693073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14.53709673519041</v>
      </c>
      <c r="AV181" s="21">
        <f>EXP(-LN(2)/25)*AV180+(1-EXP(-LN(2)/25))/(LN(2)/25)*Calculateur!AQ181*Calculateur!AS181*VLOOKUP('Données projet'!$B$10,Paramètres!$A$1:$I$89,3,0)*0.475*44/12</f>
        <v>1.5010721441944237</v>
      </c>
      <c r="AW181" s="21">
        <f>EXP(-LN(2)/2)*AW180+(1-EXP(-LN(2)/2))/(LN(2)/2)*AQ181*AT181*VLOOKUP('Données projet'!$B$10,Paramètres!$A$1:$I$89,3,0)*0.475*44/12</f>
        <v>1.7523470063379701E-17</v>
      </c>
      <c r="AX181" s="21">
        <f t="shared" si="166"/>
        <v>16.038168879384834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212.00000000000009</v>
      </c>
      <c r="BE181" s="13">
        <f>BD181*VLOOKUP('Données projet'!$B$11,Paramètres!$A$1:$I$89,3,0)*VLOOKUP('Données projet'!$B$11,Paramètres!$A$1:$I$89,5,0)</f>
        <v>185.20320000000009</v>
      </c>
      <c r="BF181" s="13">
        <f t="shared" si="167"/>
        <v>46.477875402099386</v>
      </c>
      <c r="BG181" s="20">
        <f t="shared" si="168"/>
        <v>403.5112063253232</v>
      </c>
      <c r="BH181" s="59">
        <f t="shared" si="116"/>
        <v>696.84453965865646</v>
      </c>
      <c r="BI181" s="59">
        <f ca="1">AVERAGE(OFFSET($BH$3,0,0,'Données projet'!$E$11+1,1))-AVERAGE(OFFSET($H$3,0,0,'Données projet'!$E$11+1,1))</f>
        <v>186.80594222554424</v>
      </c>
      <c r="BJ181" s="59">
        <f t="shared" si="146"/>
        <v>179.02867751001872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3.1865831571855754</v>
      </c>
      <c r="BQ181" s="21">
        <f>EXP(-LN(2)/25)*BQ180+(1-EXP(-LN(2)/25))/(LN(2)/25)*Calculateur!BL181*Calculateur!BN181*VLOOKUP('Données projet'!$B$11,Paramètres!$A$1:$I$89,3,0)*0.475*44/12</f>
        <v>1.608847364097254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4.7954305212828299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2.5149572649572653</v>
      </c>
      <c r="BY181" s="12">
        <f>IF('Données projet'!$A$114&gt;35,BY180+BX181-CG180,IF(A181&lt;'Données projet'!$A$114,$BV$205^A181,IF(A181='Données projet'!$A$114,'Données projet'!$B$114,BY180+BX181-CG180)))</f>
        <v>178.47649572649516</v>
      </c>
      <c r="BZ181" s="13">
        <f>BY181*VLOOKUP('Données projet'!$B$12,Paramètres!$A$1:$I$89,3,0)*VLOOKUP('Données projet'!$B$12,Paramètres!$A$1:$I$89,5,0)</f>
        <v>161.48553333333282</v>
      </c>
      <c r="CA181" s="13">
        <f t="shared" si="170"/>
        <v>41.17740116187629</v>
      </c>
      <c r="CB181" s="20">
        <f t="shared" si="171"/>
        <v>352.97127757915587</v>
      </c>
      <c r="CC181" s="59">
        <f t="shared" si="119"/>
        <v>646.30461091248912</v>
      </c>
      <c r="CD181" s="59">
        <f ca="1">AVERAGE(OFFSET($CC$3,0,0,'Données projet'!$E$12+1,1))-AVERAGE(OFFSET($H$3,0,0,'Données projet'!$E$12+1,1))</f>
        <v>265.17389489035344</v>
      </c>
      <c r="CE181" s="59">
        <f t="shared" si="148"/>
        <v>101.57852403610769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143.66335943890326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143.66335943890326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-1.7053025658242404E-13</v>
      </c>
      <c r="CU181" s="17">
        <f>CT181*VLOOKUP('Données projet'!$B$13,Paramètres!$A$1:$I$89,3,0)*VLOOKUP('Données projet'!$B$13,Paramètres!$A$1:$I$89,5,0)</f>
        <v>-1.0197709343628959E-13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182.34243693018033</v>
      </c>
      <c r="CZ181" s="59">
        <f t="shared" si="150"/>
        <v>182.65916563909786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12.534661081237727</v>
      </c>
      <c r="DG181" s="21">
        <f>EXP(-LN(2)/25)*DG180+(1-EXP(-LN(2)/25))/(LN(2)/25)*Calculateur!DB181*Calculateur!DD181*VLOOKUP('Données projet'!$B$13,Paramètres!$A$1:$I$89,3,0)*0.475*44/12</f>
        <v>1.3712124046022744</v>
      </c>
      <c r="DH181" s="21">
        <f>EXP(-LN(2)/2)*DH180+(1-EXP(-LN(2)/2))/(LN(2)/2)*DB181*DE181*VLOOKUP('Données projet'!$B$13,Paramètres!$A$1:$I$89,3,0)*0.475*44/12</f>
        <v>5.544670363465549E-17</v>
      </c>
      <c r="DI181" s="22">
        <f t="shared" si="175"/>
        <v>13.905873485840003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2.5149572649572653</v>
      </c>
      <c r="DO181" s="12">
        <f>IF('Données projet'!$A$166&gt;35,DO180+DN181-DW180,IF(A181&lt;'Données projet'!$A$166,$DL$205^A181,IF(A181='Données projet'!$A$166,'Données projet'!$B$166,DO180+DN181-DW180)))</f>
        <v>178.47649572649516</v>
      </c>
      <c r="DP181" s="17">
        <f>DO181*VLOOKUP('Données projet'!$B$14,Paramètres!$A$1:$I$89,3,0)*VLOOKUP('Données projet'!$B$14,Paramètres!$A$1:$I$89,5,0)</f>
        <v>169.83823333333279</v>
      </c>
      <c r="DQ181" s="13">
        <f t="shared" si="176"/>
        <v>43.05379122605688</v>
      </c>
      <c r="DR181" s="20">
        <f t="shared" si="177"/>
        <v>370.7869427742703</v>
      </c>
      <c r="DS181" s="59">
        <f t="shared" si="125"/>
        <v>664.12027610760356</v>
      </c>
      <c r="DT181" s="59">
        <f ca="1">AVERAGE(OFFSET($DS$3,0,0,'Données projet'!$E$14+1,1))-AVERAGE(OFFSET($H$3,0,0,'Données projet'!$E$14+1,1))</f>
        <v>286.10360882057586</v>
      </c>
      <c r="DU181" s="59">
        <f t="shared" si="152"/>
        <v>109.24531387923128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151.09422285815685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151.09422285815685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581.62475428097252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262.42149466677068</v>
      </c>
      <c r="T182" s="59">
        <f t="shared" si="142"/>
        <v>232.7693253699756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-1.0197709343628959E-13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249.37919739649828</v>
      </c>
      <c r="AO182" s="59">
        <f t="shared" si="144"/>
        <v>315.05045383693073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14.252033134966815</v>
      </c>
      <c r="AV182" s="21">
        <f>EXP(-LN(2)/25)*AV181+(1-EXP(-LN(2)/25))/(LN(2)/25)*Calculateur!AQ182*Calculateur!AS182*VLOOKUP('Données projet'!$B$10,Paramètres!$A$1:$I$89,3,0)*0.475*44/12</f>
        <v>1.4600252474734738</v>
      </c>
      <c r="AW182" s="21">
        <f>EXP(-LN(2)/2)*AW181+(1-EXP(-LN(2)/2))/(LN(2)/2)*AQ182*AT182*VLOOKUP('Données projet'!$B$10,Paramètres!$A$1:$I$89,3,0)*0.475*44/12</f>
        <v>1.2390964511735247E-17</v>
      </c>
      <c r="AX182" s="21">
        <f t="shared" si="166"/>
        <v>15.71205838244029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212.00000000000009</v>
      </c>
      <c r="BE182" s="13">
        <f>BD182*VLOOKUP('Données projet'!$B$11,Paramètres!$A$1:$I$89,3,0)*VLOOKUP('Données projet'!$B$11,Paramètres!$A$1:$I$89,5,0)</f>
        <v>185.20320000000009</v>
      </c>
      <c r="BF182" s="13">
        <f t="shared" si="167"/>
        <v>46.477875402099386</v>
      </c>
      <c r="BG182" s="20">
        <f t="shared" si="168"/>
        <v>403.5112063253232</v>
      </c>
      <c r="BH182" s="59">
        <f t="shared" si="116"/>
        <v>696.84453965865646</v>
      </c>
      <c r="BI182" s="59">
        <f ca="1">AVERAGE(OFFSET($BH$3,0,0,'Données projet'!$E$11+1,1))-AVERAGE(OFFSET($H$3,0,0,'Données projet'!$E$11+1,1))</f>
        <v>186.80594222554424</v>
      </c>
      <c r="BJ182" s="59">
        <f t="shared" si="146"/>
        <v>179.02867751001872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3.1240962050969752</v>
      </c>
      <c r="BQ182" s="21">
        <f>EXP(-LN(2)/25)*BQ181+(1-EXP(-LN(2)/25))/(LN(2)/25)*Calculateur!BL182*Calculateur!BN182*VLOOKUP('Données projet'!$B$11,Paramètres!$A$1:$I$89,3,0)*0.475*44/12</f>
        <v>1.5648533483204088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4.688949553417384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2.5149572649572653</v>
      </c>
      <c r="BY182" s="12">
        <f>IF('Données projet'!$A$114&gt;35,BY181+BX182-CG181,IF(A182&lt;'Données projet'!$A$114,$BV$205^A182,IF(A182='Données projet'!$A$114,'Données projet'!$B$114,BY181+BX182-CG181)))</f>
        <v>180.99145299145243</v>
      </c>
      <c r="BZ182" s="13">
        <f>BY182*VLOOKUP('Données projet'!$B$12,Paramètres!$A$1:$I$89,3,0)*VLOOKUP('Données projet'!$B$12,Paramètres!$A$1:$I$89,5,0)</f>
        <v>163.76106666666615</v>
      </c>
      <c r="CA182" s="13">
        <f t="shared" si="170"/>
        <v>41.689683944410106</v>
      </c>
      <c r="CB182" s="20">
        <f t="shared" si="171"/>
        <v>357.82672398095787</v>
      </c>
      <c r="CC182" s="59">
        <f t="shared" si="119"/>
        <v>651.16005731429118</v>
      </c>
      <c r="CD182" s="59">
        <f ca="1">AVERAGE(OFFSET($CC$3,0,0,'Données projet'!$E$12+1,1))-AVERAGE(OFFSET($H$3,0,0,'Données projet'!$E$12+1,1))</f>
        <v>265.17389489035344</v>
      </c>
      <c r="CE182" s="59">
        <f t="shared" si="148"/>
        <v>101.57852403610769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140.84620858630328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140.84620858630328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-1.7053025658242404E-13</v>
      </c>
      <c r="CU182" s="17">
        <f>CT182*VLOOKUP('Données projet'!$B$13,Paramètres!$A$1:$I$89,3,0)*VLOOKUP('Données projet'!$B$13,Paramètres!$A$1:$I$89,5,0)</f>
        <v>-1.0197709343628959E-13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182.34243693018033</v>
      </c>
      <c r="CZ182" s="59">
        <f t="shared" si="150"/>
        <v>182.65916563909786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12.288864022822995</v>
      </c>
      <c r="DG182" s="21">
        <f>EXP(-LN(2)/25)*DG181+(1-EXP(-LN(2)/25))/(LN(2)/25)*Calculateur!DB182*Calculateur!DD182*VLOOKUP('Données projet'!$B$13,Paramètres!$A$1:$I$89,3,0)*0.475*44/12</f>
        <v>1.3337165292894988</v>
      </c>
      <c r="DH182" s="21">
        <f>EXP(-LN(2)/2)*DH181+(1-EXP(-LN(2)/2))/(LN(2)/2)*DB182*DE182*VLOOKUP('Données projet'!$B$13,Paramètres!$A$1:$I$89,3,0)*0.475*44/12</f>
        <v>3.9206740134505692E-17</v>
      </c>
      <c r="DI182" s="22">
        <f t="shared" si="175"/>
        <v>13.622580552112494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2.5149572649572653</v>
      </c>
      <c r="DO182" s="12">
        <f>IF('Données projet'!$A$166&gt;35,DO181+DN182-DW181,IF(A182&lt;'Données projet'!$A$166,$DL$205^A182,IF(A182='Données projet'!$A$166,'Données projet'!$B$166,DO181+DN182-DW181)))</f>
        <v>180.99145299145243</v>
      </c>
      <c r="DP182" s="17">
        <f>DO182*VLOOKUP('Données projet'!$B$14,Paramètres!$A$1:$I$89,3,0)*VLOOKUP('Données projet'!$B$14,Paramètres!$A$1:$I$89,5,0)</f>
        <v>172.23146666666614</v>
      </c>
      <c r="DQ182" s="13">
        <f t="shared" si="176"/>
        <v>43.589417937446726</v>
      </c>
      <c r="DR182" s="20">
        <f t="shared" si="177"/>
        <v>375.88804068549649</v>
      </c>
      <c r="DS182" s="59">
        <f t="shared" si="125"/>
        <v>669.22137401882981</v>
      </c>
      <c r="DT182" s="59">
        <f ca="1">AVERAGE(OFFSET($DS$3,0,0,'Données projet'!$E$14+1,1))-AVERAGE(OFFSET($H$3,0,0,'Données projet'!$E$14+1,1))</f>
        <v>286.10360882057586</v>
      </c>
      <c r="DU182" s="59">
        <f t="shared" si="152"/>
        <v>109.24531387923128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148.13135730628446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148.13135730628446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583.19639692679084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262.42149466677068</v>
      </c>
      <c r="T183" s="59">
        <f t="shared" si="142"/>
        <v>232.7693253699756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-1.0197709343628959E-13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249.37919739649828</v>
      </c>
      <c r="AO183" s="59">
        <f t="shared" si="144"/>
        <v>315.05045383693073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13.972559458071977</v>
      </c>
      <c r="AV183" s="21">
        <f>EXP(-LN(2)/25)*AV182+(1-EXP(-LN(2)/25))/(LN(2)/25)*Calculateur!AQ183*Calculateur!AS183*VLOOKUP('Données projet'!$B$10,Paramètres!$A$1:$I$89,3,0)*0.475*44/12</f>
        <v>1.4201007803019208</v>
      </c>
      <c r="AW183" s="21">
        <f>EXP(-LN(2)/2)*AW182+(1-EXP(-LN(2)/2))/(LN(2)/2)*AQ183*AT183*VLOOKUP('Données projet'!$B$10,Paramètres!$A$1:$I$89,3,0)*0.475*44/12</f>
        <v>8.7617350316898507E-18</v>
      </c>
      <c r="AX183" s="21">
        <f t="shared" si="166"/>
        <v>15.392660238373898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212.00000000000009</v>
      </c>
      <c r="BE183" s="13">
        <f>BD183*VLOOKUP('Données projet'!$B$11,Paramètres!$A$1:$I$89,3,0)*VLOOKUP('Données projet'!$B$11,Paramètres!$A$1:$I$89,5,0)</f>
        <v>185.20320000000009</v>
      </c>
      <c r="BF183" s="13">
        <f t="shared" si="167"/>
        <v>46.477875402099386</v>
      </c>
      <c r="BG183" s="20">
        <f t="shared" si="168"/>
        <v>403.5112063253232</v>
      </c>
      <c r="BH183" s="59">
        <f t="shared" si="116"/>
        <v>696.84453965865646</v>
      </c>
      <c r="BI183" s="59">
        <f ca="1">AVERAGE(OFFSET($BH$3,0,0,'Données projet'!$E$11+1,1))-AVERAGE(OFFSET($H$3,0,0,'Données projet'!$E$11+1,1))</f>
        <v>186.80594222554424</v>
      </c>
      <c r="BJ183" s="59">
        <f t="shared" si="146"/>
        <v>179.02867751001872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3.0628345840255551</v>
      </c>
      <c r="BQ183" s="21">
        <f>EXP(-LN(2)/25)*BQ182+(1-EXP(-LN(2)/25))/(LN(2)/25)*Calculateur!BL183*Calculateur!BN183*VLOOKUP('Données projet'!$B$11,Paramètres!$A$1:$I$89,3,0)*0.475*44/12</f>
        <v>1.5220623512185261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4.5848969352440809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183.50641025641025</v>
      </c>
      <c r="BW183" s="12">
        <f>VLOOKUP(A183,'Données projet'!$A$113:$I$133,9,0)</f>
        <v>2.5149572649572653</v>
      </c>
      <c r="BX183" s="12">
        <f t="array" ref="BX183">INDEX(BW:BW,MIN(IF(ISNUMBER(BW183:BW379),ROW(BW183:BW379),"")))</f>
        <v>2.5149572649572653</v>
      </c>
      <c r="BY183" s="12">
        <f>IF('Données projet'!$A$114&gt;35,BY182+BX183-CG182,IF(A183&lt;'Données projet'!$A$114,$BV$205^A183,IF(A183='Données projet'!$A$114,'Données projet'!$B$114,BY182+BX183-CG182)))</f>
        <v>183.50641025640971</v>
      </c>
      <c r="BZ183" s="13">
        <f>BY183*VLOOKUP('Données projet'!$B$12,Paramètres!$A$1:$I$89,3,0)*VLOOKUP('Données projet'!$B$12,Paramètres!$A$1:$I$89,5,0)</f>
        <v>166.03659999999951</v>
      </c>
      <c r="CA183" s="13">
        <f t="shared" si="170"/>
        <v>42.201138786899428</v>
      </c>
      <c r="CB183" s="20">
        <f t="shared" si="171"/>
        <v>362.68072838718234</v>
      </c>
      <c r="CC183" s="59">
        <f t="shared" si="119"/>
        <v>656.01406172051566</v>
      </c>
      <c r="CD183" s="59">
        <f ca="1">AVERAGE(OFFSET($CC$3,0,0,'Données projet'!$E$12+1,1))-AVERAGE(OFFSET($H$3,0,0,'Données projet'!$E$12+1,1))</f>
        <v>265.17389489035344</v>
      </c>
      <c r="CE183" s="59">
        <f t="shared" si="148"/>
        <v>101.57852403610769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58.794871794871796</v>
      </c>
      <c r="CH183" s="16">
        <f>IF(ISNA(VLOOKUP(A183,'Données projet'!$A$113:$I$133,5,0)),0%,VLOOKUP(A183,'Données projet'!$A$113:$I$133,5,0)*VLOOKUP('Données projet'!$B$12,Paramètres!$A$1:$I$89,7,0))</f>
        <v>0.38700000000000001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160.8431399447181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160.8431399447181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-1.7053025658242404E-13</v>
      </c>
      <c r="CU183" s="17">
        <f>CT183*VLOOKUP('Données projet'!$B$13,Paramètres!$A$1:$I$89,3,0)*VLOOKUP('Données projet'!$B$13,Paramètres!$A$1:$I$89,5,0)</f>
        <v>-1.0197709343628959E-13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182.34243693018033</v>
      </c>
      <c r="CZ183" s="59">
        <f t="shared" si="150"/>
        <v>182.65916563909786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12.047886894802375</v>
      </c>
      <c r="DG183" s="21">
        <f>EXP(-LN(2)/25)*DG182+(1-EXP(-LN(2)/25))/(LN(2)/25)*Calculateur!DB183*Calculateur!DD183*VLOOKUP('Données projet'!$B$13,Paramètres!$A$1:$I$89,3,0)*0.475*44/12</f>
        <v>1.2972459806589733</v>
      </c>
      <c r="DH183" s="21">
        <f>EXP(-LN(2)/2)*DH182+(1-EXP(-LN(2)/2))/(LN(2)/2)*DB183*DE183*VLOOKUP('Données projet'!$B$13,Paramètres!$A$1:$I$89,3,0)*0.475*44/12</f>
        <v>2.7723351817327748E-17</v>
      </c>
      <c r="DI183" s="22">
        <f t="shared" si="175"/>
        <v>13.345132875461347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>
        <f>VLOOKUP(A183,'Données projet'!$A$165:$I$185,2,0)</f>
        <v>183.50641025641025</v>
      </c>
      <c r="DM183" s="12">
        <f>VLOOKUP(A183,'Données projet'!$A$165:$I$185,9,0)</f>
        <v>2.5149572649572653</v>
      </c>
      <c r="DN183" s="12">
        <f t="array" ref="DN183">INDEX(DM:DM,MIN(IF(ISNUMBER(DM183:DM379),ROW(DM183:DM379),"")))</f>
        <v>2.5149572649572653</v>
      </c>
      <c r="DO183" s="12">
        <f>IF('Données projet'!$A$166&gt;35,DO182+DN183-DW182,IF(A183&lt;'Données projet'!$A$166,$DL$205^A183,IF(A183='Données projet'!$A$166,'Données projet'!$B$166,DO182+DN183-DW182)))</f>
        <v>183.50641025640971</v>
      </c>
      <c r="DP183" s="17">
        <f>DO183*VLOOKUP('Données projet'!$B$14,Paramètres!$A$1:$I$89,3,0)*VLOOKUP('Données projet'!$B$14,Paramètres!$A$1:$I$89,5,0)</f>
        <v>174.62469999999948</v>
      </c>
      <c r="DQ183" s="13">
        <f t="shared" si="176"/>
        <v>44.124178980853138</v>
      </c>
      <c r="DR183" s="20">
        <f t="shared" si="177"/>
        <v>380.98763089165163</v>
      </c>
      <c r="DS183" s="59">
        <f t="shared" si="125"/>
        <v>674.32096422498489</v>
      </c>
      <c r="DT183" s="59">
        <f ca="1">AVERAGE(OFFSET($DS$3,0,0,'Données projet'!$E$14+1,1))-AVERAGE(OFFSET($H$3,0,0,'Données projet'!$E$14+1,1))</f>
        <v>286.10360882057586</v>
      </c>
      <c r="DU183" s="59">
        <f t="shared" si="152"/>
        <v>109.24531387923128</v>
      </c>
      <c r="DV183" s="15">
        <f>IF(ISNA(VLOOKUP(A183,'Données projet'!$A$165:$I$185,3,0)),0,VLOOKUP(A183,'Données projet'!$A$165:$I$185,3,0))</f>
        <v>17</v>
      </c>
      <c r="DW183" s="15">
        <f>IF(ISNA(VLOOKUP(A183,'Données projet'!$A$165:$I$185,4,0)),0,VLOOKUP(A183,'Données projet'!$A$165:$I$185,4,0))</f>
        <v>58.794871794871796</v>
      </c>
      <c r="DX183" s="16">
        <f>IF(ISNA(VLOOKUP(A183,'Données projet'!$A$165:$I$185,5,0)),0%,VLOOKUP(A183,'Données projet'!$A$165:$I$185,5,0)*VLOOKUP('Données projet'!$B$14,Paramètres!$A$1:$I$89,7,0))</f>
        <v>0.38700000000000001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169.16261270047934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169.16261270047934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584.76784909112348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262.42149466677068</v>
      </c>
      <c r="T184" s="59">
        <f t="shared" si="142"/>
        <v>232.7693253699756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-1.0197709343628959E-13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249.37919739649828</v>
      </c>
      <c r="AO184" s="59">
        <f t="shared" si="144"/>
        <v>315.05045383693073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13.698566089518936</v>
      </c>
      <c r="AV184" s="21">
        <f>EXP(-LN(2)/25)*AV183+(1-EXP(-LN(2)/25))/(LN(2)/25)*Calculateur!AQ184*Calculateur!AS184*VLOOKUP('Données projet'!$B$10,Paramètres!$A$1:$I$89,3,0)*0.475*44/12</f>
        <v>1.3812680497847103</v>
      </c>
      <c r="AW184" s="21">
        <f>EXP(-LN(2)/2)*AW183+(1-EXP(-LN(2)/2))/(LN(2)/2)*AQ184*AT184*VLOOKUP('Données projet'!$B$10,Paramètres!$A$1:$I$89,3,0)*0.475*44/12</f>
        <v>6.1954822558676234E-18</v>
      </c>
      <c r="AX184" s="21">
        <f t="shared" si="166"/>
        <v>15.079834139303646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212.00000000000009</v>
      </c>
      <c r="BE184" s="13">
        <f>BD184*VLOOKUP('Données projet'!$B$11,Paramètres!$A$1:$I$89,3,0)*VLOOKUP('Données projet'!$B$11,Paramètres!$A$1:$I$89,5,0)</f>
        <v>185.20320000000009</v>
      </c>
      <c r="BF184" s="13">
        <f t="shared" si="167"/>
        <v>46.477875402099386</v>
      </c>
      <c r="BG184" s="20">
        <f t="shared" si="168"/>
        <v>403.5112063253232</v>
      </c>
      <c r="BH184" s="59">
        <f t="shared" si="116"/>
        <v>696.84453965865646</v>
      </c>
      <c r="BI184" s="59">
        <f ca="1">AVERAGE(OFFSET($BH$3,0,0,'Données projet'!$E$11+1,1))-AVERAGE(OFFSET($H$3,0,0,'Données projet'!$E$11+1,1))</f>
        <v>186.80594222554424</v>
      </c>
      <c r="BJ184" s="59">
        <f t="shared" si="146"/>
        <v>179.02867751001872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3.0027742659774463</v>
      </c>
      <c r="BQ184" s="21">
        <f>EXP(-LN(2)/25)*BQ183+(1-EXP(-LN(2)/25))/(LN(2)/25)*Calculateur!BL184*Calculateur!BN184*VLOOKUP('Données projet'!$B$11,Paramètres!$A$1:$I$89,3,0)*0.475*44/12</f>
        <v>1.4804414761826752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4.4832157421601213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1.5384615384615377</v>
      </c>
      <c r="BY184" s="12">
        <f>IF('Données projet'!$A$114&gt;35,BY183+BX184-CG183,IF(A184&lt;'Données projet'!$A$114,$BV$205^A184,IF(A184='Données projet'!$A$114,'Données projet'!$B$114,BY183+BX184-CG183)))</f>
        <v>126.24999999999946</v>
      </c>
      <c r="BZ184" s="13">
        <f>BY184*VLOOKUP('Données projet'!$B$12,Paramètres!$A$1:$I$89,3,0)*VLOOKUP('Données projet'!$B$12,Paramètres!$A$1:$I$89,5,0)</f>
        <v>114.23099999999951</v>
      </c>
      <c r="CA184" s="13">
        <f t="shared" si="170"/>
        <v>30.325640932877807</v>
      </c>
      <c r="CB184" s="20">
        <f t="shared" si="171"/>
        <v>251.76948295809464</v>
      </c>
      <c r="CC184" s="59">
        <f t="shared" si="119"/>
        <v>545.10281629142798</v>
      </c>
      <c r="CD184" s="59">
        <f ca="1">AVERAGE(OFFSET($CC$3,0,0,'Données projet'!$E$12+1,1))-AVERAGE(OFFSET($H$3,0,0,'Données projet'!$E$12+1,1))</f>
        <v>265.17389489035344</v>
      </c>
      <c r="CE184" s="59">
        <f t="shared" si="148"/>
        <v>101.57852403610769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157.68910407503051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157.68910407503051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-1.7053025658242404E-13</v>
      </c>
      <c r="CU184" s="17">
        <f>CT184*VLOOKUP('Données projet'!$B$13,Paramètres!$A$1:$I$89,3,0)*VLOOKUP('Données projet'!$B$13,Paramètres!$A$1:$I$89,5,0)</f>
        <v>-1.0197709343628959E-13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182.34243693018033</v>
      </c>
      <c r="CZ184" s="59">
        <f t="shared" si="150"/>
        <v>182.65916563909786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11.811635181280703</v>
      </c>
      <c r="DG184" s="21">
        <f>EXP(-LN(2)/25)*DG183+(1-EXP(-LN(2)/25))/(LN(2)/25)*Calculateur!DB184*Calculateur!DD184*VLOOKUP('Données projet'!$B$13,Paramètres!$A$1:$I$89,3,0)*0.475*44/12</f>
        <v>1.2617727210986525</v>
      </c>
      <c r="DH184" s="21">
        <f>EXP(-LN(2)/2)*DH183+(1-EXP(-LN(2)/2))/(LN(2)/2)*DB184*DE184*VLOOKUP('Données projet'!$B$13,Paramètres!$A$1:$I$89,3,0)*0.475*44/12</f>
        <v>1.9603370067252849E-17</v>
      </c>
      <c r="DI184" s="22">
        <f t="shared" si="175"/>
        <v>13.073407902379355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1.5384615384615377</v>
      </c>
      <c r="DO184" s="12">
        <f>IF('Données projet'!$A$166&gt;35,DO183+DN184-DW183,IF(A184&lt;'Données projet'!$A$166,$DL$205^A184,IF(A184='Données projet'!$A$166,'Données projet'!$B$166,DO183+DN184-DW183)))</f>
        <v>126.24999999999946</v>
      </c>
      <c r="DP184" s="17">
        <f>DO184*VLOOKUP('Données projet'!$B$14,Paramètres!$A$1:$I$89,3,0)*VLOOKUP('Données projet'!$B$14,Paramètres!$A$1:$I$89,5,0)</f>
        <v>120.1394999999995</v>
      </c>
      <c r="DQ184" s="13">
        <f t="shared" si="176"/>
        <v>31.707533177914463</v>
      </c>
      <c r="DR184" s="20">
        <f t="shared" si="177"/>
        <v>264.46691611820017</v>
      </c>
      <c r="DS184" s="59">
        <f t="shared" si="125"/>
        <v>557.80024945153355</v>
      </c>
      <c r="DT184" s="59">
        <f ca="1">AVERAGE(OFFSET($DS$3,0,0,'Données projet'!$E$14+1,1))-AVERAGE(OFFSET($H$3,0,0,'Données projet'!$E$14+1,1))</f>
        <v>286.10360882057586</v>
      </c>
      <c r="DU184" s="59">
        <f t="shared" si="152"/>
        <v>109.24531387923128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165.84543704442862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165.84543704442862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586.33911194848645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262.42149466677068</v>
      </c>
      <c r="T185" s="59">
        <f t="shared" si="142"/>
        <v>232.7693253699756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-1.0197709343628959E-13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249.37919739649828</v>
      </c>
      <c r="AO185" s="59">
        <f t="shared" si="144"/>
        <v>315.05045383693073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13.429945563803766</v>
      </c>
      <c r="AV185" s="21">
        <f>EXP(-LN(2)/25)*AV184+(1-EXP(-LN(2)/25))/(LN(2)/25)*Calculateur!AQ185*Calculateur!AS185*VLOOKUP('Données projet'!$B$10,Paramètres!$A$1:$I$89,3,0)*0.475*44/12</f>
        <v>1.3434972023256175</v>
      </c>
      <c r="AW185" s="21">
        <f>EXP(-LN(2)/2)*AW184+(1-EXP(-LN(2)/2))/(LN(2)/2)*AQ185*AT185*VLOOKUP('Données projet'!$B$10,Paramètres!$A$1:$I$89,3,0)*0.475*44/12</f>
        <v>4.3808675158449253E-18</v>
      </c>
      <c r="AX185" s="21">
        <f t="shared" si="166"/>
        <v>14.773442766129383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212.00000000000009</v>
      </c>
      <c r="BE185" s="13">
        <f>BD185*VLOOKUP('Données projet'!$B$11,Paramètres!$A$1:$I$89,3,0)*VLOOKUP('Données projet'!$B$11,Paramètres!$A$1:$I$89,5,0)</f>
        <v>185.20320000000009</v>
      </c>
      <c r="BF185" s="13">
        <f t="shared" si="167"/>
        <v>46.477875402099386</v>
      </c>
      <c r="BG185" s="20">
        <f t="shared" si="168"/>
        <v>403.5112063253232</v>
      </c>
      <c r="BH185" s="59">
        <f t="shared" si="116"/>
        <v>696.84453965865646</v>
      </c>
      <c r="BI185" s="59">
        <f ca="1">AVERAGE(OFFSET($BH$3,0,0,'Données projet'!$E$11+1,1))-AVERAGE(OFFSET($H$3,0,0,'Données projet'!$E$11+1,1))</f>
        <v>186.80594222554424</v>
      </c>
      <c r="BJ185" s="59">
        <f t="shared" si="146"/>
        <v>179.02867751001872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2.9438916941330842</v>
      </c>
      <c r="BQ185" s="21">
        <f>EXP(-LN(2)/25)*BQ184+(1-EXP(-LN(2)/25))/(LN(2)/25)*Calculateur!BL185*Calculateur!BN185*VLOOKUP('Données projet'!$B$11,Paramètres!$A$1:$I$89,3,0)*0.475*44/12</f>
        <v>1.4399587261634264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4.3838504202965103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1.5384615384615377</v>
      </c>
      <c r="BY185" s="12">
        <f>IF('Données projet'!$A$114&gt;35,BY184+BX185-CG184,IF(A185&lt;'Données projet'!$A$114,$BV$205^A185,IF(A185='Données projet'!$A$114,'Données projet'!$B$114,BY184+BX185-CG184)))</f>
        <v>127.78846153846099</v>
      </c>
      <c r="BZ185" s="13">
        <f>BY185*VLOOKUP('Données projet'!$B$12,Paramètres!$A$1:$I$89,3,0)*VLOOKUP('Données projet'!$B$12,Paramètres!$A$1:$I$89,5,0)</f>
        <v>115.62299999999951</v>
      </c>
      <c r="CA185" s="13">
        <f t="shared" si="170"/>
        <v>30.651938791248938</v>
      </c>
      <c r="CB185" s="20">
        <f t="shared" si="171"/>
        <v>254.76218506142436</v>
      </c>
      <c r="CC185" s="59">
        <f t="shared" si="119"/>
        <v>548.09551839475762</v>
      </c>
      <c r="CD185" s="59">
        <f ca="1">AVERAGE(OFFSET($CC$3,0,0,'Données projet'!$E$12+1,1))-AVERAGE(OFFSET($H$3,0,0,'Données projet'!$E$12+1,1))</f>
        <v>265.17389489035344</v>
      </c>
      <c r="CE185" s="59">
        <f t="shared" si="148"/>
        <v>101.57852403610769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154.59691692497557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154.59691692497557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-1.7053025658242404E-13</v>
      </c>
      <c r="CU185" s="17">
        <f>CT185*VLOOKUP('Données projet'!$B$13,Paramètres!$A$1:$I$89,3,0)*VLOOKUP('Données projet'!$B$13,Paramètres!$A$1:$I$89,5,0)</f>
        <v>-1.0197709343628959E-13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182.34243693018033</v>
      </c>
      <c r="CZ185" s="59">
        <f t="shared" si="150"/>
        <v>182.65916563909786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11.580016219761875</v>
      </c>
      <c r="DG185" s="21">
        <f>EXP(-LN(2)/25)*DG184+(1-EXP(-LN(2)/25))/(LN(2)/25)*Calculateur!DB185*Calculateur!DD185*VLOOKUP('Données projet'!$B$13,Paramètres!$A$1:$I$89,3,0)*0.475*44/12</f>
        <v>1.2272694796864663</v>
      </c>
      <c r="DH185" s="21">
        <f>EXP(-LN(2)/2)*DH184+(1-EXP(-LN(2)/2))/(LN(2)/2)*DB185*DE185*VLOOKUP('Données projet'!$B$13,Paramètres!$A$1:$I$89,3,0)*0.475*44/12</f>
        <v>1.3861675908663877E-17</v>
      </c>
      <c r="DI185" s="22">
        <f t="shared" si="175"/>
        <v>12.807285699448341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1.5384615384615377</v>
      </c>
      <c r="DO185" s="12">
        <f>IF('Données projet'!$A$166&gt;35,DO184+DN185-DW184,IF(A185&lt;'Données projet'!$A$166,$DL$205^A185,IF(A185='Données projet'!$A$166,'Données projet'!$B$166,DO184+DN185-DW184)))</f>
        <v>127.78846153846099</v>
      </c>
      <c r="DP185" s="17">
        <f>DO185*VLOOKUP('Données projet'!$B$14,Paramètres!$A$1:$I$89,3,0)*VLOOKUP('Données projet'!$B$14,Paramètres!$A$1:$I$89,5,0)</f>
        <v>121.60349999999947</v>
      </c>
      <c r="DQ185" s="13">
        <f t="shared" si="176"/>
        <v>32.048699921696894</v>
      </c>
      <c r="DR185" s="20">
        <f t="shared" si="177"/>
        <v>267.61091486362113</v>
      </c>
      <c r="DS185" s="59">
        <f t="shared" si="125"/>
        <v>560.9442481969545</v>
      </c>
      <c r="DT185" s="59">
        <f ca="1">AVERAGE(OFFSET($DS$3,0,0,'Données projet'!$E$14+1,1))-AVERAGE(OFFSET($H$3,0,0,'Données projet'!$E$14+1,1))</f>
        <v>286.10360882057586</v>
      </c>
      <c r="DU185" s="59">
        <f t="shared" si="152"/>
        <v>109.24531387923128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162.59330917971567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162.59330917971567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587.91018665974138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262.42149466677068</v>
      </c>
      <c r="T186" s="59">
        <f t="shared" si="142"/>
        <v>232.7693253699756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-1.0197709343628959E-13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249.37919739649828</v>
      </c>
      <c r="AO186" s="59">
        <f t="shared" si="144"/>
        <v>315.05045383693073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13.166592522755529</v>
      </c>
      <c r="AV186" s="21">
        <f>EXP(-LN(2)/25)*AV185+(1-EXP(-LN(2)/25))/(LN(2)/25)*Calculateur!AQ186*Calculateur!AS186*VLOOKUP('Données projet'!$B$10,Paramètres!$A$1:$I$89,3,0)*0.475*44/12</f>
        <v>1.3067592006765762</v>
      </c>
      <c r="AW186" s="21">
        <f>EXP(-LN(2)/2)*AW185+(1-EXP(-LN(2)/2))/(LN(2)/2)*AQ186*AT186*VLOOKUP('Données projet'!$B$10,Paramètres!$A$1:$I$89,3,0)*0.475*44/12</f>
        <v>3.0977411279338117E-18</v>
      </c>
      <c r="AX186" s="21">
        <f t="shared" si="166"/>
        <v>14.473351723432106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212.00000000000009</v>
      </c>
      <c r="BE186" s="13">
        <f>BD186*VLOOKUP('Données projet'!$B$11,Paramètres!$A$1:$I$89,3,0)*VLOOKUP('Données projet'!$B$11,Paramètres!$A$1:$I$89,5,0)</f>
        <v>185.20320000000009</v>
      </c>
      <c r="BF186" s="13">
        <f t="shared" si="167"/>
        <v>46.477875402099386</v>
      </c>
      <c r="BG186" s="20">
        <f t="shared" si="168"/>
        <v>403.5112063253232</v>
      </c>
      <c r="BH186" s="59">
        <f t="shared" si="116"/>
        <v>696.84453965865646</v>
      </c>
      <c r="BI186" s="59">
        <f ca="1">AVERAGE(OFFSET($BH$3,0,0,'Données projet'!$E$11+1,1))-AVERAGE(OFFSET($H$3,0,0,'Données projet'!$E$11+1,1))</f>
        <v>186.80594222554424</v>
      </c>
      <c r="BJ186" s="59">
        <f t="shared" si="146"/>
        <v>179.02867751001872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2.8861637736077674</v>
      </c>
      <c r="BQ186" s="21">
        <f>EXP(-LN(2)/25)*BQ185+(1-EXP(-LN(2)/25))/(LN(2)/25)*Calculateur!BL186*Calculateur!BN186*VLOOKUP('Données projet'!$B$11,Paramètres!$A$1:$I$89,3,0)*0.475*44/12</f>
        <v>1.4005829790723492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4.2867467526801164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129.32692307692307</v>
      </c>
      <c r="BW186" s="12">
        <f>VLOOKUP(A186,'Données projet'!$A$113:$I$133,9,0)</f>
        <v>1.5384615384615377</v>
      </c>
      <c r="BX186" s="12">
        <f t="array" ref="BX186">INDEX(BW:BW,MIN(IF(ISNUMBER(BW186:BW382),ROW(BW186:BW382),"")))</f>
        <v>1.5384615384615377</v>
      </c>
      <c r="BY186" s="12">
        <f>IF('Données projet'!$A$114&gt;35,BY185+BX186-CG185,IF(A186&lt;'Données projet'!$A$114,$BV$205^A186,IF(A186='Données projet'!$A$114,'Données projet'!$B$114,BY185+BX186-CG185)))</f>
        <v>129.32692307692253</v>
      </c>
      <c r="BZ186" s="13">
        <f>BY186*VLOOKUP('Données projet'!$B$12,Paramètres!$A$1:$I$89,3,0)*VLOOKUP('Données projet'!$B$12,Paramètres!$A$1:$I$89,5,0)</f>
        <v>117.0149999999995</v>
      </c>
      <c r="CA186" s="13">
        <f t="shared" si="170"/>
        <v>30.977779699248124</v>
      </c>
      <c r="CB186" s="20">
        <f t="shared" si="171"/>
        <v>257.75409130952295</v>
      </c>
      <c r="CC186" s="59">
        <f t="shared" si="119"/>
        <v>551.08742464285626</v>
      </c>
      <c r="CD186" s="59">
        <f ca="1">AVERAGE(OFFSET($CC$3,0,0,'Données projet'!$E$12+1,1))-AVERAGE(OFFSET($H$3,0,0,'Données projet'!$E$12+1,1))</f>
        <v>265.17389489035344</v>
      </c>
      <c r="CE186" s="59">
        <f t="shared" si="148"/>
        <v>101.57852403610769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129.32692307692307</v>
      </c>
      <c r="CH186" s="16">
        <f>IF(ISNA(VLOOKUP(A186,'Données projet'!$A$113:$I$133,5,0)),0%,VLOOKUP(A186,'Données projet'!$A$113:$I$133,5,0)*VLOOKUP('Données projet'!$B$12,Paramètres!$A$1:$I$89,7,0))</f>
        <v>0.38700000000000001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201.62637624931091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201.62637624931091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-1.7053025658242404E-13</v>
      </c>
      <c r="CU186" s="17">
        <f>CT186*VLOOKUP('Données projet'!$B$13,Paramètres!$A$1:$I$89,3,0)*VLOOKUP('Données projet'!$B$13,Paramètres!$A$1:$I$89,5,0)</f>
        <v>-1.0197709343628959E-13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182.34243693018033</v>
      </c>
      <c r="CZ186" s="59">
        <f t="shared" si="150"/>
        <v>182.65916563909786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11.352939164804814</v>
      </c>
      <c r="DG186" s="21">
        <f>EXP(-LN(2)/25)*DG185+(1-EXP(-LN(2)/25))/(LN(2)/25)*Calculateur!DB186*Calculateur!DD186*VLOOKUP('Données projet'!$B$13,Paramètres!$A$1:$I$89,3,0)*0.475*44/12</f>
        <v>1.1937097312251428</v>
      </c>
      <c r="DH186" s="21">
        <f>EXP(-LN(2)/2)*DH185+(1-EXP(-LN(2)/2))/(LN(2)/2)*DB186*DE186*VLOOKUP('Données projet'!$B$13,Paramètres!$A$1:$I$89,3,0)*0.475*44/12</f>
        <v>9.801685033626426E-18</v>
      </c>
      <c r="DI186" s="22">
        <f t="shared" si="175"/>
        <v>12.546648896029957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>
        <f>VLOOKUP(A186,'Données projet'!$A$165:$I$185,2,0)</f>
        <v>129.32692307692307</v>
      </c>
      <c r="DM186" s="12">
        <f>VLOOKUP(A186,'Données projet'!$A$165:$I$185,9,0)</f>
        <v>1.5384615384615377</v>
      </c>
      <c r="DN186" s="12">
        <f t="array" ref="DN186">INDEX(DM:DM,MIN(IF(ISNUMBER(DM186:DM382),ROW(DM186:DM382),"")))</f>
        <v>1.5384615384615377</v>
      </c>
      <c r="DO186" s="12">
        <f>IF('Données projet'!$A$166&gt;35,DO185+DN186-DW185,IF(A186&lt;'Données projet'!$A$166,$DL$205^A186,IF(A186='Données projet'!$A$166,'Données projet'!$B$166,DO185+DN186-DW185)))</f>
        <v>129.32692307692253</v>
      </c>
      <c r="DP186" s="17">
        <f>DO186*VLOOKUP('Données projet'!$B$14,Paramètres!$A$1:$I$89,3,0)*VLOOKUP('Données projet'!$B$14,Paramètres!$A$1:$I$89,5,0)</f>
        <v>123.06749999999948</v>
      </c>
      <c r="DQ186" s="13">
        <f t="shared" si="176"/>
        <v>32.389388892590361</v>
      </c>
      <c r="DR186" s="20">
        <f t="shared" si="177"/>
        <v>270.75408148792729</v>
      </c>
      <c r="DS186" s="59">
        <f t="shared" si="125"/>
        <v>564.08741482126061</v>
      </c>
      <c r="DT186" s="59">
        <f ca="1">AVERAGE(OFFSET($DS$3,0,0,'Données projet'!$E$14+1,1))-AVERAGE(OFFSET($H$3,0,0,'Données projet'!$E$14+1,1))</f>
        <v>286.10360882057586</v>
      </c>
      <c r="DU186" s="59">
        <f t="shared" si="152"/>
        <v>109.24531387923128</v>
      </c>
      <c r="DV186" s="15">
        <f>IF(ISNA(VLOOKUP(A186,'Données projet'!$A$165:$I$185,3,0)),0,VLOOKUP(A186,'Données projet'!$A$165:$I$185,3,0))</f>
        <v>18</v>
      </c>
      <c r="DW186" s="15">
        <f>IF(ISNA(VLOOKUP(A186,'Données projet'!$A$165:$I$185,4,0)),0,VLOOKUP(A186,'Données projet'!$A$165:$I$185,4,0))</f>
        <v>129.32692307692307</v>
      </c>
      <c r="DX186" s="16">
        <f>IF(ISNA(VLOOKUP(A186,'Données projet'!$A$165:$I$185,5,0)),0%,VLOOKUP(A186,'Données projet'!$A$165:$I$185,5,0)*VLOOKUP('Données projet'!$B$14,Paramètres!$A$1:$I$89,7,0))</f>
        <v>0.38700000000000001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212.05532674496493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212.05532674496493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589.48107437232875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262.42149466677068</v>
      </c>
      <c r="T187" s="59">
        <f t="shared" si="142"/>
        <v>232.7693253699756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-1.0197709343628959E-13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249.37919739649828</v>
      </c>
      <c r="AO187" s="59">
        <f t="shared" si="144"/>
        <v>315.05045383693073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12.908403674212753</v>
      </c>
      <c r="AV187" s="21">
        <f>EXP(-LN(2)/25)*AV186+(1-EXP(-LN(2)/25))/(LN(2)/25)*Calculateur!AQ187*Calculateur!AS187*VLOOKUP('Données projet'!$B$10,Paramètres!$A$1:$I$89,3,0)*0.475*44/12</f>
        <v>1.2710258016145954</v>
      </c>
      <c r="AW187" s="21">
        <f>EXP(-LN(2)/2)*AW186+(1-EXP(-LN(2)/2))/(LN(2)/2)*AQ187*AT187*VLOOKUP('Données projet'!$B$10,Paramètres!$A$1:$I$89,3,0)*0.475*44/12</f>
        <v>2.1904337579224627E-18</v>
      </c>
      <c r="AX187" s="21">
        <f t="shared" si="166"/>
        <v>14.179429475827348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212.00000000000009</v>
      </c>
      <c r="BE187" s="13">
        <f>BD187*VLOOKUP('Données projet'!$B$11,Paramètres!$A$1:$I$89,3,0)*VLOOKUP('Données projet'!$B$11,Paramètres!$A$1:$I$89,5,0)</f>
        <v>185.20320000000009</v>
      </c>
      <c r="BF187" s="13">
        <f t="shared" si="167"/>
        <v>46.477875402099386</v>
      </c>
      <c r="BG187" s="20">
        <f t="shared" si="168"/>
        <v>403.5112063253232</v>
      </c>
      <c r="BH187" s="59">
        <f t="shared" si="116"/>
        <v>696.84453965865646</v>
      </c>
      <c r="BI187" s="59">
        <f ca="1">AVERAGE(OFFSET($BH$3,0,0,'Données projet'!$E$11+1,1))-AVERAGE(OFFSET($H$3,0,0,'Données projet'!$E$11+1,1))</f>
        <v>186.80594222554424</v>
      </c>
      <c r="BJ187" s="59">
        <f t="shared" si="146"/>
        <v>179.02867751001872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2.8295678623933975</v>
      </c>
      <c r="BQ187" s="21">
        <f>EXP(-LN(2)/25)*BQ186+(1-EXP(-LN(2)/25))/(LN(2)/25)*Calculateur!BL187*Calculateur!BN187*VLOOKUP('Données projet'!$B$11,Paramètres!$A$1:$I$89,3,0)*0.475*44/12</f>
        <v>1.3622839638561579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4.1918518262495557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-5.4001247917767614E-13</v>
      </c>
      <c r="BZ187" s="13">
        <f>BY187*VLOOKUP('Données projet'!$B$12,Paramètres!$A$1:$I$89,3,0)*VLOOKUP('Données projet'!$B$12,Paramètres!$A$1:$I$89,5,0)</f>
        <v>-4.8860329115996133E-13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265.17389489035344</v>
      </c>
      <c r="CE187" s="59">
        <f t="shared" si="148"/>
        <v>101.57852403610769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197.67260599100817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197.67260599100817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-1.7053025658242404E-13</v>
      </c>
      <c r="CU187" s="17">
        <f>CT187*VLOOKUP('Données projet'!$B$13,Paramètres!$A$1:$I$89,3,0)*VLOOKUP('Données projet'!$B$13,Paramètres!$A$1:$I$89,5,0)</f>
        <v>-1.0197709343628959E-13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182.34243693018033</v>
      </c>
      <c r="CZ187" s="59">
        <f t="shared" si="150"/>
        <v>182.65916563909786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11.130314952392133</v>
      </c>
      <c r="DG187" s="21">
        <f>EXP(-LN(2)/25)*DG186+(1-EXP(-LN(2)/25))/(LN(2)/25)*Calculateur!DB187*Calculateur!DD187*VLOOKUP('Données projet'!$B$13,Paramètres!$A$1:$I$89,3,0)*0.475*44/12</f>
        <v>1.1610676758503247</v>
      </c>
      <c r="DH187" s="21">
        <f>EXP(-LN(2)/2)*DH186+(1-EXP(-LN(2)/2))/(LN(2)/2)*DB187*DE187*VLOOKUP('Données projet'!$B$13,Paramètres!$A$1:$I$89,3,0)*0.475*44/12</f>
        <v>6.9308379543319394E-18</v>
      </c>
      <c r="DI187" s="22">
        <f t="shared" si="175"/>
        <v>12.291382628242458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-5.4001247917767614E-13</v>
      </c>
      <c r="DP187" s="17">
        <f>DO187*VLOOKUP('Données projet'!$B$14,Paramètres!$A$1:$I$89,3,0)*VLOOKUP('Données projet'!$B$14,Paramètres!$A$1:$I$89,5,0)</f>
        <v>-5.1387587518547664E-13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286.10360882057586</v>
      </c>
      <c r="DU187" s="59">
        <f t="shared" si="152"/>
        <v>109.24531387923128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207.89705112847412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207.89705112847412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591.0517762204953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262.42149466677068</v>
      </c>
      <c r="T188" s="59">
        <f t="shared" si="142"/>
        <v>232.7693253699756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-1.0197709343628959E-13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249.37919739649828</v>
      </c>
      <c r="AO188" s="59">
        <f t="shared" si="144"/>
        <v>315.05045383693073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12.655277751510253</v>
      </c>
      <c r="AV188" s="21">
        <f>EXP(-LN(2)/25)*AV187+(1-EXP(-LN(2)/25))/(LN(2)/25)*Calculateur!AQ188*Calculateur!AS188*VLOOKUP('Données projet'!$B$10,Paramètres!$A$1:$I$89,3,0)*0.475*44/12</f>
        <v>1.2362695342291024</v>
      </c>
      <c r="AW188" s="21">
        <f>EXP(-LN(2)/2)*AW187+(1-EXP(-LN(2)/2))/(LN(2)/2)*AQ188*AT188*VLOOKUP('Données projet'!$B$10,Paramètres!$A$1:$I$89,3,0)*0.475*44/12</f>
        <v>1.5488705639669058E-18</v>
      </c>
      <c r="AX188" s="21">
        <f t="shared" si="166"/>
        <v>13.891547285739355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212.00000000000009</v>
      </c>
      <c r="BE188" s="13">
        <f>BD188*VLOOKUP('Données projet'!$B$11,Paramètres!$A$1:$I$89,3,0)*VLOOKUP('Données projet'!$B$11,Paramètres!$A$1:$I$89,5,0)</f>
        <v>185.20320000000009</v>
      </c>
      <c r="BF188" s="13">
        <f t="shared" si="167"/>
        <v>46.477875402099386</v>
      </c>
      <c r="BG188" s="20">
        <f t="shared" si="168"/>
        <v>403.5112063253232</v>
      </c>
      <c r="BH188" s="59">
        <f t="shared" si="116"/>
        <v>696.84453965865646</v>
      </c>
      <c r="BI188" s="59">
        <f ca="1">AVERAGE(OFFSET($BH$3,0,0,'Données projet'!$E$11+1,1))-AVERAGE(OFFSET($H$3,0,0,'Données projet'!$E$11+1,1))</f>
        <v>186.80594222554424</v>
      </c>
      <c r="BJ188" s="59">
        <f t="shared" si="146"/>
        <v>179.02867751001872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2.7740817624778438</v>
      </c>
      <c r="BQ188" s="21">
        <f>EXP(-LN(2)/25)*BQ187+(1-EXP(-LN(2)/25))/(LN(2)/25)*Calculateur!BL188*Calculateur!BN188*VLOOKUP('Données projet'!$B$11,Paramètres!$A$1:$I$89,3,0)*0.475*44/12</f>
        <v>1.3250322372251111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4.0991139997029551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-5.4001247917767614E-13</v>
      </c>
      <c r="BZ188" s="13">
        <f>BY188*VLOOKUP('Données projet'!$B$12,Paramètres!$A$1:$I$89,3,0)*VLOOKUP('Données projet'!$B$12,Paramètres!$A$1:$I$89,5,0)</f>
        <v>-4.8860329115996133E-13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265.17389489035344</v>
      </c>
      <c r="CE188" s="59">
        <f t="shared" si="148"/>
        <v>101.57852403610769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193.79636675590902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193.79636675590902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-1.7053025658242404E-13</v>
      </c>
      <c r="CU188" s="17">
        <f>CT188*VLOOKUP('Données projet'!$B$13,Paramètres!$A$1:$I$89,3,0)*VLOOKUP('Données projet'!$B$13,Paramètres!$A$1:$I$89,5,0)</f>
        <v>-1.0197709343628959E-13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182.34243693018033</v>
      </c>
      <c r="CZ188" s="59">
        <f t="shared" si="150"/>
        <v>182.65916563909786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10.912056264997505</v>
      </c>
      <c r="DG188" s="21">
        <f>EXP(-LN(2)/25)*DG187+(1-EXP(-LN(2)/25))/(LN(2)/25)*Calculateur!DB188*Calculateur!DD188*VLOOKUP('Données projet'!$B$13,Paramètres!$A$1:$I$89,3,0)*0.475*44/12</f>
        <v>1.129318219196302</v>
      </c>
      <c r="DH188" s="21">
        <f>EXP(-LN(2)/2)*DH187+(1-EXP(-LN(2)/2))/(LN(2)/2)*DB188*DE188*VLOOKUP('Données projet'!$B$13,Paramètres!$A$1:$I$89,3,0)*0.475*44/12</f>
        <v>4.9008425168132138E-18</v>
      </c>
      <c r="DI188" s="22">
        <f t="shared" si="175"/>
        <v>12.041374484193806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-5.4001247917767614E-13</v>
      </c>
      <c r="DP188" s="17">
        <f>DO188*VLOOKUP('Données projet'!$B$14,Paramètres!$A$1:$I$89,3,0)*VLOOKUP('Données projet'!$B$14,Paramètres!$A$1:$I$89,5,0)</f>
        <v>-5.1387587518547664E-13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286.10360882057586</v>
      </c>
      <c r="DU188" s="59">
        <f t="shared" si="152"/>
        <v>109.24531387923128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203.820316760525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203.820316760525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592.62229332551556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262.42149466677068</v>
      </c>
      <c r="T189" s="59">
        <f t="shared" si="142"/>
        <v>232.7693253699756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-1.0197709343628959E-13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249.37919739649828</v>
      </c>
      <c r="AO189" s="59">
        <f t="shared" si="144"/>
        <v>315.05045383693073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12.407115473760381</v>
      </c>
      <c r="AV189" s="21">
        <f>EXP(-LN(2)/25)*AV188+(1-EXP(-LN(2)/25))/(LN(2)/25)*Calculateur!AQ189*Calculateur!AS189*VLOOKUP('Données projet'!$B$10,Paramètres!$A$1:$I$89,3,0)*0.475*44/12</f>
        <v>1.2024636788030183</v>
      </c>
      <c r="AW189" s="21">
        <f>EXP(-LN(2)/2)*AW188+(1-EXP(-LN(2)/2))/(LN(2)/2)*AQ189*AT189*VLOOKUP('Données projet'!$B$10,Paramètres!$A$1:$I$89,3,0)*0.475*44/12</f>
        <v>1.0952168789612313E-18</v>
      </c>
      <c r="AX189" s="21">
        <f t="shared" si="166"/>
        <v>13.6095791525634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212.00000000000009</v>
      </c>
      <c r="BE189" s="13">
        <f>BD189*VLOOKUP('Données projet'!$B$11,Paramètres!$A$1:$I$89,3,0)*VLOOKUP('Données projet'!$B$11,Paramètres!$A$1:$I$89,5,0)</f>
        <v>185.20320000000009</v>
      </c>
      <c r="BF189" s="13">
        <f t="shared" si="167"/>
        <v>46.477875402099386</v>
      </c>
      <c r="BG189" s="20">
        <f t="shared" si="168"/>
        <v>403.5112063253232</v>
      </c>
      <c r="BH189" s="59">
        <f t="shared" si="116"/>
        <v>696.84453965865646</v>
      </c>
      <c r="BI189" s="59">
        <f ca="1">AVERAGE(OFFSET($BH$3,0,0,'Données projet'!$E$11+1,1))-AVERAGE(OFFSET($H$3,0,0,'Données projet'!$E$11+1,1))</f>
        <v>186.80594222554424</v>
      </c>
      <c r="BJ189" s="59">
        <f t="shared" si="146"/>
        <v>179.02867751001872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2.7196837111384551</v>
      </c>
      <c r="BQ189" s="21">
        <f>EXP(-LN(2)/25)*BQ188+(1-EXP(-LN(2)/25))/(LN(2)/25)*Calculateur!BL189*Calculateur!BN189*VLOOKUP('Données projet'!$B$11,Paramètres!$A$1:$I$89,3,0)*0.475*44/12</f>
        <v>1.2887991610177736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4.0084828721562289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-5.4001247917767614E-13</v>
      </c>
      <c r="BZ189" s="13">
        <f>BY189*VLOOKUP('Données projet'!$B$12,Paramètres!$A$1:$I$89,3,0)*VLOOKUP('Données projet'!$B$12,Paramètres!$A$1:$I$89,5,0)</f>
        <v>-4.8860329115996133E-13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265.17389489035344</v>
      </c>
      <c r="CE189" s="59">
        <f t="shared" si="148"/>
        <v>101.57852403610769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189.99613820793769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189.99613820793769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-1.7053025658242404E-13</v>
      </c>
      <c r="CU189" s="17">
        <f>CT189*VLOOKUP('Données projet'!$B$13,Paramètres!$A$1:$I$89,3,0)*VLOOKUP('Données projet'!$B$13,Paramètres!$A$1:$I$89,5,0)</f>
        <v>-1.0197709343628959E-13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182.34243693018033</v>
      </c>
      <c r="CZ189" s="59">
        <f t="shared" si="150"/>
        <v>182.65916563909786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10.69807749733803</v>
      </c>
      <c r="DG189" s="21">
        <f>EXP(-LN(2)/25)*DG188+(1-EXP(-LN(2)/25))/(LN(2)/25)*Calculateur!DB189*Calculateur!DD189*VLOOKUP('Données projet'!$B$13,Paramètres!$A$1:$I$89,3,0)*0.475*44/12</f>
        <v>1.0984369531041152</v>
      </c>
      <c r="DH189" s="21">
        <f>EXP(-LN(2)/2)*DH188+(1-EXP(-LN(2)/2))/(LN(2)/2)*DB189*DE189*VLOOKUP('Données projet'!$B$13,Paramètres!$A$1:$I$89,3,0)*0.475*44/12</f>
        <v>3.4654189771659701E-18</v>
      </c>
      <c r="DI189" s="22">
        <f t="shared" si="175"/>
        <v>11.796514450442146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-5.4001247917767614E-13</v>
      </c>
      <c r="DP189" s="17">
        <f>DO189*VLOOKUP('Données projet'!$B$14,Paramètres!$A$1:$I$89,3,0)*VLOOKUP('Données projet'!$B$14,Paramètres!$A$1:$I$89,5,0)</f>
        <v>-5.1387587518547664E-13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286.10360882057586</v>
      </c>
      <c r="DU189" s="59">
        <f t="shared" si="152"/>
        <v>109.24531387923128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199.82352466696895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199.82352466696895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594.1926267959094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262.42149466677068</v>
      </c>
      <c r="T190" s="59">
        <f t="shared" si="142"/>
        <v>232.7693253699756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-1.0197709343628959E-13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249.37919739649828</v>
      </c>
      <c r="AO190" s="59">
        <f t="shared" si="144"/>
        <v>315.05045383693073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12.163819506913141</v>
      </c>
      <c r="AV190" s="21">
        <f>EXP(-LN(2)/25)*AV189+(1-EXP(-LN(2)/25))/(LN(2)/25)*Calculateur!AQ190*Calculateur!AS190*VLOOKUP('Données projet'!$B$10,Paramètres!$A$1:$I$89,3,0)*0.475*44/12</f>
        <v>1.1695822462713332</v>
      </c>
      <c r="AW190" s="21">
        <f>EXP(-LN(2)/2)*AW189+(1-EXP(-LN(2)/2))/(LN(2)/2)*AQ190*AT190*VLOOKUP('Données projet'!$B$10,Paramètres!$A$1:$I$89,3,0)*0.475*44/12</f>
        <v>7.7443528198345292E-19</v>
      </c>
      <c r="AX190" s="21">
        <f t="shared" si="166"/>
        <v>13.333401753184475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212.00000000000009</v>
      </c>
      <c r="BE190" s="13">
        <f>BD190*VLOOKUP('Données projet'!$B$11,Paramètres!$A$1:$I$89,3,0)*VLOOKUP('Données projet'!$B$11,Paramètres!$A$1:$I$89,5,0)</f>
        <v>185.20320000000009</v>
      </c>
      <c r="BF190" s="13">
        <f t="shared" si="167"/>
        <v>46.477875402099386</v>
      </c>
      <c r="BG190" s="20">
        <f t="shared" si="168"/>
        <v>403.5112063253232</v>
      </c>
      <c r="BH190" s="59">
        <f t="shared" si="116"/>
        <v>696.84453965865646</v>
      </c>
      <c r="BI190" s="59">
        <f ca="1">AVERAGE(OFFSET($BH$3,0,0,'Données projet'!$E$11+1,1))-AVERAGE(OFFSET($H$3,0,0,'Données projet'!$E$11+1,1))</f>
        <v>186.80594222554424</v>
      </c>
      <c r="BJ190" s="59">
        <f t="shared" si="146"/>
        <v>179.02867751001872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2.6663523724062967</v>
      </c>
      <c r="BQ190" s="21">
        <f>EXP(-LN(2)/25)*BQ189+(1-EXP(-LN(2)/25))/(LN(2)/25)*Calculateur!BL190*Calculateur!BN190*VLOOKUP('Données projet'!$B$11,Paramètres!$A$1:$I$89,3,0)*0.475*44/12</f>
        <v>1.2535568801847403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3.9199092525910371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-5.4001247917767614E-13</v>
      </c>
      <c r="BZ190" s="13">
        <f>BY190*VLOOKUP('Données projet'!$B$12,Paramètres!$A$1:$I$89,3,0)*VLOOKUP('Données projet'!$B$12,Paramètres!$A$1:$I$89,5,0)</f>
        <v>-4.8860329115996133E-13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265.17389489035344</v>
      </c>
      <c r="CE190" s="59">
        <f t="shared" si="148"/>
        <v>101.57852403610769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186.27042982388153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186.27042982388153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-1.7053025658242404E-13</v>
      </c>
      <c r="CU190" s="17">
        <f>CT190*VLOOKUP('Données projet'!$B$13,Paramètres!$A$1:$I$89,3,0)*VLOOKUP('Données projet'!$B$13,Paramètres!$A$1:$I$89,5,0)</f>
        <v>-1.0197709343628959E-13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182.34243693018033</v>
      </c>
      <c r="CZ190" s="59">
        <f t="shared" si="150"/>
        <v>182.65916563909786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10.488294722798196</v>
      </c>
      <c r="DG190" s="21">
        <f>EXP(-LN(2)/25)*DG189+(1-EXP(-LN(2)/25))/(LN(2)/25)*Calculateur!DB190*Calculateur!DD190*VLOOKUP('Données projet'!$B$13,Paramètres!$A$1:$I$89,3,0)*0.475*44/12</f>
        <v>1.0684001368571943</v>
      </c>
      <c r="DH190" s="21">
        <f>EXP(-LN(2)/2)*DH189+(1-EXP(-LN(2)/2))/(LN(2)/2)*DB190*DE190*VLOOKUP('Données projet'!$B$13,Paramètres!$A$1:$I$89,3,0)*0.475*44/12</f>
        <v>2.4504212584066073E-18</v>
      </c>
      <c r="DI190" s="22">
        <f t="shared" si="175"/>
        <v>11.556694859655391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-5.4001247917767614E-13</v>
      </c>
      <c r="DP190" s="17">
        <f>DO190*VLOOKUP('Données projet'!$B$14,Paramètres!$A$1:$I$89,3,0)*VLOOKUP('Données projet'!$B$14,Paramètres!$A$1:$I$89,5,0)</f>
        <v>-5.1387587518547664E-13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286.10360882057586</v>
      </c>
      <c r="DU190" s="59">
        <f t="shared" si="152"/>
        <v>109.24531387923128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195.90510722856504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195.90510722856504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595.76277772765491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262.42149466677068</v>
      </c>
      <c r="T191" s="59">
        <f t="shared" si="142"/>
        <v>232.7693253699756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-1.0197709343628959E-13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249.37919739649828</v>
      </c>
      <c r="AO191" s="59">
        <f t="shared" si="144"/>
        <v>315.05045383693073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11.925294425579889</v>
      </c>
      <c r="AV191" s="21">
        <f>EXP(-LN(2)/25)*AV190+(1-EXP(-LN(2)/25))/(LN(2)/25)*Calculateur!AQ191*Calculateur!AS191*VLOOKUP('Données projet'!$B$10,Paramètres!$A$1:$I$89,3,0)*0.475*44/12</f>
        <v>1.1375999582413865</v>
      </c>
      <c r="AW191" s="21">
        <f>EXP(-LN(2)/2)*AW190+(1-EXP(-LN(2)/2))/(LN(2)/2)*AQ191*AT191*VLOOKUP('Données projet'!$B$10,Paramètres!$A$1:$I$89,3,0)*0.475*44/12</f>
        <v>5.4760843948061567E-19</v>
      </c>
      <c r="AX191" s="21">
        <f t="shared" si="166"/>
        <v>13.062894383821275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212.00000000000009</v>
      </c>
      <c r="BE191" s="13">
        <f>BD191*VLOOKUP('Données projet'!$B$11,Paramètres!$A$1:$I$89,3,0)*VLOOKUP('Données projet'!$B$11,Paramètres!$A$1:$I$89,5,0)</f>
        <v>185.20320000000009</v>
      </c>
      <c r="BF191" s="13">
        <f t="shared" si="167"/>
        <v>46.477875402099386</v>
      </c>
      <c r="BG191" s="20">
        <f t="shared" si="168"/>
        <v>403.5112063253232</v>
      </c>
      <c r="BH191" s="59">
        <f t="shared" si="116"/>
        <v>696.84453965865646</v>
      </c>
      <c r="BI191" s="59">
        <f ca="1">AVERAGE(OFFSET($BH$3,0,0,'Données projet'!$E$11+1,1))-AVERAGE(OFFSET($H$3,0,0,'Données projet'!$E$11+1,1))</f>
        <v>186.80594222554424</v>
      </c>
      <c r="BJ191" s="59">
        <f t="shared" si="146"/>
        <v>179.02867751001872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2.6140668286977711</v>
      </c>
      <c r="BQ191" s="21">
        <f>EXP(-LN(2)/25)*BQ190+(1-EXP(-LN(2)/25))/(LN(2)/25)*Calculateur!BL191*Calculateur!BN191*VLOOKUP('Données projet'!$B$11,Paramètres!$A$1:$I$89,3,0)*0.475*44/12</f>
        <v>1.2192783013743973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3.8333451300721686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-5.4001247917767614E-13</v>
      </c>
      <c r="BZ191" s="13">
        <f>BY191*VLOOKUP('Données projet'!$B$12,Paramètres!$A$1:$I$89,3,0)*VLOOKUP('Données projet'!$B$12,Paramètres!$A$1:$I$89,5,0)</f>
        <v>-4.8860329115996133E-13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265.17389489035344</v>
      </c>
      <c r="CE191" s="59">
        <f t="shared" si="148"/>
        <v>101.57852403610769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182.61778030877898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182.61778030877898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-1.7053025658242404E-13</v>
      </c>
      <c r="CU191" s="17">
        <f>CT191*VLOOKUP('Données projet'!$B$13,Paramètres!$A$1:$I$89,3,0)*VLOOKUP('Données projet'!$B$13,Paramètres!$A$1:$I$89,5,0)</f>
        <v>-1.0197709343628959E-13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182.34243693018033</v>
      </c>
      <c r="CZ191" s="59">
        <f t="shared" si="150"/>
        <v>182.65916563909786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10.282625660512231</v>
      </c>
      <c r="DG191" s="21">
        <f>EXP(-LN(2)/25)*DG190+(1-EXP(-LN(2)/25))/(LN(2)/25)*Calculateur!DB191*Calculateur!DD191*VLOOKUP('Données projet'!$B$13,Paramètres!$A$1:$I$89,3,0)*0.475*44/12</f>
        <v>1.0391846789301129</v>
      </c>
      <c r="DH191" s="21">
        <f>EXP(-LN(2)/2)*DH190+(1-EXP(-LN(2)/2))/(LN(2)/2)*DB191*DE191*VLOOKUP('Données projet'!$B$13,Paramètres!$A$1:$I$89,3,0)*0.475*44/12</f>
        <v>1.7327094885829854E-18</v>
      </c>
      <c r="DI191" s="22">
        <f t="shared" si="175"/>
        <v>11.321810339442344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-5.4001247917767614E-13</v>
      </c>
      <c r="DP191" s="17">
        <f>DO191*VLOOKUP('Données projet'!$B$14,Paramètres!$A$1:$I$89,3,0)*VLOOKUP('Données projet'!$B$14,Paramètres!$A$1:$I$89,5,0)</f>
        <v>-5.1387587518547664E-13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286.10360882057586</v>
      </c>
      <c r="DU191" s="59">
        <f t="shared" si="152"/>
        <v>109.24531387923128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192.06352756612961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192.06352756612961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597.33274720439533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262.42149466677068</v>
      </c>
      <c r="T192" s="59">
        <f t="shared" si="142"/>
        <v>232.7693253699756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-1.0197709343628959E-13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249.37919739649828</v>
      </c>
      <c r="AO192" s="59">
        <f t="shared" si="144"/>
        <v>315.05045383693073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11.691446675605647</v>
      </c>
      <c r="AV192" s="21">
        <f>EXP(-LN(2)/25)*AV191+(1-EXP(-LN(2)/25))/(LN(2)/25)*Calculateur!AQ192*Calculateur!AS192*VLOOKUP('Données projet'!$B$10,Paramètres!$A$1:$I$89,3,0)*0.475*44/12</f>
        <v>1.1064922275594939</v>
      </c>
      <c r="AW192" s="21">
        <f>EXP(-LN(2)/2)*AW191+(1-EXP(-LN(2)/2))/(LN(2)/2)*AQ192*AT192*VLOOKUP('Données projet'!$B$10,Paramètres!$A$1:$I$89,3,0)*0.475*44/12</f>
        <v>3.8721764099172646E-19</v>
      </c>
      <c r="AX192" s="21">
        <f t="shared" si="166"/>
        <v>12.797938903165141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212.00000000000009</v>
      </c>
      <c r="BE192" s="13">
        <f>BD192*VLOOKUP('Données projet'!$B$11,Paramètres!$A$1:$I$89,3,0)*VLOOKUP('Données projet'!$B$11,Paramètres!$A$1:$I$89,5,0)</f>
        <v>185.20320000000009</v>
      </c>
      <c r="BF192" s="13">
        <f t="shared" si="167"/>
        <v>46.477875402099386</v>
      </c>
      <c r="BG192" s="20">
        <f t="shared" si="168"/>
        <v>403.5112063253232</v>
      </c>
      <c r="BH192" s="59">
        <f t="shared" si="116"/>
        <v>696.84453965865646</v>
      </c>
      <c r="BI192" s="59">
        <f ca="1">AVERAGE(OFFSET($BH$3,0,0,'Données projet'!$E$11+1,1))-AVERAGE(OFFSET($H$3,0,0,'Données projet'!$E$11+1,1))</f>
        <v>186.80594222554424</v>
      </c>
      <c r="BJ192" s="59">
        <f t="shared" si="146"/>
        <v>179.02867751001872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2.5628065726103371</v>
      </c>
      <c r="BQ192" s="21">
        <f>EXP(-LN(2)/25)*BQ191+(1-EXP(-LN(2)/25))/(LN(2)/25)*Calculateur!BL192*Calculateur!BN192*VLOOKUP('Données projet'!$B$11,Paramètres!$A$1:$I$89,3,0)*0.475*44/12</f>
        <v>1.1859370721042553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3.7487436447145921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-5.4001247917767614E-13</v>
      </c>
      <c r="BZ192" s="13">
        <f>BY192*VLOOKUP('Données projet'!$B$12,Paramètres!$A$1:$I$89,3,0)*VLOOKUP('Données projet'!$B$12,Paramètres!$A$1:$I$89,5,0)</f>
        <v>-4.8860329115996133E-13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265.17389489035344</v>
      </c>
      <c r="CE192" s="59">
        <f t="shared" si="148"/>
        <v>101.57852403610769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179.03675702277138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179.03675702277138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-1.7053025658242404E-13</v>
      </c>
      <c r="CU192" s="17">
        <f>CT192*VLOOKUP('Données projet'!$B$13,Paramètres!$A$1:$I$89,3,0)*VLOOKUP('Données projet'!$B$13,Paramètres!$A$1:$I$89,5,0)</f>
        <v>-1.0197709343628959E-13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182.34243693018033</v>
      </c>
      <c r="CZ192" s="59">
        <f t="shared" si="150"/>
        <v>182.65916563909786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10.080989643091952</v>
      </c>
      <c r="DG192" s="21">
        <f>EXP(-LN(2)/25)*DG191+(1-EXP(-LN(2)/25))/(LN(2)/25)*Calculateur!DB192*Calculateur!DD192*VLOOKUP('Données projet'!$B$13,Paramètres!$A$1:$I$89,3,0)*0.475*44/12</f>
        <v>1.0107681192364217</v>
      </c>
      <c r="DH192" s="21">
        <f>EXP(-LN(2)/2)*DH191+(1-EXP(-LN(2)/2))/(LN(2)/2)*DB192*DE192*VLOOKUP('Données projet'!$B$13,Paramètres!$A$1:$I$89,3,0)*0.475*44/12</f>
        <v>1.2252106292033038E-18</v>
      </c>
      <c r="DI192" s="22">
        <f t="shared" si="175"/>
        <v>11.091757762328374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-5.4001247917767614E-13</v>
      </c>
      <c r="DP192" s="17">
        <f>DO192*VLOOKUP('Données projet'!$B$14,Paramètres!$A$1:$I$89,3,0)*VLOOKUP('Données projet'!$B$14,Paramètres!$A$1:$I$89,5,0)</f>
        <v>-5.1387587518547664E-13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286.10360882057586</v>
      </c>
      <c r="DU192" s="59">
        <f t="shared" si="152"/>
        <v>109.24531387923128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188.29727893774231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188.29727893774231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598.90253629764379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262.42149466677068</v>
      </c>
      <c r="T193" s="59">
        <f t="shared" si="142"/>
        <v>232.7693253699756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-1.0197709343628959E-13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249.37919739649828</v>
      </c>
      <c r="AO193" s="59">
        <f t="shared" si="144"/>
        <v>315.05045383693073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11.462184537375357</v>
      </c>
      <c r="AV193" s="21">
        <f>EXP(-LN(2)/25)*AV192+(1-EXP(-LN(2)/25))/(LN(2)/25)*Calculateur!AQ193*Calculateur!AS193*VLOOKUP('Données projet'!$B$10,Paramètres!$A$1:$I$89,3,0)*0.475*44/12</f>
        <v>1.0762351394089822</v>
      </c>
      <c r="AW193" s="21">
        <f>EXP(-LN(2)/2)*AW192+(1-EXP(-LN(2)/2))/(LN(2)/2)*AQ193*AT193*VLOOKUP('Données projet'!$B$10,Paramètres!$A$1:$I$89,3,0)*0.475*44/12</f>
        <v>2.7380421974030783E-19</v>
      </c>
      <c r="AX193" s="21">
        <f t="shared" si="166"/>
        <v>12.53841967678434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212.00000000000009</v>
      </c>
      <c r="BE193" s="13">
        <f>BD193*VLOOKUP('Données projet'!$B$11,Paramètres!$A$1:$I$89,3,0)*VLOOKUP('Données projet'!$B$11,Paramètres!$A$1:$I$89,5,0)</f>
        <v>185.20320000000009</v>
      </c>
      <c r="BF193" s="13">
        <f t="shared" si="167"/>
        <v>46.477875402099386</v>
      </c>
      <c r="BG193" s="20">
        <f t="shared" si="168"/>
        <v>403.5112063253232</v>
      </c>
      <c r="BH193" s="59">
        <f t="shared" si="116"/>
        <v>696.84453965865646</v>
      </c>
      <c r="BI193" s="59">
        <f ca="1">AVERAGE(OFFSET($BH$3,0,0,'Données projet'!$E$11+1,1))-AVERAGE(OFFSET($H$3,0,0,'Données projet'!$E$11+1,1))</f>
        <v>186.80594222554424</v>
      </c>
      <c r="BJ193" s="59">
        <f t="shared" si="146"/>
        <v>179.02867751001872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2.5125514988791084</v>
      </c>
      <c r="BQ193" s="21">
        <f>EXP(-LN(2)/25)*BQ192+(1-EXP(-LN(2)/25))/(LN(2)/25)*Calculateur!BL193*Calculateur!BN193*VLOOKUP('Données projet'!$B$11,Paramètres!$A$1:$I$89,3,0)*0.475*44/12</f>
        <v>1.1535075605018443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3.6660590593809528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-5.4001247917767614E-13</v>
      </c>
      <c r="BZ193" s="13">
        <f>BY193*VLOOKUP('Données projet'!$B$12,Paramètres!$A$1:$I$89,3,0)*VLOOKUP('Données projet'!$B$12,Paramètres!$A$1:$I$89,5,0)</f>
        <v>-4.8860329115996133E-13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265.17389489035344</v>
      </c>
      <c r="CE193" s="59">
        <f t="shared" si="148"/>
        <v>101.57852403610769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175.52595541919385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175.52595541919385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-1.7053025658242404E-13</v>
      </c>
      <c r="CU193" s="17">
        <f>CT193*VLOOKUP('Données projet'!$B$13,Paramètres!$A$1:$I$89,3,0)*VLOOKUP('Données projet'!$B$13,Paramètres!$A$1:$I$89,5,0)</f>
        <v>-1.0197709343628959E-13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182.34243693018033</v>
      </c>
      <c r="CZ193" s="59">
        <f t="shared" si="150"/>
        <v>182.65916563909786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9.8833075849874579</v>
      </c>
      <c r="DG193" s="21">
        <f>EXP(-LN(2)/25)*DG192+(1-EXP(-LN(2)/25))/(LN(2)/25)*Calculateur!DB193*Calculateur!DD193*VLOOKUP('Données projet'!$B$13,Paramètres!$A$1:$I$89,3,0)*0.475*44/12</f>
        <v>0.98312861186191658</v>
      </c>
      <c r="DH193" s="21">
        <f>EXP(-LN(2)/2)*DH192+(1-EXP(-LN(2)/2))/(LN(2)/2)*DB193*DE193*VLOOKUP('Données projet'!$B$13,Paramètres!$A$1:$I$89,3,0)*0.475*44/12</f>
        <v>8.6635474429149281E-19</v>
      </c>
      <c r="DI193" s="22">
        <f t="shared" si="175"/>
        <v>10.866436196849374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-5.4001247917767614E-13</v>
      </c>
      <c r="DP193" s="17">
        <f>DO193*VLOOKUP('Données projet'!$B$14,Paramètres!$A$1:$I$89,3,0)*VLOOKUP('Données projet'!$B$14,Paramètres!$A$1:$I$89,5,0)</f>
        <v>-5.1387587518547664E-13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286.10360882057586</v>
      </c>
      <c r="DU193" s="59">
        <f t="shared" si="152"/>
        <v>109.24531387923128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184.60488414777282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184.60488414777282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600.4721460669806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262.42149466677068</v>
      </c>
      <c r="T194" s="59">
        <f t="shared" si="142"/>
        <v>232.7693253699756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-1.0197709343628959E-13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249.37919739649828</v>
      </c>
      <c r="AO194" s="59">
        <f t="shared" si="144"/>
        <v>315.05045383693073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11.237418089839666</v>
      </c>
      <c r="AV194" s="21">
        <f>EXP(-LN(2)/25)*AV193+(1-EXP(-LN(2)/25))/(LN(2)/25)*Calculateur!AQ194*Calculateur!AS194*VLOOKUP('Données projet'!$B$10,Paramètres!$A$1:$I$89,3,0)*0.475*44/12</f>
        <v>1.0468054329250973</v>
      </c>
      <c r="AW194" s="21">
        <f>EXP(-LN(2)/2)*AW193+(1-EXP(-LN(2)/2))/(LN(2)/2)*AQ194*AT194*VLOOKUP('Données projet'!$B$10,Paramètres!$A$1:$I$89,3,0)*0.475*44/12</f>
        <v>1.9360882049586323E-19</v>
      </c>
      <c r="AX194" s="21">
        <f t="shared" si="166"/>
        <v>12.284223522764764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212.00000000000009</v>
      </c>
      <c r="BE194" s="13">
        <f>BD194*VLOOKUP('Données projet'!$B$11,Paramètres!$A$1:$I$89,3,0)*VLOOKUP('Données projet'!$B$11,Paramètres!$A$1:$I$89,5,0)</f>
        <v>185.20320000000009</v>
      </c>
      <c r="BF194" s="13">
        <f t="shared" si="167"/>
        <v>46.477875402099386</v>
      </c>
      <c r="BG194" s="20">
        <f t="shared" si="168"/>
        <v>403.5112063253232</v>
      </c>
      <c r="BH194" s="59">
        <f t="shared" si="116"/>
        <v>696.84453965865646</v>
      </c>
      <c r="BI194" s="59">
        <f ca="1">AVERAGE(OFFSET($BH$3,0,0,'Données projet'!$E$11+1,1))-AVERAGE(OFFSET($H$3,0,0,'Données projet'!$E$11+1,1))</f>
        <v>186.80594222554424</v>
      </c>
      <c r="BJ194" s="59">
        <f t="shared" si="146"/>
        <v>179.02867751001872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2.4632818964911811</v>
      </c>
      <c r="BQ194" s="21">
        <f>EXP(-LN(2)/25)*BQ193+(1-EXP(-LN(2)/25))/(LN(2)/25)*Calculateur!BL194*Calculateur!BN194*VLOOKUP('Données projet'!$B$11,Paramètres!$A$1:$I$89,3,0)*0.475*44/12</f>
        <v>1.1219648355995953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3.5852467320907762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-5.4001247917767614E-13</v>
      </c>
      <c r="BZ194" s="13">
        <f>BY194*VLOOKUP('Données projet'!$B$12,Paramètres!$A$1:$I$89,3,0)*VLOOKUP('Données projet'!$B$12,Paramètres!$A$1:$I$89,5,0)</f>
        <v>-4.8860329115996133E-13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265.17389489035344</v>
      </c>
      <c r="CE194" s="59">
        <f t="shared" si="148"/>
        <v>101.57852403610769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172.08399849368493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172.08399849368493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-1.7053025658242404E-13</v>
      </c>
      <c r="CU194" s="17">
        <f>CT194*VLOOKUP('Données projet'!$B$13,Paramètres!$A$1:$I$89,3,0)*VLOOKUP('Données projet'!$B$13,Paramètres!$A$1:$I$89,5,0)</f>
        <v>-1.0197709343628959E-13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182.34243693018033</v>
      </c>
      <c r="CZ194" s="59">
        <f t="shared" si="150"/>
        <v>182.65916563909786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9.6895019514682428</v>
      </c>
      <c r="DG194" s="21">
        <f>EXP(-LN(2)/25)*DG193+(1-EXP(-LN(2)/25))/(LN(2)/25)*Calculateur!DB194*Calculateur!DD194*VLOOKUP('Données projet'!$B$13,Paramètres!$A$1:$I$89,3,0)*0.475*44/12</f>
        <v>0.9562449082700657</v>
      </c>
      <c r="DH194" s="21">
        <f>EXP(-LN(2)/2)*DH193+(1-EXP(-LN(2)/2))/(LN(2)/2)*DB194*DE194*VLOOKUP('Données projet'!$B$13,Paramètres!$A$1:$I$89,3,0)*0.475*44/12</f>
        <v>6.1260531460165201E-19</v>
      </c>
      <c r="DI194" s="22">
        <f t="shared" si="175"/>
        <v>10.645746859738308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-5.4001247917767614E-13</v>
      </c>
      <c r="DP194" s="17">
        <f>DO194*VLOOKUP('Données projet'!$B$14,Paramètres!$A$1:$I$89,3,0)*VLOOKUP('Données projet'!$B$14,Paramètres!$A$1:$I$89,5,0)</f>
        <v>-5.1387587518547664E-13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286.10360882057586</v>
      </c>
      <c r="DU194" s="59">
        <f t="shared" si="152"/>
        <v>109.24531387923128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180.98489496749622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180.98489496749622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602.04157756024915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262.42149466677068</v>
      </c>
      <c r="T195" s="59">
        <f t="shared" si="142"/>
        <v>232.7693253699756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-1.0197709343628959E-13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249.37919739649828</v>
      </c>
      <c r="AO195" s="59">
        <f t="shared" si="144"/>
        <v>315.05045383693073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11.017059175246155</v>
      </c>
      <c r="AV195" s="21">
        <f>EXP(-LN(2)/25)*AV194+(1-EXP(-LN(2)/25))/(LN(2)/25)*Calculateur!AQ195*Calculateur!AS195*VLOOKUP('Données projet'!$B$10,Paramètres!$A$1:$I$89,3,0)*0.475*44/12</f>
        <v>1.0181804833126553</v>
      </c>
      <c r="AW195" s="21">
        <f>EXP(-LN(2)/2)*AW194+(1-EXP(-LN(2)/2))/(LN(2)/2)*AQ195*AT195*VLOOKUP('Données projet'!$B$10,Paramètres!$A$1:$I$89,3,0)*0.475*44/12</f>
        <v>1.3690210987015392E-19</v>
      </c>
      <c r="AX195" s="21">
        <f t="shared" si="166"/>
        <v>12.03523965855881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212.00000000000009</v>
      </c>
      <c r="BE195" s="13">
        <f>BD195*VLOOKUP('Données projet'!$B$11,Paramètres!$A$1:$I$89,3,0)*VLOOKUP('Données projet'!$B$11,Paramètres!$A$1:$I$89,5,0)</f>
        <v>185.20320000000009</v>
      </c>
      <c r="BF195" s="13">
        <f t="shared" si="167"/>
        <v>46.477875402099386</v>
      </c>
      <c r="BG195" s="20">
        <f t="shared" si="168"/>
        <v>403.5112063253232</v>
      </c>
      <c r="BH195" s="59">
        <f t="shared" si="116"/>
        <v>696.84453965865646</v>
      </c>
      <c r="BI195" s="59">
        <f ca="1">AVERAGE(OFFSET($BH$3,0,0,'Données projet'!$E$11+1,1))-AVERAGE(OFFSET($H$3,0,0,'Données projet'!$E$11+1,1))</f>
        <v>186.80594222554424</v>
      </c>
      <c r="BJ195" s="59">
        <f t="shared" si="146"/>
        <v>179.02867751001872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2.4149784409545911</v>
      </c>
      <c r="BQ195" s="21">
        <f>EXP(-LN(2)/25)*BQ194+(1-EXP(-LN(2)/25))/(LN(2)/25)*Calculateur!BL195*Calculateur!BN195*VLOOKUP('Données projet'!$B$11,Paramètres!$A$1:$I$89,3,0)*0.475*44/12</f>
        <v>1.0912846481685579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3.506263089123149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-5.4001247917767614E-13</v>
      </c>
      <c r="BZ195" s="13">
        <f>BY195*VLOOKUP('Données projet'!$B$12,Paramètres!$A$1:$I$89,3,0)*VLOOKUP('Données projet'!$B$12,Paramètres!$A$1:$I$89,5,0)</f>
        <v>-4.8860329115996133E-13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265.17389489035344</v>
      </c>
      <c r="CE195" s="59">
        <f t="shared" si="148"/>
        <v>101.57852403610769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168.70953624409881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168.70953624409881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-1.7053025658242404E-13</v>
      </c>
      <c r="CU195" s="17">
        <f>CT195*VLOOKUP('Données projet'!$B$13,Paramètres!$A$1:$I$89,3,0)*VLOOKUP('Données projet'!$B$13,Paramètres!$A$1:$I$89,5,0)</f>
        <v>-1.0197709343628959E-13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182.34243693018033</v>
      </c>
      <c r="CZ195" s="59">
        <f t="shared" si="150"/>
        <v>182.65916563909786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9.4994967282125753</v>
      </c>
      <c r="DG195" s="21">
        <f>EXP(-LN(2)/25)*DG194+(1-EXP(-LN(2)/25))/(LN(2)/25)*Calculateur!DB195*Calculateur!DD195*VLOOKUP('Données projet'!$B$13,Paramètres!$A$1:$I$89,3,0)*0.475*44/12</f>
        <v>0.93009634096668659</v>
      </c>
      <c r="DH195" s="21">
        <f>EXP(-LN(2)/2)*DH194+(1-EXP(-LN(2)/2))/(LN(2)/2)*DB195*DE195*VLOOKUP('Données projet'!$B$13,Paramètres!$A$1:$I$89,3,0)*0.475*44/12</f>
        <v>4.331773721457465E-19</v>
      </c>
      <c r="DI195" s="22">
        <f t="shared" si="175"/>
        <v>10.429593069179262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-5.4001247917767614E-13</v>
      </c>
      <c r="DP195" s="17">
        <f>DO195*VLOOKUP('Données projet'!$B$14,Paramètres!$A$1:$I$89,3,0)*VLOOKUP('Données projet'!$B$14,Paramètres!$A$1:$I$89,5,0)</f>
        <v>-5.1387587518547664E-13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286.10360882057586</v>
      </c>
      <c r="DU195" s="59">
        <f t="shared" si="152"/>
        <v>109.24531387923128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177.43589156706946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177.43589156706946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603.61083181374556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262.42149466677068</v>
      </c>
      <c r="T196" s="59">
        <f t="shared" si="142"/>
        <v>232.7693253699756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-1.0197709343628959E-13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249.37919739649828</v>
      </c>
      <c r="AO196" s="59">
        <f t="shared" si="144"/>
        <v>315.05045383693073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10.801021364562155</v>
      </c>
      <c r="AV196" s="21">
        <f>EXP(-LN(2)/25)*AV195+(1-EXP(-LN(2)/25))/(LN(2)/25)*Calculateur!AQ196*Calculateur!AS196*VLOOKUP('Données projet'!$B$10,Paramètres!$A$1:$I$89,3,0)*0.475*44/12</f>
        <v>0.99033828445268623</v>
      </c>
      <c r="AW196" s="21">
        <f>EXP(-LN(2)/2)*AW195+(1-EXP(-LN(2)/2))/(LN(2)/2)*AQ196*AT196*VLOOKUP('Données projet'!$B$10,Paramètres!$A$1:$I$89,3,0)*0.475*44/12</f>
        <v>9.6804410247931615E-20</v>
      </c>
      <c r="AX196" s="21">
        <f t="shared" si="166"/>
        <v>11.791359649014842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212.00000000000009</v>
      </c>
      <c r="BE196" s="13">
        <f>BD196*VLOOKUP('Données projet'!$B$11,Paramètres!$A$1:$I$89,3,0)*VLOOKUP('Données projet'!$B$11,Paramètres!$A$1:$I$89,5,0)</f>
        <v>185.20320000000009</v>
      </c>
      <c r="BF196" s="13">
        <f t="shared" si="167"/>
        <v>46.477875402099386</v>
      </c>
      <c r="BG196" s="20">
        <f t="shared" si="168"/>
        <v>403.5112063253232</v>
      </c>
      <c r="BH196" s="59">
        <f t="shared" ref="BH196:BH203" si="194">BG196+(AY196+AZ196)*44/12</f>
        <v>696.84453965865646</v>
      </c>
      <c r="BI196" s="59">
        <f ca="1">AVERAGE(OFFSET($BH$3,0,0,'Données projet'!$E$11+1,1))-AVERAGE(OFFSET($H$3,0,0,'Données projet'!$E$11+1,1))</f>
        <v>186.80594222554424</v>
      </c>
      <c r="BJ196" s="59">
        <f t="shared" si="146"/>
        <v>179.02867751001872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2.3676221867188749</v>
      </c>
      <c r="BQ196" s="21">
        <f>EXP(-LN(2)/25)*BQ195+(1-EXP(-LN(2)/25))/(LN(2)/25)*Calculateur!BL196*Calculateur!BN196*VLOOKUP('Données projet'!$B$11,Paramètres!$A$1:$I$89,3,0)*0.475*44/12</f>
        <v>1.0614434120762231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3.429065598795098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-5.4001247917767614E-13</v>
      </c>
      <c r="BZ196" s="13">
        <f>BY196*VLOOKUP('Données projet'!$B$12,Paramètres!$A$1:$I$89,3,0)*VLOOKUP('Données projet'!$B$12,Paramètres!$A$1:$I$89,5,0)</f>
        <v>-4.8860329115996133E-13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265.17389489035344</v>
      </c>
      <c r="CE196" s="59">
        <f t="shared" si="148"/>
        <v>101.57852403610769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165.40124514100836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165.40124514100836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-1.7053025658242404E-13</v>
      </c>
      <c r="CU196" s="17">
        <f>CT196*VLOOKUP('Données projet'!$B$13,Paramètres!$A$1:$I$89,3,0)*VLOOKUP('Données projet'!$B$13,Paramètres!$A$1:$I$89,5,0)</f>
        <v>-1.0197709343628959E-13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182.34243693018033</v>
      </c>
      <c r="CZ196" s="59">
        <f t="shared" si="150"/>
        <v>182.65916563909786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9.3132173914932093</v>
      </c>
      <c r="DG196" s="21">
        <f>EXP(-LN(2)/25)*DG195+(1-EXP(-LN(2)/25))/(LN(2)/25)*Calculateur!DB196*Calculateur!DD196*VLOOKUP('Données projet'!$B$13,Paramètres!$A$1:$I$89,3,0)*0.475*44/12</f>
        <v>0.90466280761131168</v>
      </c>
      <c r="DH196" s="21">
        <f>EXP(-LN(2)/2)*DH195+(1-EXP(-LN(2)/2))/(LN(2)/2)*DB196*DE196*VLOOKUP('Données projet'!$B$13,Paramètres!$A$1:$I$89,3,0)*0.475*44/12</f>
        <v>3.0630265730082605E-19</v>
      </c>
      <c r="DI196" s="22">
        <f t="shared" si="175"/>
        <v>10.21788019910452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-5.4001247917767614E-13</v>
      </c>
      <c r="DP196" s="17">
        <f>DO196*VLOOKUP('Données projet'!$B$14,Paramètres!$A$1:$I$89,3,0)*VLOOKUP('Données projet'!$B$14,Paramètres!$A$1:$I$89,5,0)</f>
        <v>-5.1387587518547664E-13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286.10360882057586</v>
      </c>
      <c r="DU196" s="59">
        <f t="shared" si="152"/>
        <v>109.24531387923128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173.95648195864672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173.95648195864672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605.17990985240579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262.42149466677068</v>
      </c>
      <c r="T197" s="59">
        <f t="shared" ref="T197:T203" si="204">$T$3</f>
        <v>232.7693253699756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-1.0197709343628959E-13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249.37919739649828</v>
      </c>
      <c r="AO197" s="59">
        <f t="shared" ref="AO197:AO203" si="205">$AO$3</f>
        <v>315.05045383693073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10.589219923575616</v>
      </c>
      <c r="AV197" s="21">
        <f>EXP(-LN(2)/25)*AV196+(1-EXP(-LN(2)/25))/(LN(2)/25)*Calculateur!AQ197*Calculateur!AS197*VLOOKUP('Données projet'!$B$10,Paramètres!$A$1:$I$89,3,0)*0.475*44/12</f>
        <v>0.9632574319847006</v>
      </c>
      <c r="AW197" s="21">
        <f>EXP(-LN(2)/2)*AW196+(1-EXP(-LN(2)/2))/(LN(2)/2)*AQ197*AT197*VLOOKUP('Données projet'!$B$10,Paramètres!$A$1:$I$89,3,0)*0.475*44/12</f>
        <v>6.8451054935076958E-20</v>
      </c>
      <c r="AX197" s="21">
        <f t="shared" si="166"/>
        <v>11.552477355560317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212.00000000000009</v>
      </c>
      <c r="BE197" s="13">
        <f>BD197*VLOOKUP('Données projet'!$B$11,Paramètres!$A$1:$I$89,3,0)*VLOOKUP('Données projet'!$B$11,Paramètres!$A$1:$I$89,5,0)</f>
        <v>185.20320000000009</v>
      </c>
      <c r="BF197" s="13">
        <f t="shared" si="167"/>
        <v>46.477875402099386</v>
      </c>
      <c r="BG197" s="20">
        <f t="shared" si="168"/>
        <v>403.5112063253232</v>
      </c>
      <c r="BH197" s="59">
        <f t="shared" si="194"/>
        <v>696.84453965865646</v>
      </c>
      <c r="BI197" s="59">
        <f ca="1">AVERAGE(OFFSET($BH$3,0,0,'Données projet'!$E$11+1,1))-AVERAGE(OFFSET($H$3,0,0,'Données projet'!$E$11+1,1))</f>
        <v>186.80594222554424</v>
      </c>
      <c r="BJ197" s="59">
        <f t="shared" ref="BJ197:BJ203" si="206">$BJ$3</f>
        <v>179.02867751001872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2.3211945597442578</v>
      </c>
      <c r="BQ197" s="21">
        <f>EXP(-LN(2)/25)*BQ196+(1-EXP(-LN(2)/25))/(LN(2)/25)*Calculateur!BL197*Calculateur!BN197*VLOOKUP('Données projet'!$B$11,Paramètres!$A$1:$I$89,3,0)*0.475*44/12</f>
        <v>1.0324181861541157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3.3536127458983733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-5.4001247917767614E-13</v>
      </c>
      <c r="BZ197" s="13">
        <f>BY197*VLOOKUP('Données projet'!$B$12,Paramètres!$A$1:$I$89,3,0)*VLOOKUP('Données projet'!$B$12,Paramètres!$A$1:$I$89,5,0)</f>
        <v>-4.8860329115996133E-13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265.17389489035344</v>
      </c>
      <c r="CE197" s="59">
        <f t="shared" ref="CE197:CE203" si="207">$CE$3</f>
        <v>101.57852403610769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162.15782760859116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162.15782760859116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-1.7053025658242404E-13</v>
      </c>
      <c r="CU197" s="17">
        <f>CT197*VLOOKUP('Données projet'!$B$13,Paramètres!$A$1:$I$89,3,0)*VLOOKUP('Données projet'!$B$13,Paramètres!$A$1:$I$89,5,0)</f>
        <v>-1.0197709343628959E-13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182.34243693018033</v>
      </c>
      <c r="CZ197" s="59">
        <f t="shared" ref="CZ197:CZ203" si="208">$CZ$3</f>
        <v>182.65916563909786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9.1305908789477339</v>
      </c>
      <c r="DG197" s="21">
        <f>EXP(-LN(2)/25)*DG196+(1-EXP(-LN(2)/25))/(LN(2)/25)*Calculateur!DB197*Calculateur!DD197*VLOOKUP('Données projet'!$B$13,Paramètres!$A$1:$I$89,3,0)*0.475*44/12</f>
        <v>0.87992475556303096</v>
      </c>
      <c r="DH197" s="21">
        <f>EXP(-LN(2)/2)*DH196+(1-EXP(-LN(2)/2))/(LN(2)/2)*DB197*DE197*VLOOKUP('Données projet'!$B$13,Paramètres!$A$1:$I$89,3,0)*0.475*44/12</f>
        <v>2.1658868607287327E-19</v>
      </c>
      <c r="DI197" s="22">
        <f t="shared" si="175"/>
        <v>10.010515634510766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-5.4001247917767614E-13</v>
      </c>
      <c r="DP197" s="17">
        <f>DO197*VLOOKUP('Données projet'!$B$14,Paramètres!$A$1:$I$89,3,0)*VLOOKUP('Données projet'!$B$14,Paramètres!$A$1:$I$89,5,0)</f>
        <v>-5.1387587518547664E-13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286.10360882057586</v>
      </c>
      <c r="DU197" s="59">
        <f t="shared" ref="DU197:DU203" si="209">$DU$3</f>
        <v>109.24531387923128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170.54530145041485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170.54530145041485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606.7488126899874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262.42149466677068</v>
      </c>
      <c r="T198" s="59">
        <f t="shared" si="204"/>
        <v>232.7693253699756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-1.0197709343628959E-13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249.37919739649828</v>
      </c>
      <c r="AO198" s="59">
        <f t="shared" si="205"/>
        <v>315.05045383693073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10.3815717796607</v>
      </c>
      <c r="AV198" s="21">
        <f>EXP(-LN(2)/25)*AV197+(1-EXP(-LN(2)/25))/(LN(2)/25)*Calculateur!AQ198*Calculateur!AS198*VLOOKUP('Données projet'!$B$10,Paramètres!$A$1:$I$89,3,0)*0.475*44/12</f>
        <v>0.93691710685157215</v>
      </c>
      <c r="AW198" s="21">
        <f>EXP(-LN(2)/2)*AW197+(1-EXP(-LN(2)/2))/(LN(2)/2)*AQ198*AT198*VLOOKUP('Données projet'!$B$10,Paramètres!$A$1:$I$89,3,0)*0.475*44/12</f>
        <v>4.8402205123965808E-20</v>
      </c>
      <c r="AX198" s="21">
        <f t="shared" si="166"/>
        <v>11.318488886512272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212.00000000000009</v>
      </c>
      <c r="BE198" s="13">
        <f>BD198*VLOOKUP('Données projet'!$B$11,Paramètres!$A$1:$I$89,3,0)*VLOOKUP('Données projet'!$B$11,Paramètres!$A$1:$I$89,5,0)</f>
        <v>185.20320000000009</v>
      </c>
      <c r="BF198" s="13">
        <f t="shared" si="167"/>
        <v>46.477875402099386</v>
      </c>
      <c r="BG198" s="20">
        <f t="shared" si="168"/>
        <v>403.5112063253232</v>
      </c>
      <c r="BH198" s="59">
        <f t="shared" si="194"/>
        <v>696.84453965865646</v>
      </c>
      <c r="BI198" s="59">
        <f ca="1">AVERAGE(OFFSET($BH$3,0,0,'Données projet'!$E$11+1,1))-AVERAGE(OFFSET($H$3,0,0,'Données projet'!$E$11+1,1))</f>
        <v>186.80594222554424</v>
      </c>
      <c r="BJ198" s="59">
        <f t="shared" si="206"/>
        <v>179.02867751001872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2.275677350216557</v>
      </c>
      <c r="BQ198" s="21">
        <f>EXP(-LN(2)/25)*BQ197+(1-EXP(-LN(2)/25))/(LN(2)/25)*Calculateur!BL198*Calculateur!BN198*VLOOKUP('Données projet'!$B$11,Paramètres!$A$1:$I$89,3,0)*0.475*44/12</f>
        <v>1.0041866565612187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3.2798640067777756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-5.4001247917767614E-13</v>
      </c>
      <c r="BZ198" s="13">
        <f>BY198*VLOOKUP('Données projet'!$B$12,Paramètres!$A$1:$I$89,3,0)*VLOOKUP('Données projet'!$B$12,Paramètres!$A$1:$I$89,5,0)</f>
        <v>-4.8860329115996133E-13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265.17389489035344</v>
      </c>
      <c r="CE198" s="59">
        <f t="shared" si="207"/>
        <v>101.57852403610769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158.97801151569533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158.97801151569533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-1.7053025658242404E-13</v>
      </c>
      <c r="CU198" s="17">
        <f>CT198*VLOOKUP('Données projet'!$B$13,Paramètres!$A$1:$I$89,3,0)*VLOOKUP('Données projet'!$B$13,Paramètres!$A$1:$I$89,5,0)</f>
        <v>-1.0197709343628959E-13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182.34243693018033</v>
      </c>
      <c r="CZ198" s="59">
        <f t="shared" si="208"/>
        <v>182.65916563909786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8.9515455609221011</v>
      </c>
      <c r="DG198" s="21">
        <f>EXP(-LN(2)/25)*DG197+(1-EXP(-LN(2)/25))/(LN(2)/25)*Calculateur!DB198*Calculateur!DD198*VLOOKUP('Données projet'!$B$13,Paramètres!$A$1:$I$89,3,0)*0.475*44/12</f>
        <v>0.85586316684892805</v>
      </c>
      <c r="DH198" s="21">
        <f>EXP(-LN(2)/2)*DH197+(1-EXP(-LN(2)/2))/(LN(2)/2)*DB198*DE198*VLOOKUP('Données projet'!$B$13,Paramètres!$A$1:$I$89,3,0)*0.475*44/12</f>
        <v>1.5315132865041305E-19</v>
      </c>
      <c r="DI198" s="22">
        <f t="shared" si="175"/>
        <v>9.8074087277710298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-5.4001247917767614E-13</v>
      </c>
      <c r="DP198" s="17">
        <f>DO198*VLOOKUP('Données projet'!$B$14,Paramètres!$A$1:$I$89,3,0)*VLOOKUP('Données projet'!$B$14,Paramètres!$A$1:$I$89,5,0)</f>
        <v>-5.1387587518547664E-13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286.10360882057586</v>
      </c>
      <c r="DU198" s="59">
        <f t="shared" si="209"/>
        <v>109.24531387923128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167.20101211133476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167.20101211133476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608.31754132924857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262.42149466677068</v>
      </c>
      <c r="T199" s="59">
        <f t="shared" si="204"/>
        <v>232.7693253699756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-1.0197709343628959E-13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249.37919739649828</v>
      </c>
      <c r="AO199" s="59">
        <f t="shared" si="205"/>
        <v>315.05045383693073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10.177995489195093</v>
      </c>
      <c r="AV199" s="21">
        <f>EXP(-LN(2)/25)*AV198+(1-EXP(-LN(2)/25))/(LN(2)/25)*Calculateur!AQ199*Calculateur!AS199*VLOOKUP('Données projet'!$B$10,Paramètres!$A$1:$I$89,3,0)*0.475*44/12</f>
        <v>0.91129705929438665</v>
      </c>
      <c r="AW199" s="21">
        <f>EXP(-LN(2)/2)*AW198+(1-EXP(-LN(2)/2))/(LN(2)/2)*AQ199*AT199*VLOOKUP('Données projet'!$B$10,Paramètres!$A$1:$I$89,3,0)*0.475*44/12</f>
        <v>3.4225527467538479E-20</v>
      </c>
      <c r="AX199" s="21">
        <f t="shared" si="166"/>
        <v>11.08929254848948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212.00000000000009</v>
      </c>
      <c r="BE199" s="13">
        <f>BD199*VLOOKUP('Données projet'!$B$11,Paramètres!$A$1:$I$89,3,0)*VLOOKUP('Données projet'!$B$11,Paramètres!$A$1:$I$89,5,0)</f>
        <v>185.20320000000009</v>
      </c>
      <c r="BF199" s="13">
        <f t="shared" si="167"/>
        <v>46.477875402099386</v>
      </c>
      <c r="BG199" s="20">
        <f t="shared" si="168"/>
        <v>403.5112063253232</v>
      </c>
      <c r="BH199" s="59">
        <f t="shared" si="194"/>
        <v>696.84453965865646</v>
      </c>
      <c r="BI199" s="59">
        <f ca="1">AVERAGE(OFFSET($BH$3,0,0,'Données projet'!$E$11+1,1))-AVERAGE(OFFSET($H$3,0,0,'Données projet'!$E$11+1,1))</f>
        <v>186.80594222554424</v>
      </c>
      <c r="BJ199" s="59">
        <f t="shared" si="206"/>
        <v>179.02867751001872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2.2310527054049376</v>
      </c>
      <c r="BQ199" s="21">
        <f>EXP(-LN(2)/25)*BQ198+(1-EXP(-LN(2)/25))/(LN(2)/25)*Calculateur!BL199*Calculateur!BN199*VLOOKUP('Données projet'!$B$11,Paramètres!$A$1:$I$89,3,0)*0.475*44/12</f>
        <v>0.97672711962967107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3.2077798250346086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-5.4001247917767614E-13</v>
      </c>
      <c r="BZ199" s="13">
        <f>BY199*VLOOKUP('Données projet'!$B$12,Paramètres!$A$1:$I$89,3,0)*VLOOKUP('Données projet'!$B$12,Paramètres!$A$1:$I$89,5,0)</f>
        <v>-4.8860329115996133E-13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265.17389489035344</v>
      </c>
      <c r="CE199" s="59">
        <f t="shared" si="207"/>
        <v>101.57852403610769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155.86054967688486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155.86054967688486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-1.7053025658242404E-13</v>
      </c>
      <c r="CU199" s="17">
        <f>CT199*VLOOKUP('Données projet'!$B$13,Paramètres!$A$1:$I$89,3,0)*VLOOKUP('Données projet'!$B$13,Paramètres!$A$1:$I$89,5,0)</f>
        <v>-1.0197709343628959E-13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182.34243693018033</v>
      </c>
      <c r="CZ199" s="59">
        <f t="shared" si="208"/>
        <v>182.65916563909786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8.7760112123760905</v>
      </c>
      <c r="DG199" s="21">
        <f>EXP(-LN(2)/25)*DG198+(1-EXP(-LN(2)/25))/(LN(2)/25)*Calculateur!DB199*Calculateur!DD199*VLOOKUP('Données projet'!$B$13,Paramètres!$A$1:$I$89,3,0)*0.475*44/12</f>
        <v>0.83245954354355622</v>
      </c>
      <c r="DH199" s="21">
        <f>EXP(-LN(2)/2)*DH198+(1-EXP(-LN(2)/2))/(LN(2)/2)*DB199*DE199*VLOOKUP('Données projet'!$B$13,Paramètres!$A$1:$I$89,3,0)*0.475*44/12</f>
        <v>1.0829434303643665E-19</v>
      </c>
      <c r="DI199" s="22">
        <f t="shared" si="175"/>
        <v>9.6084707559196474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-5.4001247917767614E-13</v>
      </c>
      <c r="DP199" s="17">
        <f>DO199*VLOOKUP('Données projet'!$B$14,Paramètres!$A$1:$I$89,3,0)*VLOOKUP('Données projet'!$B$14,Paramètres!$A$1:$I$89,5,0)</f>
        <v>-5.1387587518547664E-13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286.10360882057586</v>
      </c>
      <c r="DU199" s="59">
        <f t="shared" si="209"/>
        <v>109.24531387923128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163.92230224637893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163.92230224637893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609.88609676212241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262.42149466677068</v>
      </c>
      <c r="T200" s="59">
        <f t="shared" si="204"/>
        <v>232.7693253699756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-1.0197709343628959E-13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249.37919739649828</v>
      </c>
      <c r="AO200" s="59">
        <f t="shared" si="205"/>
        <v>315.05045383693073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9.97841120561624</v>
      </c>
      <c r="AV200" s="21">
        <f>EXP(-LN(2)/25)*AV199+(1-EXP(-LN(2)/25))/(LN(2)/25)*Calculateur!AQ200*Calculateur!AS200*VLOOKUP('Données projet'!$B$10,Paramètres!$A$1:$I$89,3,0)*0.475*44/12</f>
        <v>0.88637759328495214</v>
      </c>
      <c r="AW200" s="21">
        <f>EXP(-LN(2)/2)*AW199+(1-EXP(-LN(2)/2))/(LN(2)/2)*AQ200*AT200*VLOOKUP('Données projet'!$B$10,Paramètres!$A$1:$I$89,3,0)*0.475*44/12</f>
        <v>2.4201102561982904E-20</v>
      </c>
      <c r="AX200" s="21">
        <f t="shared" si="166"/>
        <v>10.864788798901191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212.00000000000009</v>
      </c>
      <c r="BE200" s="13">
        <f>BD200*VLOOKUP('Données projet'!$B$11,Paramètres!$A$1:$I$89,3,0)*VLOOKUP('Données projet'!$B$11,Paramètres!$A$1:$I$89,5,0)</f>
        <v>185.20320000000009</v>
      </c>
      <c r="BF200" s="13">
        <f t="shared" si="167"/>
        <v>46.477875402099386</v>
      </c>
      <c r="BG200" s="20">
        <f t="shared" si="168"/>
        <v>403.5112063253232</v>
      </c>
      <c r="BH200" s="59">
        <f t="shared" si="194"/>
        <v>696.84453965865646</v>
      </c>
      <c r="BI200" s="59">
        <f ca="1">AVERAGE(OFFSET($BH$3,0,0,'Données projet'!$E$11+1,1))-AVERAGE(OFFSET($H$3,0,0,'Données projet'!$E$11+1,1))</f>
        <v>186.80594222554424</v>
      </c>
      <c r="BJ200" s="59">
        <f t="shared" si="206"/>
        <v>179.02867751001872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2.1873031226597286</v>
      </c>
      <c r="BQ200" s="21">
        <f>EXP(-LN(2)/25)*BQ199+(1-EXP(-LN(2)/25))/(LN(2)/25)*Calculateur!BL200*Calculateur!BN200*VLOOKUP('Données projet'!$B$11,Paramètres!$A$1:$I$89,3,0)*0.475*44/12</f>
        <v>0.9500184651795508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3.1373215878392795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-5.4001247917767614E-13</v>
      </c>
      <c r="BZ200" s="13">
        <f>BY200*VLOOKUP('Données projet'!$B$12,Paramètres!$A$1:$I$89,3,0)*VLOOKUP('Données projet'!$B$12,Paramètres!$A$1:$I$89,5,0)</f>
        <v>-4.8860329115996133E-13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265.17389489035344</v>
      </c>
      <c r="CE200" s="59">
        <f t="shared" si="207"/>
        <v>101.57852403610769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152.80421936326951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152.80421936326951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-1.7053025658242404E-13</v>
      </c>
      <c r="CU200" s="17">
        <f>CT200*VLOOKUP('Données projet'!$B$13,Paramètres!$A$1:$I$89,3,0)*VLOOKUP('Données projet'!$B$13,Paramètres!$A$1:$I$89,5,0)</f>
        <v>-1.0197709343628959E-13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182.34243693018033</v>
      </c>
      <c r="CZ200" s="59">
        <f t="shared" si="208"/>
        <v>182.65916563909786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8.6039189853396856</v>
      </c>
      <c r="DG200" s="21">
        <f>EXP(-LN(2)/25)*DG199+(1-EXP(-LN(2)/25))/(LN(2)/25)*Calculateur!DB200*Calculateur!DD200*VLOOKUP('Données projet'!$B$13,Paramètres!$A$1:$I$89,3,0)*0.475*44/12</f>
        <v>0.80969589354821292</v>
      </c>
      <c r="DH200" s="21">
        <f>EXP(-LN(2)/2)*DH199+(1-EXP(-LN(2)/2))/(LN(2)/2)*DB200*DE200*VLOOKUP('Données projet'!$B$13,Paramètres!$A$1:$I$89,3,0)*0.475*44/12</f>
        <v>7.6575664325206537E-20</v>
      </c>
      <c r="DI200" s="22">
        <f t="shared" si="175"/>
        <v>9.4136148788878984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-5.4001247917767614E-13</v>
      </c>
      <c r="DP200" s="17">
        <f>DO200*VLOOKUP('Données projet'!$B$14,Paramètres!$A$1:$I$89,3,0)*VLOOKUP('Données projet'!$B$14,Paramètres!$A$1:$I$89,5,0)</f>
        <v>-5.1387587518547664E-13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286.10360882057586</v>
      </c>
      <c r="DU200" s="59">
        <f t="shared" si="209"/>
        <v>109.24531387923128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160.70788588205934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160.70788588205934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611.45447996988946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262.42149466677068</v>
      </c>
      <c r="T201" s="59">
        <f t="shared" si="204"/>
        <v>232.7693253699756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-1.0197709343628959E-13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249.37919739649828</v>
      </c>
      <c r="AO201" s="59">
        <f t="shared" si="205"/>
        <v>315.05045383693073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9.7827406481039763</v>
      </c>
      <c r="AV201" s="21">
        <f>EXP(-LN(2)/25)*AV200+(1-EXP(-LN(2)/25))/(LN(2)/25)*Calculateur!AQ201*Calculateur!AS201*VLOOKUP('Données projet'!$B$10,Paramètres!$A$1:$I$89,3,0)*0.475*44/12</f>
        <v>0.86213955138400333</v>
      </c>
      <c r="AW201" s="21">
        <f>EXP(-LN(2)/2)*AW200+(1-EXP(-LN(2)/2))/(LN(2)/2)*AQ201*AT201*VLOOKUP('Données projet'!$B$10,Paramètres!$A$1:$I$89,3,0)*0.475*44/12</f>
        <v>1.711276373376924E-20</v>
      </c>
      <c r="AX201" s="21">
        <f t="shared" si="166"/>
        <v>10.644880199487979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212.00000000000009</v>
      </c>
      <c r="BE201" s="13">
        <f>BD201*VLOOKUP('Données projet'!$B$11,Paramètres!$A$1:$I$89,3,0)*VLOOKUP('Données projet'!$B$11,Paramètres!$A$1:$I$89,5,0)</f>
        <v>185.20320000000009</v>
      </c>
      <c r="BF201" s="13">
        <f t="shared" si="167"/>
        <v>46.477875402099386</v>
      </c>
      <c r="BG201" s="20">
        <f t="shared" si="168"/>
        <v>403.5112063253232</v>
      </c>
      <c r="BH201" s="59">
        <f t="shared" si="194"/>
        <v>696.84453965865646</v>
      </c>
      <c r="BI201" s="59">
        <f ca="1">AVERAGE(OFFSET($BH$3,0,0,'Données projet'!$E$11+1,1))-AVERAGE(OFFSET($H$3,0,0,'Données projet'!$E$11+1,1))</f>
        <v>186.80594222554424</v>
      </c>
      <c r="BJ201" s="59">
        <f t="shared" si="206"/>
        <v>179.02867751001872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2.1444114425475425</v>
      </c>
      <c r="BQ201" s="21">
        <f>EXP(-LN(2)/25)*BQ200+(1-EXP(-LN(2)/25))/(LN(2)/25)*Calculateur!BL201*Calculateur!BN201*VLOOKUP('Données projet'!$B$11,Paramètres!$A$1:$I$89,3,0)*0.475*44/12</f>
        <v>0.9240401602899162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3.0684516028374587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-5.4001247917767614E-13</v>
      </c>
      <c r="BZ201" s="13">
        <f>BY201*VLOOKUP('Données projet'!$B$12,Paramètres!$A$1:$I$89,3,0)*VLOOKUP('Données projet'!$B$12,Paramètres!$A$1:$I$89,5,0)</f>
        <v>-4.8860329115996133E-13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265.17389489035344</v>
      </c>
      <c r="CE201" s="59">
        <f t="shared" si="207"/>
        <v>101.57852403610769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149.80782182292674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149.80782182292674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-1.7053025658242404E-13</v>
      </c>
      <c r="CU201" s="17">
        <f>CT201*VLOOKUP('Données projet'!$B$13,Paramètres!$A$1:$I$89,3,0)*VLOOKUP('Données projet'!$B$13,Paramètres!$A$1:$I$89,5,0)</f>
        <v>-1.0197709343628959E-13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182.34243693018033</v>
      </c>
      <c r="CZ201" s="59">
        <f t="shared" si="208"/>
        <v>182.65916563909786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8.4352013819095717</v>
      </c>
      <c r="DG201" s="21">
        <f>EXP(-LN(2)/25)*DG200+(1-EXP(-LN(2)/25))/(LN(2)/25)*Calculateur!DB201*Calculateur!DD201*VLOOKUP('Données projet'!$B$13,Paramètres!$A$1:$I$89,3,0)*0.475*44/12</f>
        <v>0.78755471675908062</v>
      </c>
      <c r="DH201" s="21">
        <f>EXP(-LN(2)/2)*DH200+(1-EXP(-LN(2)/2))/(LN(2)/2)*DB201*DE201*VLOOKUP('Données projet'!$B$13,Paramètres!$A$1:$I$89,3,0)*0.475*44/12</f>
        <v>5.4147171518218337E-20</v>
      </c>
      <c r="DI201" s="22">
        <f t="shared" si="175"/>
        <v>9.2227560986686523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-5.4001247917767614E-13</v>
      </c>
      <c r="DP201" s="17">
        <f>DO201*VLOOKUP('Données projet'!$B$14,Paramètres!$A$1:$I$89,3,0)*VLOOKUP('Données projet'!$B$14,Paramètres!$A$1:$I$89,5,0)</f>
        <v>-5.1387587518547664E-13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286.10360882057586</v>
      </c>
      <c r="DU201" s="59">
        <f t="shared" si="209"/>
        <v>109.24531387923128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157.55650226204367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157.55650226204367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613.0226919233437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262.42149466677068</v>
      </c>
      <c r="T202" s="59">
        <f t="shared" si="204"/>
        <v>232.7693253699756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-1.0197709343628959E-13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249.37919739649828</v>
      </c>
      <c r="AO202" s="59">
        <f t="shared" si="205"/>
        <v>315.05045383693073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9.5909070708772717</v>
      </c>
      <c r="AV202" s="21">
        <f>EXP(-LN(2)/25)*AV201+(1-EXP(-LN(2)/25))/(LN(2)/25)*Calculateur!AQ202*Calculateur!AS202*VLOOKUP('Données projet'!$B$10,Paramètres!$A$1:$I$89,3,0)*0.475*44/12</f>
        <v>0.83856430001345916</v>
      </c>
      <c r="AW202" s="21">
        <f>EXP(-LN(2)/2)*AW201+(1-EXP(-LN(2)/2))/(LN(2)/2)*AQ202*AT202*VLOOKUP('Données projet'!$B$10,Paramètres!$A$1:$I$89,3,0)*0.475*44/12</f>
        <v>1.2100551280991452E-20</v>
      </c>
      <c r="AX202" s="21">
        <f t="shared" si="166"/>
        <v>10.429471370890731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212.00000000000009</v>
      </c>
      <c r="BE202" s="13">
        <f>BD202*VLOOKUP('Données projet'!$B$11,Paramètres!$A$1:$I$89,3,0)*VLOOKUP('Données projet'!$B$11,Paramètres!$A$1:$I$89,5,0)</f>
        <v>185.20320000000009</v>
      </c>
      <c r="BF202" s="13">
        <f t="shared" si="167"/>
        <v>46.477875402099386</v>
      </c>
      <c r="BG202" s="20">
        <f t="shared" si="168"/>
        <v>403.5112063253232</v>
      </c>
      <c r="BH202" s="59">
        <f t="shared" si="194"/>
        <v>696.84453965865646</v>
      </c>
      <c r="BI202" s="59">
        <f ca="1">AVERAGE(OFFSET($BH$3,0,0,'Données projet'!$E$11+1,1))-AVERAGE(OFFSET($H$3,0,0,'Données projet'!$E$11+1,1))</f>
        <v>186.80594222554424</v>
      </c>
      <c r="BJ202" s="59">
        <f t="shared" si="206"/>
        <v>179.02867751001872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2.1023608421210147</v>
      </c>
      <c r="BQ202" s="21">
        <f>EXP(-LN(2)/25)*BQ201+(1-EXP(-LN(2)/25))/(LN(2)/25)*Calculateur!BL202*Calculateur!BN202*VLOOKUP('Données projet'!$B$11,Paramètres!$A$1:$I$89,3,0)*0.475*44/12</f>
        <v>0.89877223351362834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3.0011330756346428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-5.4001247917767614E-13</v>
      </c>
      <c r="BZ202" s="13">
        <f>BY202*VLOOKUP('Données projet'!$B$12,Paramètres!$A$1:$I$89,3,0)*VLOOKUP('Données projet'!$B$12,Paramètres!$A$1:$I$89,5,0)</f>
        <v>-4.8860329115996133E-13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265.17389489035344</v>
      </c>
      <c r="CE202" s="59">
        <f t="shared" si="207"/>
        <v>101.57852403610769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146.87018181072804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146.87018181072804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-1.7053025658242404E-13</v>
      </c>
      <c r="CU202" s="17">
        <f>CT202*VLOOKUP('Données projet'!$B$13,Paramètres!$A$1:$I$89,3,0)*VLOOKUP('Données projet'!$B$13,Paramètres!$A$1:$I$89,5,0)</f>
        <v>-1.0197709343628959E-13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182.34243693018033</v>
      </c>
      <c r="CZ202" s="59">
        <f t="shared" si="208"/>
        <v>182.65916563909786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8.2697922277751452</v>
      </c>
      <c r="DG202" s="21">
        <f>EXP(-LN(2)/25)*DG201+(1-EXP(-LN(2)/25))/(LN(2)/25)*Calculateur!DB202*Calculateur!DD202*VLOOKUP('Données projet'!$B$13,Paramètres!$A$1:$I$89,3,0)*0.475*44/12</f>
        <v>0.76601899161360099</v>
      </c>
      <c r="DH202" s="21">
        <f>EXP(-LN(2)/2)*DH201+(1-EXP(-LN(2)/2))/(LN(2)/2)*DB202*DE202*VLOOKUP('Données projet'!$B$13,Paramètres!$A$1:$I$89,3,0)*0.475*44/12</f>
        <v>3.8287832162603275E-20</v>
      </c>
      <c r="DI202" s="22">
        <f t="shared" si="175"/>
        <v>9.0358112193887461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-5.4001247917767614E-13</v>
      </c>
      <c r="DP202" s="17">
        <f>DO202*VLOOKUP('Données projet'!$B$14,Paramètres!$A$1:$I$89,3,0)*VLOOKUP('Données projet'!$B$14,Paramètres!$A$1:$I$89,5,0)</f>
        <v>-5.1387587518547664E-13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286.10360882057586</v>
      </c>
      <c r="DU202" s="59">
        <f t="shared" si="209"/>
        <v>109.24531387923128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154.46691535266228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154.46691535266228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614.59073358295734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262.42149466677068</v>
      </c>
      <c r="T203" s="59">
        <f t="shared" si="204"/>
        <v>232.7693253699756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-1.0197709343628959E-13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249.37919739649828</v>
      </c>
      <c r="AO203" s="59">
        <f t="shared" si="205"/>
        <v>315.05045383693073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9.4028352330930538</v>
      </c>
      <c r="AV203" s="21">
        <f>EXP(-LN(2)/25)*AV202+(1-EXP(-LN(2)/25))/(LN(2)/25)*Calculateur!AQ203*Calculateur!AS203*VLOOKUP('Données projet'!$B$10,Paramètres!$A$1:$I$89,3,0)*0.475*44/12</f>
        <v>0.81563371513141114</v>
      </c>
      <c r="AW203" s="21">
        <f>EXP(-LN(2)/2)*AW202+(1-EXP(-LN(2)/2))/(LN(2)/2)*AQ203*AT203*VLOOKUP('Données projet'!$B$10,Paramètres!$A$1:$I$89,3,0)*0.475*44/12</f>
        <v>8.5563818668846198E-21</v>
      </c>
      <c r="AX203" s="21">
        <f t="shared" si="166"/>
        <v>10.218468948224466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212.00000000000009</v>
      </c>
      <c r="BE203" s="13">
        <f>BD203*VLOOKUP('Données projet'!$B$11,Paramètres!$A$1:$I$89,3,0)*VLOOKUP('Données projet'!$B$11,Paramètres!$A$1:$I$89,5,0)</f>
        <v>185.20320000000009</v>
      </c>
      <c r="BF203" s="13">
        <f t="shared" si="167"/>
        <v>46.477875402099386</v>
      </c>
      <c r="BG203" s="20">
        <f t="shared" si="168"/>
        <v>403.5112063253232</v>
      </c>
      <c r="BH203" s="59">
        <f t="shared" si="194"/>
        <v>696.84453965865646</v>
      </c>
      <c r="BI203" s="59">
        <f ca="1">AVERAGE(OFFSET($BH$3,0,0,'Données projet'!$E$11+1,1))-AVERAGE(OFFSET($H$3,0,0,'Données projet'!$E$11+1,1))</f>
        <v>186.80594222554424</v>
      </c>
      <c r="BJ203" s="59">
        <f t="shared" si="206"/>
        <v>179.02867751001872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2.0611348283205175</v>
      </c>
      <c r="BQ203" s="21">
        <f>EXP(-LN(2)/25)*BQ202+(1-EXP(-LN(2)/25))/(LN(2)/25)*Calculateur!BL203*Calculateur!BN203*VLOOKUP('Données projet'!$B$11,Paramètres!$A$1:$I$89,3,0)*0.475*44/12</f>
        <v>0.8741952595238206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2.935330087844338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-5.4001247917767614E-13</v>
      </c>
      <c r="BZ203" s="13">
        <f>BY203*VLOOKUP('Données projet'!$B$12,Paramètres!$A$1:$I$89,3,0)*VLOOKUP('Données projet'!$B$12,Paramètres!$A$1:$I$89,5,0)</f>
        <v>-4.8860329115996133E-13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265.17389489035344</v>
      </c>
      <c r="CE203" s="59">
        <f t="shared" si="207"/>
        <v>101.57852403610769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143.99014712738509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143.99014712738509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-1.7053025658242404E-13</v>
      </c>
      <c r="CU203" s="17">
        <f>CT203*VLOOKUP('Données projet'!$B$13,Paramètres!$A$1:$I$89,3,0)*VLOOKUP('Données projet'!$B$13,Paramètres!$A$1:$I$89,5,0)</f>
        <v>-1.0197709343628959E-13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182.34243693018033</v>
      </c>
      <c r="CZ203" s="59">
        <f t="shared" si="208"/>
        <v>182.65916563909786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8.1076266462636717</v>
      </c>
      <c r="DG203" s="21">
        <f>EXP(-LN(2)/25)*DG202+(1-EXP(-LN(2)/25))/(LN(2)/25)*Calculateur!DB203*Calculateur!DD203*VLOOKUP('Données projet'!$B$13,Paramètres!$A$1:$I$89,3,0)*0.475*44/12</f>
        <v>0.74507216200473902</v>
      </c>
      <c r="DH203" s="21">
        <f>EXP(-LN(2)/2)*DH202+(1-EXP(-LN(2)/2))/(LN(2)/2)*DB203*DE203*VLOOKUP('Données projet'!$B$13,Paramètres!$A$1:$I$89,3,0)*0.475*44/12</f>
        <v>2.7073585759109171E-20</v>
      </c>
      <c r="DI203" s="22">
        <f t="shared" si="175"/>
        <v>8.8526988082684106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-5.4001247917767614E-13</v>
      </c>
      <c r="DP203" s="17">
        <f>DO203*VLOOKUP('Données projet'!$B$14,Paramètres!$A$1:$I$89,3,0)*VLOOKUP('Données projet'!$B$14,Paramètres!$A$1:$I$89,5,0)</f>
        <v>-5.1387587518547664E-13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286.10360882057586</v>
      </c>
      <c r="DU203" s="59">
        <f t="shared" si="209"/>
        <v>109.24531387923128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151.43791335811193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151.43791335811193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115</v>
      </c>
      <c r="BA204" s="81" t="s">
        <v>115</v>
      </c>
      <c r="BV204" s="81" t="s">
        <v>115</v>
      </c>
      <c r="CQ204" s="81" t="s">
        <v>115</v>
      </c>
      <c r="DL204" s="81" t="s">
        <v>115</v>
      </c>
      <c r="EG204" s="81" t="s">
        <v>115</v>
      </c>
      <c r="FB204" s="81" t="s">
        <v>115</v>
      </c>
      <c r="FW204" s="81" t="s">
        <v>115</v>
      </c>
      <c r="GR204" s="81" t="s">
        <v>115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1.3909694153327172</v>
      </c>
      <c r="BA205" s="82">
        <f>EXP(LN('Données projet'!B88)/'Données projet'!A88)</f>
        <v>1.335141362540313</v>
      </c>
      <c r="BV205" s="82">
        <f>EXP(LN('Données projet'!B114)/'Données projet'!A114)</f>
        <v>1.1549646791274306</v>
      </c>
      <c r="CQ205" s="82">
        <f>EXP(LN('Données projet'!B140)/'Données projet'!A140)</f>
        <v>1.3292852468636394</v>
      </c>
      <c r="DL205" s="82">
        <f>EXP(LN('Données projet'!B166)/'Données projet'!A166)</f>
        <v>1.1549646791274306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116</v>
      </c>
      <c r="B1" s="112" t="s">
        <v>117</v>
      </c>
      <c r="C1" s="113" t="s">
        <v>118</v>
      </c>
      <c r="D1" s="112" t="s">
        <v>119</v>
      </c>
      <c r="E1" s="113" t="s">
        <v>120</v>
      </c>
      <c r="F1" s="113" t="s">
        <v>119</v>
      </c>
      <c r="G1" s="113" t="s">
        <v>121</v>
      </c>
      <c r="H1" s="113" t="s">
        <v>119</v>
      </c>
      <c r="I1" s="114" t="s">
        <v>122</v>
      </c>
      <c r="J1" s="78"/>
      <c r="K1" s="78"/>
      <c r="L1" s="78"/>
      <c r="M1" s="78"/>
      <c r="N1" s="78"/>
    </row>
    <row r="2" spans="1:16" x14ac:dyDescent="0.35">
      <c r="A2" s="115" t="s">
        <v>123</v>
      </c>
      <c r="B2" s="116" t="s">
        <v>124</v>
      </c>
      <c r="C2" s="117">
        <v>0.62</v>
      </c>
      <c r="D2" s="117" t="s">
        <v>125</v>
      </c>
      <c r="E2" s="117">
        <v>1.56</v>
      </c>
      <c r="F2" s="117" t="s">
        <v>126</v>
      </c>
      <c r="G2" s="118">
        <v>0.43</v>
      </c>
      <c r="H2" s="119" t="s">
        <v>127</v>
      </c>
      <c r="I2" s="120">
        <v>0.25</v>
      </c>
      <c r="J2" s="78"/>
      <c r="K2" s="78"/>
      <c r="L2" s="78"/>
      <c r="M2" s="78"/>
      <c r="N2" s="78"/>
      <c r="O2" s="281" t="s">
        <v>128</v>
      </c>
      <c r="P2" s="121">
        <v>0</v>
      </c>
    </row>
    <row r="3" spans="1:16" ht="15" thickBot="1" x14ac:dyDescent="0.4">
      <c r="A3" s="122" t="s">
        <v>129</v>
      </c>
      <c r="B3" s="123" t="s">
        <v>130</v>
      </c>
      <c r="C3" s="124">
        <v>0.64</v>
      </c>
      <c r="D3" s="124" t="s">
        <v>125</v>
      </c>
      <c r="E3" s="124">
        <v>1.56</v>
      </c>
      <c r="F3" s="125" t="s">
        <v>126</v>
      </c>
      <c r="G3" s="126">
        <v>0.43</v>
      </c>
      <c r="H3" s="124" t="s">
        <v>127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131</v>
      </c>
      <c r="B4" s="123" t="s">
        <v>132</v>
      </c>
      <c r="C4" s="124">
        <v>0.42</v>
      </c>
      <c r="D4" s="124" t="s">
        <v>125</v>
      </c>
      <c r="E4" s="124">
        <v>1.56</v>
      </c>
      <c r="F4" s="125" t="s">
        <v>126</v>
      </c>
      <c r="G4" s="126">
        <v>0.43</v>
      </c>
      <c r="H4" s="124" t="s">
        <v>127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133</v>
      </c>
      <c r="B5" s="123" t="s">
        <v>134</v>
      </c>
      <c r="C5" s="124">
        <v>0.42</v>
      </c>
      <c r="D5" s="124" t="s">
        <v>125</v>
      </c>
      <c r="E5" s="124">
        <v>1.56</v>
      </c>
      <c r="F5" s="125" t="s">
        <v>126</v>
      </c>
      <c r="G5" s="126">
        <v>0.43</v>
      </c>
      <c r="H5" s="124" t="s">
        <v>127</v>
      </c>
      <c r="I5" s="127">
        <v>0.25</v>
      </c>
      <c r="J5" s="78"/>
      <c r="K5" s="78"/>
      <c r="L5" s="78"/>
      <c r="M5" s="78"/>
      <c r="N5" s="78"/>
      <c r="O5" s="281" t="s">
        <v>135</v>
      </c>
      <c r="P5" s="121">
        <v>0</v>
      </c>
    </row>
    <row r="6" spans="1:16" x14ac:dyDescent="0.35">
      <c r="A6" s="122" t="s">
        <v>136</v>
      </c>
      <c r="B6" s="123" t="s">
        <v>137</v>
      </c>
      <c r="C6" s="124">
        <v>0.42</v>
      </c>
      <c r="D6" s="124" t="s">
        <v>125</v>
      </c>
      <c r="E6" s="124">
        <v>1.56</v>
      </c>
      <c r="F6" s="125" t="s">
        <v>126</v>
      </c>
      <c r="G6" s="126">
        <v>0.43</v>
      </c>
      <c r="H6" s="124" t="s">
        <v>127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138</v>
      </c>
      <c r="B7" s="123" t="s">
        <v>139</v>
      </c>
      <c r="C7" s="124">
        <v>0.52</v>
      </c>
      <c r="D7" s="124" t="s">
        <v>125</v>
      </c>
      <c r="E7" s="124">
        <v>1.56</v>
      </c>
      <c r="F7" s="125" t="s">
        <v>126</v>
      </c>
      <c r="G7" s="126">
        <v>0.43</v>
      </c>
      <c r="H7" s="124" t="s">
        <v>127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140</v>
      </c>
      <c r="B8" s="123" t="s">
        <v>141</v>
      </c>
      <c r="C8" s="124">
        <v>0.36</v>
      </c>
      <c r="D8" s="124" t="s">
        <v>125</v>
      </c>
      <c r="E8" s="124">
        <v>1.3</v>
      </c>
      <c r="F8" s="125" t="s">
        <v>126</v>
      </c>
      <c r="G8" s="126">
        <v>0.55000000000000004</v>
      </c>
      <c r="H8" s="124" t="s">
        <v>142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27</v>
      </c>
      <c r="B9" s="123" t="s">
        <v>143</v>
      </c>
      <c r="C9" s="124">
        <v>0.61</v>
      </c>
      <c r="D9" s="124" t="s">
        <v>125</v>
      </c>
      <c r="E9" s="124">
        <v>1.56</v>
      </c>
      <c r="F9" s="125" t="s">
        <v>126</v>
      </c>
      <c r="G9" s="126">
        <v>0.43</v>
      </c>
      <c r="H9" s="124" t="s">
        <v>127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144</v>
      </c>
      <c r="B10" s="123" t="s">
        <v>145</v>
      </c>
      <c r="C10" s="124">
        <v>0.66</v>
      </c>
      <c r="D10" s="124" t="s">
        <v>125</v>
      </c>
      <c r="E10" s="124">
        <v>1.56</v>
      </c>
      <c r="F10" s="125" t="s">
        <v>126</v>
      </c>
      <c r="G10" s="126">
        <v>0.43</v>
      </c>
      <c r="H10" s="124" t="s">
        <v>127</v>
      </c>
      <c r="I10" s="127">
        <v>0.25</v>
      </c>
      <c r="J10" s="78"/>
      <c r="K10" s="78"/>
      <c r="L10" s="78"/>
      <c r="M10" s="78"/>
      <c r="N10" s="78"/>
      <c r="O10" s="281" t="s">
        <v>146</v>
      </c>
      <c r="P10" s="121">
        <v>0</v>
      </c>
    </row>
    <row r="11" spans="1:16" ht="15" thickBot="1" x14ac:dyDescent="0.4">
      <c r="A11" s="122" t="s">
        <v>85</v>
      </c>
      <c r="B11" s="123" t="s">
        <v>147</v>
      </c>
      <c r="C11" s="124">
        <v>0.47</v>
      </c>
      <c r="D11" s="124" t="s">
        <v>125</v>
      </c>
      <c r="E11" s="124">
        <v>1.56</v>
      </c>
      <c r="F11" s="125" t="s">
        <v>126</v>
      </c>
      <c r="G11" s="126">
        <v>0.43</v>
      </c>
      <c r="H11" s="124" t="s">
        <v>127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148</v>
      </c>
      <c r="B12" s="123" t="s">
        <v>149</v>
      </c>
      <c r="C12" s="124">
        <v>0.67</v>
      </c>
      <c r="D12" s="124" t="s">
        <v>125</v>
      </c>
      <c r="E12" s="124">
        <v>1.56</v>
      </c>
      <c r="F12" s="125" t="s">
        <v>126</v>
      </c>
      <c r="G12" s="126">
        <v>0.43</v>
      </c>
      <c r="H12" s="124" t="s">
        <v>150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151</v>
      </c>
      <c r="B13" s="123" t="s">
        <v>152</v>
      </c>
      <c r="C13" s="124">
        <v>0.7</v>
      </c>
      <c r="D13" s="124" t="s">
        <v>125</v>
      </c>
      <c r="E13" s="124">
        <v>1.56</v>
      </c>
      <c r="F13" s="125" t="s">
        <v>126</v>
      </c>
      <c r="G13" s="126">
        <v>0.43</v>
      </c>
      <c r="H13" s="124" t="s">
        <v>150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153</v>
      </c>
      <c r="B14" s="123" t="s">
        <v>154</v>
      </c>
      <c r="C14" s="124">
        <v>0.54</v>
      </c>
      <c r="D14" s="124" t="s">
        <v>125</v>
      </c>
      <c r="E14" s="124">
        <v>1.56</v>
      </c>
      <c r="F14" s="125" t="s">
        <v>126</v>
      </c>
      <c r="G14" s="126">
        <v>0.43</v>
      </c>
      <c r="H14" s="124" t="s">
        <v>150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155</v>
      </c>
      <c r="B15" s="123" t="s">
        <v>156</v>
      </c>
      <c r="C15" s="124">
        <v>0.65</v>
      </c>
      <c r="D15" s="124" t="s">
        <v>125</v>
      </c>
      <c r="E15" s="124">
        <v>1.56</v>
      </c>
      <c r="F15" s="125" t="s">
        <v>126</v>
      </c>
      <c r="G15" s="126">
        <v>0.43</v>
      </c>
      <c r="H15" s="124" t="s">
        <v>150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21</v>
      </c>
      <c r="B16" s="123" t="s">
        <v>157</v>
      </c>
      <c r="C16" s="124">
        <v>0.56000000000000005</v>
      </c>
      <c r="D16" s="124" t="s">
        <v>125</v>
      </c>
      <c r="E16" s="124">
        <v>1.56</v>
      </c>
      <c r="F16" s="125" t="s">
        <v>126</v>
      </c>
      <c r="G16" s="126">
        <v>0.43</v>
      </c>
      <c r="H16" s="124" t="s">
        <v>150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23</v>
      </c>
      <c r="B17" s="123" t="s">
        <v>158</v>
      </c>
      <c r="C17" s="124">
        <v>0.57999999999999996</v>
      </c>
      <c r="D17" s="124" t="s">
        <v>125</v>
      </c>
      <c r="E17" s="124">
        <v>1.56</v>
      </c>
      <c r="F17" s="125" t="s">
        <v>126</v>
      </c>
      <c r="G17" s="126">
        <v>0.43</v>
      </c>
      <c r="H17" s="124" t="s">
        <v>150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159</v>
      </c>
      <c r="B18" s="123" t="s">
        <v>160</v>
      </c>
      <c r="C18" s="124">
        <v>0.64</v>
      </c>
      <c r="D18" s="124" t="s">
        <v>125</v>
      </c>
      <c r="E18" s="124">
        <v>1.56</v>
      </c>
      <c r="F18" s="125" t="s">
        <v>126</v>
      </c>
      <c r="G18" s="126">
        <v>0.43</v>
      </c>
      <c r="H18" s="124" t="s">
        <v>150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161</v>
      </c>
      <c r="B19" s="123" t="s">
        <v>162</v>
      </c>
      <c r="C19" s="124">
        <v>0.73</v>
      </c>
      <c r="D19" s="124" t="s">
        <v>125</v>
      </c>
      <c r="E19" s="124">
        <v>1.56</v>
      </c>
      <c r="F19" s="125" t="s">
        <v>126</v>
      </c>
      <c r="G19" s="126">
        <v>0.43</v>
      </c>
      <c r="H19" s="124" t="s">
        <v>150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163</v>
      </c>
      <c r="B20" s="123" t="s">
        <v>164</v>
      </c>
      <c r="C20" s="124">
        <v>0.69</v>
      </c>
      <c r="D20" s="124" t="s">
        <v>165</v>
      </c>
      <c r="E20" s="124">
        <v>1.56</v>
      </c>
      <c r="F20" s="125" t="s">
        <v>126</v>
      </c>
      <c r="G20" s="126">
        <v>0.43</v>
      </c>
      <c r="H20" s="124" t="s">
        <v>166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167</v>
      </c>
      <c r="B21" s="123" t="s">
        <v>168</v>
      </c>
      <c r="C21" s="124">
        <v>0.36</v>
      </c>
      <c r="D21" s="124" t="s">
        <v>125</v>
      </c>
      <c r="E21" s="124">
        <v>1.3</v>
      </c>
      <c r="F21" s="125" t="s">
        <v>126</v>
      </c>
      <c r="G21" s="126">
        <v>0.55000000000000004</v>
      </c>
      <c r="H21" s="124" t="s">
        <v>142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169</v>
      </c>
      <c r="B22" s="123" t="s">
        <v>170</v>
      </c>
      <c r="C22" s="124">
        <v>0.4</v>
      </c>
      <c r="D22" s="124" t="s">
        <v>125</v>
      </c>
      <c r="E22" s="124">
        <v>1.3</v>
      </c>
      <c r="F22" s="125" t="s">
        <v>126</v>
      </c>
      <c r="G22" s="126">
        <v>0.55000000000000004</v>
      </c>
      <c r="H22" s="124" t="s">
        <v>142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171</v>
      </c>
      <c r="B23" s="123" t="s">
        <v>172</v>
      </c>
      <c r="C23" s="124">
        <v>0.43</v>
      </c>
      <c r="D23" s="124" t="s">
        <v>125</v>
      </c>
      <c r="E23" s="124">
        <v>1.3</v>
      </c>
      <c r="F23" s="125" t="s">
        <v>126</v>
      </c>
      <c r="G23" s="126">
        <v>0.55000000000000004</v>
      </c>
      <c r="H23" s="124" t="s">
        <v>142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173</v>
      </c>
      <c r="B24" s="123" t="s">
        <v>174</v>
      </c>
      <c r="C24" s="124">
        <v>0.37</v>
      </c>
      <c r="D24" s="124" t="s">
        <v>125</v>
      </c>
      <c r="E24" s="124">
        <v>1.3</v>
      </c>
      <c r="F24" s="125" t="s">
        <v>126</v>
      </c>
      <c r="G24" s="126">
        <v>0.55000000000000004</v>
      </c>
      <c r="H24" s="124" t="s">
        <v>150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175</v>
      </c>
      <c r="B25" s="123" t="s">
        <v>176</v>
      </c>
      <c r="C25" s="124">
        <v>0.36</v>
      </c>
      <c r="D25" s="124" t="s">
        <v>125</v>
      </c>
      <c r="E25" s="124">
        <v>1.3</v>
      </c>
      <c r="F25" s="125" t="s">
        <v>126</v>
      </c>
      <c r="G25" s="126">
        <v>0.55000000000000004</v>
      </c>
      <c r="H25" s="124" t="s">
        <v>150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177</v>
      </c>
      <c r="B26" s="123" t="s">
        <v>178</v>
      </c>
      <c r="C26" s="124">
        <v>0.56000000000000005</v>
      </c>
      <c r="D26" s="124" t="s">
        <v>125</v>
      </c>
      <c r="E26" s="124">
        <v>1.56</v>
      </c>
      <c r="F26" s="125" t="s">
        <v>126</v>
      </c>
      <c r="G26" s="126">
        <v>0.53</v>
      </c>
      <c r="H26" s="124" t="s">
        <v>179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180</v>
      </c>
      <c r="B27" s="123" t="s">
        <v>181</v>
      </c>
      <c r="C27" s="124">
        <v>0.51</v>
      </c>
      <c r="D27" s="124" t="s">
        <v>125</v>
      </c>
      <c r="E27" s="124">
        <v>1.56</v>
      </c>
      <c r="F27" s="125" t="s">
        <v>126</v>
      </c>
      <c r="G27" s="126">
        <v>0.53</v>
      </c>
      <c r="H27" s="124" t="s">
        <v>179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182</v>
      </c>
      <c r="B28" s="123" t="s">
        <v>183</v>
      </c>
      <c r="C28" s="124">
        <v>0.51</v>
      </c>
      <c r="D28" s="124" t="s">
        <v>125</v>
      </c>
      <c r="E28" s="124">
        <v>1.56</v>
      </c>
      <c r="F28" s="125" t="s">
        <v>126</v>
      </c>
      <c r="G28" s="126">
        <v>0.53</v>
      </c>
      <c r="H28" s="124" t="s">
        <v>179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184</v>
      </c>
      <c r="B29" s="123" t="s">
        <v>184</v>
      </c>
      <c r="C29" s="124">
        <v>0.56000000000000005</v>
      </c>
      <c r="D29" s="124" t="s">
        <v>125</v>
      </c>
      <c r="E29" s="124">
        <v>1.56</v>
      </c>
      <c r="F29" s="125" t="s">
        <v>126</v>
      </c>
      <c r="G29" s="126">
        <v>0.53</v>
      </c>
      <c r="H29" s="124" t="s">
        <v>179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185</v>
      </c>
      <c r="B30" s="123" t="s">
        <v>186</v>
      </c>
      <c r="C30" s="124">
        <v>0.55000000000000004</v>
      </c>
      <c r="D30" s="124" t="s">
        <v>125</v>
      </c>
      <c r="E30" s="124">
        <v>1.56</v>
      </c>
      <c r="F30" s="125" t="s">
        <v>126</v>
      </c>
      <c r="G30" s="126">
        <v>0.53</v>
      </c>
      <c r="H30" s="124" t="s">
        <v>150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187</v>
      </c>
      <c r="B31" s="123" t="s">
        <v>188</v>
      </c>
      <c r="C31" s="124">
        <v>0.56000000000000005</v>
      </c>
      <c r="D31" s="124" t="s">
        <v>125</v>
      </c>
      <c r="E31" s="124">
        <v>1.56</v>
      </c>
      <c r="F31" s="125" t="s">
        <v>126</v>
      </c>
      <c r="G31" s="126">
        <v>0.43</v>
      </c>
      <c r="H31" s="124" t="s">
        <v>127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189</v>
      </c>
      <c r="B32" s="123" t="s">
        <v>190</v>
      </c>
      <c r="C32" s="124">
        <v>0.48</v>
      </c>
      <c r="D32" s="124" t="s">
        <v>125</v>
      </c>
      <c r="E32" s="124">
        <v>1.3</v>
      </c>
      <c r="F32" s="125" t="s">
        <v>126</v>
      </c>
      <c r="G32" s="126">
        <v>0.6</v>
      </c>
      <c r="H32" s="124" t="s">
        <v>191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192</v>
      </c>
      <c r="B33" s="123" t="s">
        <v>193</v>
      </c>
      <c r="C33" s="124">
        <v>0.42</v>
      </c>
      <c r="D33" s="124" t="s">
        <v>125</v>
      </c>
      <c r="E33" s="124">
        <v>1.3</v>
      </c>
      <c r="F33" s="125" t="s">
        <v>126</v>
      </c>
      <c r="G33" s="126">
        <v>0.6</v>
      </c>
      <c r="H33" s="124" t="s">
        <v>191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194</v>
      </c>
      <c r="B34" s="123" t="s">
        <v>195</v>
      </c>
      <c r="C34" s="124">
        <v>0.42</v>
      </c>
      <c r="D34" s="124" t="s">
        <v>196</v>
      </c>
      <c r="E34" s="124">
        <v>1.3</v>
      </c>
      <c r="F34" s="125" t="s">
        <v>126</v>
      </c>
      <c r="G34" s="126">
        <v>0.6</v>
      </c>
      <c r="H34" s="123" t="s">
        <v>197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198</v>
      </c>
      <c r="B35" s="123" t="s">
        <v>199</v>
      </c>
      <c r="C35" s="124">
        <v>0.5</v>
      </c>
      <c r="D35" s="124" t="s">
        <v>125</v>
      </c>
      <c r="E35" s="124">
        <v>1.56</v>
      </c>
      <c r="F35" s="125" t="s">
        <v>126</v>
      </c>
      <c r="G35" s="126">
        <v>0.43</v>
      </c>
      <c r="H35" s="124" t="s">
        <v>127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200</v>
      </c>
      <c r="B36" s="123" t="s">
        <v>201</v>
      </c>
      <c r="C36" s="124">
        <v>0.55000000000000004</v>
      </c>
      <c r="D36" s="124" t="s">
        <v>125</v>
      </c>
      <c r="E36" s="124">
        <v>1.56</v>
      </c>
      <c r="F36" s="125" t="s">
        <v>126</v>
      </c>
      <c r="G36" s="126">
        <v>0.53</v>
      </c>
      <c r="H36" s="124" t="s">
        <v>179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202</v>
      </c>
      <c r="B37" s="123" t="s">
        <v>203</v>
      </c>
      <c r="C37" s="124">
        <v>0.52</v>
      </c>
      <c r="D37" s="124" t="s">
        <v>125</v>
      </c>
      <c r="E37" s="124">
        <v>1.56</v>
      </c>
      <c r="F37" s="125" t="s">
        <v>126</v>
      </c>
      <c r="G37" s="126">
        <v>0.53</v>
      </c>
      <c r="H37" s="124" t="s">
        <v>179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204</v>
      </c>
      <c r="B38" s="123" t="s">
        <v>205</v>
      </c>
      <c r="C38" s="124">
        <v>0.52</v>
      </c>
      <c r="D38" s="124" t="s">
        <v>125</v>
      </c>
      <c r="E38" s="124">
        <v>1.56</v>
      </c>
      <c r="F38" s="125" t="s">
        <v>126</v>
      </c>
      <c r="G38" s="126">
        <v>0.43</v>
      </c>
      <c r="H38" s="124" t="s">
        <v>127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206</v>
      </c>
      <c r="B39" s="123" t="s">
        <v>207</v>
      </c>
      <c r="C39" s="124">
        <v>0.313</v>
      </c>
      <c r="D39" s="124" t="s">
        <v>208</v>
      </c>
      <c r="E39" s="124">
        <v>1.56</v>
      </c>
      <c r="F39" s="125" t="s">
        <v>126</v>
      </c>
      <c r="G39" s="126">
        <v>0.6</v>
      </c>
      <c r="H39" s="124" t="s">
        <v>209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210</v>
      </c>
      <c r="B40" s="123" t="s">
        <v>207</v>
      </c>
      <c r="C40" s="124">
        <v>0.35199999999999998</v>
      </c>
      <c r="D40" s="124" t="s">
        <v>208</v>
      </c>
      <c r="E40" s="124">
        <v>1.56</v>
      </c>
      <c r="F40" s="125" t="s">
        <v>126</v>
      </c>
      <c r="G40" s="126">
        <v>0.6</v>
      </c>
      <c r="H40" s="124" t="s">
        <v>209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211</v>
      </c>
      <c r="B41" s="123" t="s">
        <v>207</v>
      </c>
      <c r="C41" s="124">
        <v>0.32200000000000001</v>
      </c>
      <c r="D41" s="124" t="s">
        <v>208</v>
      </c>
      <c r="E41" s="124">
        <v>1.56</v>
      </c>
      <c r="F41" s="125" t="s">
        <v>126</v>
      </c>
      <c r="G41" s="126">
        <v>0.6</v>
      </c>
      <c r="H41" s="124" t="s">
        <v>209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212</v>
      </c>
      <c r="B42" s="123" t="s">
        <v>207</v>
      </c>
      <c r="C42" s="124">
        <v>0.311</v>
      </c>
      <c r="D42" s="124" t="s">
        <v>208</v>
      </c>
      <c r="E42" s="124">
        <v>1.56</v>
      </c>
      <c r="F42" s="125" t="s">
        <v>126</v>
      </c>
      <c r="G42" s="126">
        <v>0.6</v>
      </c>
      <c r="H42" s="124" t="s">
        <v>209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213</v>
      </c>
      <c r="B43" s="123" t="s">
        <v>207</v>
      </c>
      <c r="C43" s="124">
        <v>0.33900000000000002</v>
      </c>
      <c r="D43" s="124" t="s">
        <v>208</v>
      </c>
      <c r="E43" s="124">
        <v>1.56</v>
      </c>
      <c r="F43" s="125" t="s">
        <v>126</v>
      </c>
      <c r="G43" s="126">
        <v>0.6</v>
      </c>
      <c r="H43" s="124" t="s">
        <v>209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214</v>
      </c>
      <c r="B44" s="123" t="s">
        <v>207</v>
      </c>
      <c r="C44" s="124">
        <v>0.33600000000000002</v>
      </c>
      <c r="D44" s="124" t="s">
        <v>208</v>
      </c>
      <c r="E44" s="124">
        <v>1.56</v>
      </c>
      <c r="F44" s="125" t="s">
        <v>126</v>
      </c>
      <c r="G44" s="126">
        <v>0.6</v>
      </c>
      <c r="H44" s="124" t="s">
        <v>209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215</v>
      </c>
      <c r="B45" s="123" t="s">
        <v>207</v>
      </c>
      <c r="C45" s="124">
        <v>0.32900000000000001</v>
      </c>
      <c r="D45" s="124" t="s">
        <v>208</v>
      </c>
      <c r="E45" s="124">
        <v>1.56</v>
      </c>
      <c r="F45" s="125" t="s">
        <v>126</v>
      </c>
      <c r="G45" s="126">
        <v>0.6</v>
      </c>
      <c r="H45" s="124" t="s">
        <v>209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216</v>
      </c>
      <c r="B46" s="123" t="s">
        <v>207</v>
      </c>
      <c r="C46" s="124">
        <v>0.34300000000000003</v>
      </c>
      <c r="D46" s="124" t="s">
        <v>208</v>
      </c>
      <c r="E46" s="124">
        <v>1.56</v>
      </c>
      <c r="F46" s="125" t="s">
        <v>126</v>
      </c>
      <c r="G46" s="126">
        <v>0.6</v>
      </c>
      <c r="H46" s="124" t="s">
        <v>209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217</v>
      </c>
      <c r="B47" s="123" t="s">
        <v>207</v>
      </c>
      <c r="C47" s="124">
        <v>0.32500000000000001</v>
      </c>
      <c r="D47" s="124" t="s">
        <v>208</v>
      </c>
      <c r="E47" s="124">
        <v>1.56</v>
      </c>
      <c r="F47" s="125" t="s">
        <v>126</v>
      </c>
      <c r="G47" s="126">
        <v>0.6</v>
      </c>
      <c r="H47" s="124" t="s">
        <v>209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218</v>
      </c>
      <c r="B48" s="123" t="s">
        <v>207</v>
      </c>
      <c r="C48" s="124">
        <v>0.32</v>
      </c>
      <c r="D48" s="124" t="s">
        <v>208</v>
      </c>
      <c r="E48" s="124">
        <v>1.56</v>
      </c>
      <c r="F48" s="125" t="s">
        <v>126</v>
      </c>
      <c r="G48" s="126">
        <v>0.6</v>
      </c>
      <c r="H48" s="124" t="s">
        <v>209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219</v>
      </c>
      <c r="B49" s="123" t="s">
        <v>207</v>
      </c>
      <c r="C49" s="124">
        <v>0.28199999999999997</v>
      </c>
      <c r="D49" s="124" t="s">
        <v>208</v>
      </c>
      <c r="E49" s="124">
        <v>1.56</v>
      </c>
      <c r="F49" s="125" t="s">
        <v>126</v>
      </c>
      <c r="G49" s="126">
        <v>0.6</v>
      </c>
      <c r="H49" s="124" t="s">
        <v>209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220</v>
      </c>
      <c r="B50" s="123" t="s">
        <v>207</v>
      </c>
      <c r="C50" s="124">
        <v>0.32800000000000001</v>
      </c>
      <c r="D50" s="124" t="s">
        <v>208</v>
      </c>
      <c r="E50" s="124">
        <v>1.56</v>
      </c>
      <c r="F50" s="125" t="s">
        <v>126</v>
      </c>
      <c r="G50" s="126">
        <v>0.6</v>
      </c>
      <c r="H50" s="124" t="s">
        <v>209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221</v>
      </c>
      <c r="B51" s="123" t="s">
        <v>207</v>
      </c>
      <c r="C51" s="124">
        <v>0.32600000000000001</v>
      </c>
      <c r="D51" s="124" t="s">
        <v>208</v>
      </c>
      <c r="E51" s="124">
        <v>1.56</v>
      </c>
      <c r="F51" s="125" t="s">
        <v>126</v>
      </c>
      <c r="G51" s="126">
        <v>0.6</v>
      </c>
      <c r="H51" s="124" t="s">
        <v>209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222</v>
      </c>
      <c r="B52" s="123" t="s">
        <v>207</v>
      </c>
      <c r="C52" s="124">
        <v>0.35899999999999999</v>
      </c>
      <c r="D52" s="124" t="s">
        <v>208</v>
      </c>
      <c r="E52" s="124">
        <v>1.56</v>
      </c>
      <c r="F52" s="125" t="s">
        <v>126</v>
      </c>
      <c r="G52" s="126">
        <v>0.6</v>
      </c>
      <c r="H52" s="124" t="s">
        <v>209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223</v>
      </c>
      <c r="B53" s="123" t="s">
        <v>207</v>
      </c>
      <c r="C53" s="124">
        <v>0.34599999999999997</v>
      </c>
      <c r="D53" s="124" t="s">
        <v>208</v>
      </c>
      <c r="E53" s="124">
        <v>1.56</v>
      </c>
      <c r="F53" s="125" t="s">
        <v>126</v>
      </c>
      <c r="G53" s="126">
        <v>0.6</v>
      </c>
      <c r="H53" s="124" t="s">
        <v>209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224</v>
      </c>
      <c r="B54" s="123" t="s">
        <v>207</v>
      </c>
      <c r="C54" s="124">
        <v>0.32600000000000001</v>
      </c>
      <c r="D54" s="124" t="s">
        <v>208</v>
      </c>
      <c r="E54" s="124">
        <v>1.56</v>
      </c>
      <c r="F54" s="125" t="s">
        <v>126</v>
      </c>
      <c r="G54" s="126">
        <v>0.6</v>
      </c>
      <c r="H54" s="124" t="s">
        <v>209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225</v>
      </c>
      <c r="B55" s="123" t="s">
        <v>207</v>
      </c>
      <c r="C55" s="124">
        <v>0.30499999999999999</v>
      </c>
      <c r="D55" s="124" t="s">
        <v>208</v>
      </c>
      <c r="E55" s="124">
        <v>1.56</v>
      </c>
      <c r="F55" s="125" t="s">
        <v>126</v>
      </c>
      <c r="G55" s="126">
        <v>0.6</v>
      </c>
      <c r="H55" s="124" t="s">
        <v>209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226</v>
      </c>
      <c r="B56" s="123" t="s">
        <v>207</v>
      </c>
      <c r="C56" s="124">
        <v>0.32300000000000001</v>
      </c>
      <c r="D56" s="124" t="s">
        <v>208</v>
      </c>
      <c r="E56" s="124">
        <v>1.56</v>
      </c>
      <c r="F56" s="125" t="s">
        <v>126</v>
      </c>
      <c r="G56" s="126">
        <v>0.6</v>
      </c>
      <c r="H56" s="124" t="s">
        <v>209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227</v>
      </c>
      <c r="B57" s="123" t="s">
        <v>207</v>
      </c>
      <c r="C57" s="124">
        <v>0.36699999999999999</v>
      </c>
      <c r="D57" s="124" t="s">
        <v>208</v>
      </c>
      <c r="E57" s="124">
        <v>1.56</v>
      </c>
      <c r="F57" s="125" t="s">
        <v>126</v>
      </c>
      <c r="G57" s="126">
        <v>0.6</v>
      </c>
      <c r="H57" s="124" t="s">
        <v>209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228</v>
      </c>
      <c r="B58" s="123" t="s">
        <v>207</v>
      </c>
      <c r="C58" s="124">
        <v>0.36</v>
      </c>
      <c r="D58" s="124" t="s">
        <v>208</v>
      </c>
      <c r="E58" s="124">
        <v>1.56</v>
      </c>
      <c r="F58" s="125" t="s">
        <v>126</v>
      </c>
      <c r="G58" s="126">
        <v>0.6</v>
      </c>
      <c r="H58" s="124" t="s">
        <v>209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229</v>
      </c>
      <c r="B59" s="123" t="s">
        <v>207</v>
      </c>
      <c r="C59" s="124">
        <v>0.36799999999999999</v>
      </c>
      <c r="D59" s="124" t="s">
        <v>208</v>
      </c>
      <c r="E59" s="124">
        <v>1.56</v>
      </c>
      <c r="F59" s="125" t="s">
        <v>126</v>
      </c>
      <c r="G59" s="126">
        <v>0.6</v>
      </c>
      <c r="H59" s="124" t="s">
        <v>209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230</v>
      </c>
      <c r="B60" s="123" t="s">
        <v>207</v>
      </c>
      <c r="C60" s="124">
        <v>0.30599999999999999</v>
      </c>
      <c r="D60" s="124" t="s">
        <v>208</v>
      </c>
      <c r="E60" s="124">
        <v>1.56</v>
      </c>
      <c r="F60" s="125" t="s">
        <v>126</v>
      </c>
      <c r="G60" s="126">
        <v>0.6</v>
      </c>
      <c r="H60" s="124" t="s">
        <v>209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231</v>
      </c>
      <c r="B61" s="123" t="s">
        <v>207</v>
      </c>
      <c r="C61" s="124">
        <v>0.313</v>
      </c>
      <c r="D61" s="124" t="s">
        <v>208</v>
      </c>
      <c r="E61" s="124">
        <v>1.56</v>
      </c>
      <c r="F61" s="125" t="s">
        <v>126</v>
      </c>
      <c r="G61" s="126">
        <v>0.6</v>
      </c>
      <c r="H61" s="124" t="s">
        <v>209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232</v>
      </c>
      <c r="B62" s="123" t="s">
        <v>233</v>
      </c>
      <c r="C62" s="124">
        <v>0.37</v>
      </c>
      <c r="D62" s="124" t="s">
        <v>125</v>
      </c>
      <c r="E62" s="124">
        <v>1.56</v>
      </c>
      <c r="F62" s="125" t="s">
        <v>126</v>
      </c>
      <c r="G62" s="126">
        <v>0.6</v>
      </c>
      <c r="H62" s="124" t="s">
        <v>209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234</v>
      </c>
      <c r="B63" s="123" t="s">
        <v>235</v>
      </c>
      <c r="C63" s="124">
        <v>0.45</v>
      </c>
      <c r="D63" s="124" t="s">
        <v>125</v>
      </c>
      <c r="E63" s="124">
        <v>1.3</v>
      </c>
      <c r="F63" s="125" t="s">
        <v>126</v>
      </c>
      <c r="G63" s="126">
        <v>0.45</v>
      </c>
      <c r="H63" s="124" t="s">
        <v>236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237</v>
      </c>
      <c r="B64" s="123" t="s">
        <v>238</v>
      </c>
      <c r="C64" s="124">
        <v>0.39</v>
      </c>
      <c r="D64" s="124" t="s">
        <v>125</v>
      </c>
      <c r="E64" s="124">
        <v>1.3</v>
      </c>
      <c r="F64" s="125" t="s">
        <v>126</v>
      </c>
      <c r="G64" s="126">
        <v>0.45</v>
      </c>
      <c r="H64" s="124" t="s">
        <v>236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239</v>
      </c>
      <c r="B65" s="123" t="s">
        <v>240</v>
      </c>
      <c r="C65" s="124">
        <v>0.44</v>
      </c>
      <c r="D65" s="124" t="s">
        <v>125</v>
      </c>
      <c r="E65" s="124">
        <v>1.3</v>
      </c>
      <c r="F65" s="125" t="s">
        <v>126</v>
      </c>
      <c r="G65" s="126">
        <v>0.45</v>
      </c>
      <c r="H65" s="124" t="s">
        <v>236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16</v>
      </c>
      <c r="B66" s="123" t="s">
        <v>241</v>
      </c>
      <c r="C66" s="124">
        <v>0.46</v>
      </c>
      <c r="D66" s="124" t="s">
        <v>125</v>
      </c>
      <c r="E66" s="124">
        <v>1.3</v>
      </c>
      <c r="F66" s="125" t="s">
        <v>126</v>
      </c>
      <c r="G66" s="126">
        <v>0.45</v>
      </c>
      <c r="H66" s="124" t="s">
        <v>236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19</v>
      </c>
      <c r="B67" s="123" t="s">
        <v>242</v>
      </c>
      <c r="C67" s="124">
        <v>0.46</v>
      </c>
      <c r="D67" s="124" t="s">
        <v>125</v>
      </c>
      <c r="E67" s="124">
        <v>1.3</v>
      </c>
      <c r="F67" s="125" t="s">
        <v>126</v>
      </c>
      <c r="G67" s="126">
        <v>0.45</v>
      </c>
      <c r="H67" s="124" t="s">
        <v>150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243</v>
      </c>
      <c r="B68" s="123" t="s">
        <v>244</v>
      </c>
      <c r="C68" s="124">
        <v>0.44</v>
      </c>
      <c r="D68" s="124" t="s">
        <v>125</v>
      </c>
      <c r="E68" s="124">
        <v>1.3</v>
      </c>
      <c r="F68" s="125" t="s">
        <v>126</v>
      </c>
      <c r="G68" s="126">
        <v>0.45</v>
      </c>
      <c r="H68" s="124" t="s">
        <v>236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245</v>
      </c>
      <c r="B69" s="123" t="s">
        <v>246</v>
      </c>
      <c r="C69" s="124">
        <v>0.46</v>
      </c>
      <c r="D69" s="124" t="s">
        <v>125</v>
      </c>
      <c r="E69" s="124">
        <v>1.3</v>
      </c>
      <c r="F69" s="125" t="s">
        <v>126</v>
      </c>
      <c r="G69" s="126">
        <v>0.45</v>
      </c>
      <c r="H69" s="124" t="s">
        <v>236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247</v>
      </c>
      <c r="B70" s="123" t="s">
        <v>248</v>
      </c>
      <c r="C70" s="124">
        <v>0.48</v>
      </c>
      <c r="D70" s="124" t="s">
        <v>125</v>
      </c>
      <c r="E70" s="124">
        <v>2.4</v>
      </c>
      <c r="F70" s="124" t="s">
        <v>249</v>
      </c>
      <c r="G70" s="126">
        <v>0.45</v>
      </c>
      <c r="H70" s="124" t="s">
        <v>236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250</v>
      </c>
      <c r="B71" s="123" t="s">
        <v>251</v>
      </c>
      <c r="C71" s="124">
        <v>0.46</v>
      </c>
      <c r="D71" s="124" t="s">
        <v>252</v>
      </c>
      <c r="E71" s="124">
        <v>1.3</v>
      </c>
      <c r="F71" s="125" t="s">
        <v>126</v>
      </c>
      <c r="G71" s="126">
        <v>0.45</v>
      </c>
      <c r="H71" s="124" t="s">
        <v>236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253</v>
      </c>
      <c r="B72" s="123" t="s">
        <v>254</v>
      </c>
      <c r="C72" s="124">
        <v>0.44</v>
      </c>
      <c r="D72" s="124" t="s">
        <v>125</v>
      </c>
      <c r="E72" s="124">
        <v>1.3</v>
      </c>
      <c r="F72" s="125" t="s">
        <v>126</v>
      </c>
      <c r="G72" s="126">
        <v>0.45</v>
      </c>
      <c r="H72" s="124" t="s">
        <v>236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25</v>
      </c>
      <c r="B73" s="123" t="s">
        <v>255</v>
      </c>
      <c r="C73" s="124">
        <v>0.46</v>
      </c>
      <c r="D73" s="124" t="s">
        <v>256</v>
      </c>
      <c r="E73" s="124">
        <v>1.3</v>
      </c>
      <c r="F73" s="125" t="s">
        <v>126</v>
      </c>
      <c r="G73" s="126">
        <v>0.45</v>
      </c>
      <c r="H73" s="124" t="s">
        <v>236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257</v>
      </c>
      <c r="B74" s="123" t="s">
        <v>258</v>
      </c>
      <c r="C74" s="124">
        <v>0.34</v>
      </c>
      <c r="D74" s="124" t="s">
        <v>125</v>
      </c>
      <c r="E74" s="124">
        <v>1.3</v>
      </c>
      <c r="F74" s="125" t="s">
        <v>126</v>
      </c>
      <c r="G74" s="126">
        <v>0.45</v>
      </c>
      <c r="H74" s="124" t="s">
        <v>236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259</v>
      </c>
      <c r="B75" s="123" t="s">
        <v>260</v>
      </c>
      <c r="C75" s="124">
        <v>0.5</v>
      </c>
      <c r="D75" s="124" t="s">
        <v>125</v>
      </c>
      <c r="E75" s="124">
        <v>1.56</v>
      </c>
      <c r="F75" s="125" t="s">
        <v>126</v>
      </c>
      <c r="G75" s="126">
        <v>0.53</v>
      </c>
      <c r="H75" s="124" t="s">
        <v>179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261</v>
      </c>
      <c r="B76" s="123" t="s">
        <v>262</v>
      </c>
      <c r="C76" s="124">
        <v>0.57999999999999996</v>
      </c>
      <c r="D76" s="124" t="s">
        <v>125</v>
      </c>
      <c r="E76" s="124">
        <v>1.56</v>
      </c>
      <c r="F76" s="125" t="s">
        <v>126</v>
      </c>
      <c r="G76" s="126">
        <v>0.3</v>
      </c>
      <c r="H76" s="124" t="s">
        <v>263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264</v>
      </c>
      <c r="B77" s="123" t="s">
        <v>265</v>
      </c>
      <c r="C77" s="124">
        <v>0.37</v>
      </c>
      <c r="D77" s="124" t="s">
        <v>125</v>
      </c>
      <c r="E77" s="124">
        <v>1.3</v>
      </c>
      <c r="F77" s="125" t="s">
        <v>126</v>
      </c>
      <c r="G77" s="126">
        <v>0.55000000000000004</v>
      </c>
      <c r="H77" s="124" t="s">
        <v>150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266</v>
      </c>
      <c r="B78" s="123" t="s">
        <v>267</v>
      </c>
      <c r="C78" s="124">
        <v>0.37</v>
      </c>
      <c r="D78" s="124" t="s">
        <v>125</v>
      </c>
      <c r="E78" s="124">
        <v>1.3</v>
      </c>
      <c r="F78" s="125" t="s">
        <v>126</v>
      </c>
      <c r="G78" s="126">
        <v>0.55000000000000004</v>
      </c>
      <c r="H78" s="124" t="s">
        <v>150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268</v>
      </c>
      <c r="B79" s="123" t="s">
        <v>269</v>
      </c>
      <c r="C79" s="124">
        <v>0.38</v>
      </c>
      <c r="D79" s="124" t="s">
        <v>125</v>
      </c>
      <c r="E79" s="124">
        <v>1.3</v>
      </c>
      <c r="F79" s="125" t="s">
        <v>126</v>
      </c>
      <c r="G79" s="126">
        <v>0.55000000000000004</v>
      </c>
      <c r="H79" s="124" t="s">
        <v>142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270</v>
      </c>
      <c r="B80" s="123" t="s">
        <v>271</v>
      </c>
      <c r="C80" s="124">
        <v>0.36</v>
      </c>
      <c r="D80" s="124" t="s">
        <v>125</v>
      </c>
      <c r="E80" s="124">
        <v>1.3</v>
      </c>
      <c r="F80" s="125" t="s">
        <v>126</v>
      </c>
      <c r="G80" s="126">
        <v>0.55000000000000004</v>
      </c>
      <c r="H80" s="124" t="s">
        <v>142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272</v>
      </c>
      <c r="B81" s="123" t="s">
        <v>273</v>
      </c>
      <c r="C81" s="124">
        <v>0.37</v>
      </c>
      <c r="D81" s="124" t="s">
        <v>125</v>
      </c>
      <c r="E81" s="124">
        <v>1.56</v>
      </c>
      <c r="F81" s="125" t="s">
        <v>126</v>
      </c>
      <c r="G81" s="126">
        <v>0.43</v>
      </c>
      <c r="H81" s="124" t="s">
        <v>127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274</v>
      </c>
      <c r="B82" s="123" t="s">
        <v>275</v>
      </c>
      <c r="C82" s="124">
        <v>0.35</v>
      </c>
      <c r="D82" s="124" t="s">
        <v>276</v>
      </c>
      <c r="E82" s="124">
        <v>1.3</v>
      </c>
      <c r="F82" s="125" t="s">
        <v>126</v>
      </c>
      <c r="G82" s="126">
        <v>0.55000000000000004</v>
      </c>
      <c r="H82" s="124" t="s">
        <v>142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277</v>
      </c>
      <c r="B83" s="123" t="s">
        <v>278</v>
      </c>
      <c r="C83" s="124">
        <v>0.34</v>
      </c>
      <c r="D83" s="124" t="s">
        <v>125</v>
      </c>
      <c r="E83" s="124">
        <v>1.3</v>
      </c>
      <c r="F83" s="125" t="s">
        <v>126</v>
      </c>
      <c r="G83" s="126">
        <v>0.55000000000000004</v>
      </c>
      <c r="H83" s="124" t="s">
        <v>142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279</v>
      </c>
      <c r="B84" s="123" t="s">
        <v>280</v>
      </c>
      <c r="C84" s="124">
        <v>0.31</v>
      </c>
      <c r="D84" s="124" t="s">
        <v>125</v>
      </c>
      <c r="E84" s="124">
        <v>1.3</v>
      </c>
      <c r="F84" s="125" t="s">
        <v>126</v>
      </c>
      <c r="G84" s="126">
        <v>0.55000000000000004</v>
      </c>
      <c r="H84" s="124" t="s">
        <v>142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281</v>
      </c>
      <c r="B85" s="123" t="s">
        <v>282</v>
      </c>
      <c r="C85" s="124">
        <v>0.43</v>
      </c>
      <c r="D85" s="124" t="s">
        <v>125</v>
      </c>
      <c r="E85" s="124">
        <v>1.56</v>
      </c>
      <c r="F85" s="125" t="s">
        <v>126</v>
      </c>
      <c r="G85" s="126">
        <v>0.53</v>
      </c>
      <c r="H85" s="124" t="s">
        <v>179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283</v>
      </c>
      <c r="B86" s="123" t="s">
        <v>284</v>
      </c>
      <c r="C86" s="124">
        <v>0.38</v>
      </c>
      <c r="D86" s="124" t="s">
        <v>125</v>
      </c>
      <c r="E86" s="124">
        <v>1.56</v>
      </c>
      <c r="F86" s="125" t="s">
        <v>126</v>
      </c>
      <c r="G86" s="126">
        <v>0.6</v>
      </c>
      <c r="H86" s="124" t="s">
        <v>285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286</v>
      </c>
      <c r="B87" s="252" t="s">
        <v>287</v>
      </c>
      <c r="C87" s="253">
        <v>0.41</v>
      </c>
      <c r="D87" s="253" t="s">
        <v>288</v>
      </c>
      <c r="E87" s="253">
        <v>1.56</v>
      </c>
      <c r="F87" s="254" t="s">
        <v>126</v>
      </c>
      <c r="G87" s="255">
        <v>0.43</v>
      </c>
      <c r="H87" s="253" t="s">
        <v>127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289</v>
      </c>
      <c r="B88" s="130"/>
      <c r="C88" s="124">
        <v>0.42</v>
      </c>
      <c r="D88" s="124" t="s">
        <v>125</v>
      </c>
      <c r="E88" s="124">
        <v>1.3</v>
      </c>
      <c r="F88" s="125" t="s">
        <v>126</v>
      </c>
      <c r="G88" s="131"/>
      <c r="H88" s="130"/>
      <c r="I88" s="132"/>
    </row>
    <row r="89" spans="1:14" ht="15" thickBot="1" x14ac:dyDescent="0.4">
      <c r="A89" s="133" t="s">
        <v>290</v>
      </c>
      <c r="B89" s="134"/>
      <c r="C89" s="135">
        <v>0.56999999999999995</v>
      </c>
      <c r="D89" s="136" t="s">
        <v>125</v>
      </c>
      <c r="E89" s="135">
        <v>1.56</v>
      </c>
      <c r="F89" s="135" t="s">
        <v>126</v>
      </c>
      <c r="G89" s="134"/>
      <c r="H89" s="134"/>
      <c r="I89" s="137"/>
    </row>
    <row r="93" spans="1:14" x14ac:dyDescent="0.35">
      <c r="A93" s="122" t="s">
        <v>86</v>
      </c>
    </row>
    <row r="94" spans="1:14" x14ac:dyDescent="0.35">
      <c r="A94" s="122" t="s">
        <v>87</v>
      </c>
    </row>
    <row r="95" spans="1:14" x14ac:dyDescent="0.35">
      <c r="A95" s="122" t="s">
        <v>88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21" sqref="M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291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292</v>
      </c>
      <c r="B5" s="139" t="s">
        <v>293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294</v>
      </c>
      <c r="F5" s="140" t="s">
        <v>295</v>
      </c>
      <c r="G5" s="140" t="s">
        <v>296</v>
      </c>
      <c r="H5" s="141" t="s">
        <v>297</v>
      </c>
      <c r="I5" s="142" t="s">
        <v>298</v>
      </c>
      <c r="J5" s="143" t="s">
        <v>299</v>
      </c>
      <c r="K5" s="144" t="s">
        <v>300</v>
      </c>
      <c r="L5" s="84" t="s">
        <v>301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laricio</v>
      </c>
      <c r="B6" s="146">
        <f>'Données projet'!D9</f>
        <v>2.5451999999999999</v>
      </c>
      <c r="C6" s="147">
        <f ca="1">IF(OR('Données projet'!B9="",'Données projet'!C9="",'Données projet'!C9=0%),0,Calculateur!S3)</f>
        <v>262.42149466677068</v>
      </c>
      <c r="D6" s="147">
        <f>IF(OR('Données projet'!B9="",'Données projet'!C9="",'Données projet'!C9=0%),0,Calculateur!T3)</f>
        <v>232.7693253699756</v>
      </c>
      <c r="E6" s="147">
        <f ca="1">MIN(C6,D6)</f>
        <v>232.7693253699756</v>
      </c>
      <c r="F6" s="147">
        <f ca="1">E6*B6</f>
        <v>592.44448693166191</v>
      </c>
      <c r="G6" s="147">
        <f ca="1">F6*(100%-'Données projet'!$C$24)*(100%-'Données projet'!$C$25)*(100%-'Données projet'!$C$26)*(100%-'Données projet'!$C$27)</f>
        <v>533.20003823849572</v>
      </c>
      <c r="H6" s="148">
        <f>IF(OR('Données projet'!B9="",'Données projet'!C9="",'Données projet'!C9=0%),0,AVERAGE(Calculateur!$AC$3:$AC$33)*B6)</f>
        <v>21.206085624757929</v>
      </c>
      <c r="I6" s="149">
        <f>H6*(100%-'Données projet'!$C$24)*(100%-'Données projet'!$C$25)*(100%-'Données projet'!$C$26)*(100%-'Données projet'!$C$27)</f>
        <v>19.085477062282138</v>
      </c>
      <c r="J6" s="150">
        <f>IF(OR('Données projet'!B9="",'Données projet'!C9="",'Données projet'!C9=0%),0,SUM(Calculateur!$V$3:$V$33)*VLOOKUP('Données projet'!$B$9,Paramètres!$A$1:$I$89,9,0)*B6)</f>
        <v>156.3107170153846</v>
      </c>
      <c r="K6" s="151">
        <f>J6*(100%-'Données projet'!$C$24)*(100%-'Données projet'!$C$25)*(100%-'Données projet'!$C$26)*(100%-'Données projet'!$C$27)</f>
        <v>140.67964531384615</v>
      </c>
      <c r="L6" s="152">
        <f ca="1">G6+I6+K6</f>
        <v>692.96516061462398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maritime</v>
      </c>
      <c r="B7" s="154">
        <f>'Données projet'!D10</f>
        <v>1.9796000000000002</v>
      </c>
      <c r="C7" s="147">
        <f ca="1">IF(OR('Données projet'!B10="",'Données projet'!C10="",'Données projet'!C10=0%),0,Calculateur!AN3)</f>
        <v>249.37919739649828</v>
      </c>
      <c r="D7" s="147">
        <f>IF(OR('Données projet'!B10="",'Données projet'!C10="",'Données projet'!C10=0%),0,Calculateur!AO3)</f>
        <v>315.05045383693073</v>
      </c>
      <c r="E7" s="147">
        <f t="shared" ref="E7:E15" ca="1" si="0">MIN(C7,D7)</f>
        <v>249.37919739649828</v>
      </c>
      <c r="F7" s="147">
        <f t="shared" ref="F7:F15" ca="1" si="1">E7*B7</f>
        <v>493.67105916610808</v>
      </c>
      <c r="G7" s="147">
        <f ca="1">F7*(100%-'Données projet'!$C$24)*(100%-'Données projet'!$C$25)*(100%-'Données projet'!$C$26)*(100%-'Données projet'!$C$27)</f>
        <v>444.30395324949728</v>
      </c>
      <c r="H7" s="155">
        <f>IF(OR('Données projet'!B10="",'Données projet'!C10="",'Données projet'!C10=0%),0,AVERAGE(Calculateur!$AX$3:$AX$33)*B7)</f>
        <v>25.772299774115879</v>
      </c>
      <c r="I7" s="149">
        <f>H7*(100%-'Données projet'!$C$24)*(100%-'Données projet'!$C$25)*(100%-'Données projet'!$C$26)*(100%-'Données projet'!$C$27)</f>
        <v>23.195069796704292</v>
      </c>
      <c r="J7" s="150">
        <f>IF(OR('Données projet'!B10="",'Données projet'!C10="",'Données projet'!C10=0%),0,SUM(Calculateur!$AQ$3:$AQ$33)*VLOOKUP('Données projet'!$B$10,Paramètres!$A$1:$I$89,9,0)*B7)</f>
        <v>169.92977766153848</v>
      </c>
      <c r="K7" s="151">
        <f>J7*(100%-'Données projet'!$C$24)*(100%-'Données projet'!$C$25)*(100%-'Données projet'!$C$26)*(100%-'Données projet'!$C$27)</f>
        <v>152.93679989538464</v>
      </c>
      <c r="L7" s="152">
        <f t="shared" ref="L7:L15" ca="1" si="2">G7+I7+K7</f>
        <v>620.43582294158614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1.2726</v>
      </c>
      <c r="C8" s="147">
        <f ca="1">IF(OR('Données projet'!B11="",'Données projet'!C11="",'Données projet'!C11=0%),0,Calculateur!BI3)</f>
        <v>186.80594222554424</v>
      </c>
      <c r="D8" s="147">
        <f>IF(OR('Données projet'!B11="",'Données projet'!C11="",'Données projet'!C11=0%),0,Calculateur!BJ3)</f>
        <v>179.02867751001872</v>
      </c>
      <c r="E8" s="147">
        <f t="shared" ca="1" si="0"/>
        <v>179.02867751001872</v>
      </c>
      <c r="F8" s="147">
        <f t="shared" ca="1" si="1"/>
        <v>227.83189499924981</v>
      </c>
      <c r="G8" s="147">
        <f ca="1">F8*(100%-'Données projet'!$C$24)*(100%-'Données projet'!$C$25)*(100%-'Données projet'!$C$26)*(100%-'Données projet'!$C$27)</f>
        <v>205.04870549932483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205.04870549932483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0.56559999999999999</v>
      </c>
      <c r="C9" s="147">
        <f ca="1">IF(OR('Données projet'!B12="",'Données projet'!C12="",'Données projet'!C12=0%),0,Calculateur!CD3)</f>
        <v>265.17389489035344</v>
      </c>
      <c r="D9" s="147">
        <f>IF(OR('Données projet'!B12="",'Données projet'!C12="",'Données projet'!C12=0%),0,Calculateur!CE3)</f>
        <v>101.57852403610769</v>
      </c>
      <c r="E9" s="147">
        <f t="shared" ca="1" si="0"/>
        <v>101.57852403610769</v>
      </c>
      <c r="F9" s="147">
        <f t="shared" ca="1" si="1"/>
        <v>57.452813194822511</v>
      </c>
      <c r="G9" s="147">
        <f ca="1">F9*(100%-'Données projet'!$C$24)*(100%-'Données projet'!$C$25)*(100%-'Données projet'!$C$26)*(100%-'Données projet'!$C$27)</f>
        <v>51.707531875340258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51.707531875340258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Pin taeda</v>
      </c>
      <c r="B10" s="154">
        <f>'Données projet'!D13</f>
        <v>0.49490000000000006</v>
      </c>
      <c r="C10" s="147">
        <f ca="1">IF(OR('Données projet'!B13="",'Données projet'!C13="",'Données projet'!C13=0%),0,Calculateur!CY3)</f>
        <v>182.34243693018033</v>
      </c>
      <c r="D10" s="147">
        <f>IF(OR('Données projet'!B13="",'Données projet'!C13="",'Données projet'!C13=0%),0,Calculateur!CZ3)</f>
        <v>182.65916563909786</v>
      </c>
      <c r="E10" s="147">
        <f t="shared" ca="1" si="0"/>
        <v>182.34243693018033</v>
      </c>
      <c r="F10" s="147">
        <f t="shared" ca="1" si="1"/>
        <v>90.241272036746253</v>
      </c>
      <c r="G10" s="147">
        <f ca="1">F10*(100%-'Données projet'!$C$24)*(100%-'Données projet'!$C$25)*(100%-'Données projet'!$C$26)*(100%-'Données projet'!$C$27)</f>
        <v>81.217144833071629</v>
      </c>
      <c r="H10" s="155">
        <f>IF(OR('Données projet'!B13="",'Données projet'!C13="",'Données projet'!C13=0%),0,AVERAGE(Calculateur!$DI$3:$DI$33)*B10)</f>
        <v>4.908865255401424</v>
      </c>
      <c r="I10" s="149">
        <f>H10*(100%-'Données projet'!$C$24)*(100%-'Données projet'!$C$25)*(100%-'Données projet'!$C$26)*(100%-'Données projet'!$C$27)</f>
        <v>4.4179787298612814</v>
      </c>
      <c r="J10" s="150">
        <f>IF(OR('Données projet'!B13="",'Données projet'!C13="",'Données projet'!C13=0%),0,SUM(Calculateur!$DB$3:$DB$33)*VLOOKUP('Données projet'!$B$13,Paramètres!$A$1:$I$89,9,0)*B10)</f>
        <v>30.611468461538465</v>
      </c>
      <c r="K10" s="151">
        <f>J10*(100%-'Données projet'!$C$24)*(100%-'Données projet'!$C$25)*(100%-'Données projet'!$C$26)*(100%-'Données projet'!$C$27)</f>
        <v>27.550321615384618</v>
      </c>
      <c r="L10" s="152">
        <f t="shared" ca="1" si="2"/>
        <v>113.18544517831752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Charme</v>
      </c>
      <c r="B11" s="154">
        <f>'Données projet'!D14</f>
        <v>0.21210000000000001</v>
      </c>
      <c r="C11" s="147">
        <f ca="1">IF(OR('Données projet'!B14="",'Données projet'!C14="",'Données projet'!C14=0%),0,Calculateur!DT3)</f>
        <v>286.10360882057586</v>
      </c>
      <c r="D11" s="147">
        <f>IF(OR('Données projet'!B14="",'Données projet'!C14="",'Données projet'!C14=0%),0,Calculateur!DU3)</f>
        <v>109.24531387923128</v>
      </c>
      <c r="E11" s="147">
        <f t="shared" ca="1" si="0"/>
        <v>109.24531387923128</v>
      </c>
      <c r="F11" s="147">
        <f t="shared" ca="1" si="1"/>
        <v>23.170931073784956</v>
      </c>
      <c r="G11" s="147">
        <f ca="1">F11*(100%-'Données projet'!$C$24)*(100%-'Données projet'!$C$25)*(100%-'Données projet'!$C$26)*(100%-'Données projet'!$C$27)</f>
        <v>20.853837966406463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20.853837966406463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1484.8124574023734</v>
      </c>
      <c r="G16" s="166">
        <f t="shared" ca="1" si="3"/>
        <v>1336.3312116621362</v>
      </c>
      <c r="H16" s="167">
        <f t="shared" si="3"/>
        <v>51.887250654275235</v>
      </c>
      <c r="I16" s="167">
        <f t="shared" si="3"/>
        <v>46.698525588847708</v>
      </c>
      <c r="J16" s="168">
        <f t="shared" si="3"/>
        <v>356.85196313846154</v>
      </c>
      <c r="K16" s="168">
        <f t="shared" si="3"/>
        <v>321.16676682461542</v>
      </c>
      <c r="L16" s="169">
        <f t="shared" ca="1" si="3"/>
        <v>1704.196504075599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302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Pin taeda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0" zoomScaleNormal="80" workbookViewId="0">
      <selection activeCell="L11" sqref="L1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303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304</v>
      </c>
      <c r="I4" s="262"/>
      <c r="K4" s="286" t="s">
        <v>305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71</v>
      </c>
      <c r="O7" s="247"/>
      <c r="P7" s="248"/>
      <c r="Q7" s="249"/>
      <c r="R7" s="296" t="s">
        <v>306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307</v>
      </c>
      <c r="C9" s="23"/>
      <c r="D9" s="23"/>
      <c r="E9" s="23"/>
      <c r="F9" s="230"/>
      <c r="G9" s="93" t="s">
        <v>308</v>
      </c>
      <c r="J9" s="200"/>
      <c r="K9" s="208"/>
      <c r="O9" s="23"/>
      <c r="P9" s="23"/>
      <c r="Q9" s="234"/>
      <c r="R9" s="23"/>
      <c r="S9" s="4"/>
      <c r="T9" s="36" t="s">
        <v>309</v>
      </c>
      <c r="U9" s="176" t="s">
        <v>310</v>
      </c>
      <c r="V9" s="36" t="s">
        <v>311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312</v>
      </c>
      <c r="C10" s="23"/>
      <c r="D10" s="23"/>
      <c r="E10" s="23"/>
      <c r="F10" s="230"/>
      <c r="G10" s="93" t="s">
        <v>313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-7906.1251947534765</v>
      </c>
      <c r="U10" s="178">
        <f>'Données projet'!D9</f>
        <v>2.5451999999999999</v>
      </c>
      <c r="V10" s="177">
        <f>U10*T10</f>
        <v>-20122.669845686549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314</v>
      </c>
      <c r="B11" s="23"/>
      <c r="C11" s="23"/>
      <c r="D11" s="23"/>
      <c r="E11" s="23"/>
      <c r="F11" s="230"/>
      <c r="G11" s="93" t="s">
        <v>315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-5473.6893529730205</v>
      </c>
      <c r="U11" s="178">
        <f>'Données projet'!D10</f>
        <v>1.9796000000000002</v>
      </c>
      <c r="V11" s="177">
        <f t="shared" ref="V11" si="0">U11*T11</f>
        <v>-10835.715443145393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-6884.0142419651775</v>
      </c>
      <c r="U12" s="178">
        <f>'Données projet'!D11</f>
        <v>1.2726</v>
      </c>
      <c r="V12" s="177">
        <f t="shared" ref="V12:V19" si="1">U12*T12</f>
        <v>-8760.5965243248847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316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-4901.8713084631036</v>
      </c>
      <c r="U13" s="178">
        <f>'Données projet'!D12</f>
        <v>0.56559999999999999</v>
      </c>
      <c r="V13" s="177">
        <f t="shared" si="1"/>
        <v>-2772.4984120667314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90</v>
      </c>
      <c r="I14" s="36" t="s">
        <v>317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taeda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-4266.425192114868</v>
      </c>
      <c r="U14" s="178">
        <f>'Données projet'!D13</f>
        <v>0.49490000000000006</v>
      </c>
      <c r="V14" s="177">
        <f t="shared" si="1"/>
        <v>-2111.4538275776486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Charme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-6429.965758355278</v>
      </c>
      <c r="U15" s="178">
        <f>'Données projet'!D14</f>
        <v>0.21210000000000001</v>
      </c>
      <c r="V15" s="177">
        <f t="shared" si="1"/>
        <v>-1363.7957373471545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50</v>
      </c>
      <c r="B16" s="48" t="s">
        <v>319</v>
      </c>
      <c r="C16" s="48" t="s">
        <v>320</v>
      </c>
      <c r="D16" s="36" t="s">
        <v>321</v>
      </c>
      <c r="E16" s="36" t="s">
        <v>322</v>
      </c>
      <c r="F16" s="230"/>
      <c r="G16" s="289"/>
      <c r="H16" s="190"/>
      <c r="I16" s="191"/>
      <c r="J16" s="202"/>
      <c r="K16" s="208"/>
      <c r="L16" s="286" t="s">
        <v>323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207</v>
      </c>
      <c r="C17" s="198" t="s">
        <v>207</v>
      </c>
      <c r="D17" s="197" t="s">
        <v>207</v>
      </c>
      <c r="E17" s="193">
        <f>1932+1860+895+780+785+325</f>
        <v>6577</v>
      </c>
      <c r="F17" s="230"/>
      <c r="G17" s="289"/>
      <c r="J17" s="202"/>
      <c r="K17" s="208"/>
      <c r="L17" s="259" t="s">
        <v>324</v>
      </c>
      <c r="M17" s="261"/>
      <c r="N17" s="175">
        <f>VLOOKUP(N16,Calculateur!$A$2:$H$153,3,0)/VLOOKUP('Scénario référence'!$G$15,Paramètres!A1:I89,3,0)/VLOOKUP('Scénario référence'!$G$15,Paramètres!A1:I89,5,0)</f>
        <v>49.999999999999972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207</v>
      </c>
      <c r="C18" s="198" t="s">
        <v>207</v>
      </c>
      <c r="D18" s="197" t="s">
        <v>207</v>
      </c>
      <c r="E18" s="193">
        <v>745</v>
      </c>
      <c r="F18" s="230"/>
      <c r="G18" s="289"/>
      <c r="J18" s="202"/>
      <c r="K18" s="208"/>
      <c r="L18" s="259" t="s">
        <v>320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207</v>
      </c>
      <c r="C19" s="198" t="s">
        <v>207</v>
      </c>
      <c r="D19" s="197" t="s">
        <v>207</v>
      </c>
      <c r="E19" s="193"/>
      <c r="F19" s="230"/>
      <c r="G19" s="289"/>
      <c r="H19" s="212" t="s">
        <v>90</v>
      </c>
      <c r="I19" s="212" t="s">
        <v>325</v>
      </c>
      <c r="J19" s="93"/>
      <c r="K19" s="173"/>
      <c r="L19" s="286" t="s">
        <v>326</v>
      </c>
      <c r="M19" s="287"/>
      <c r="N19" s="179">
        <f>N17*N18</f>
        <v>1499.9999999999991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207</v>
      </c>
      <c r="C20" s="198" t="s">
        <v>207</v>
      </c>
      <c r="D20" s="197" t="s">
        <v>207</v>
      </c>
      <c r="E20" s="193">
        <v>830</v>
      </c>
      <c r="F20" s="230"/>
      <c r="G20" s="289"/>
      <c r="H20" s="190">
        <v>1</v>
      </c>
      <c r="I20" s="191">
        <v>7134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207</v>
      </c>
      <c r="C21" s="198" t="s">
        <v>207</v>
      </c>
      <c r="D21" s="197" t="s">
        <v>207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207</v>
      </c>
      <c r="C22" s="198" t="s">
        <v>207</v>
      </c>
      <c r="D22" s="197" t="s">
        <v>207</v>
      </c>
      <c r="E22" s="193">
        <v>1489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19</v>
      </c>
      <c r="B23" s="181">
        <f>'Données projet'!D36</f>
        <v>46.53846153846154</v>
      </c>
      <c r="C23" s="193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288" t="s">
        <v>327</v>
      </c>
      <c r="M23" s="288"/>
      <c r="N23" s="288"/>
      <c r="O23" s="23"/>
      <c r="P23" s="23"/>
      <c r="Q23" s="234"/>
      <c r="R23" s="23"/>
      <c r="S23" s="36" t="s">
        <v>328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-94232.165196846923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40.41538461538461</v>
      </c>
      <c r="C24" s="193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329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1174.0758378857404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55.869230769230761</v>
      </c>
      <c r="C25" s="193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330</v>
      </c>
      <c r="M25" s="130"/>
      <c r="N25" s="130"/>
      <c r="O25" s="130"/>
      <c r="P25" s="192"/>
      <c r="Q25" s="234"/>
      <c r="R25" s="23"/>
      <c r="S25" s="186" t="s">
        <v>331</v>
      </c>
      <c r="T25" s="303">
        <f ca="1">T23-T24</f>
        <v>-95406.241034732666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37</v>
      </c>
      <c r="B26" s="181">
        <f>'Données projet'!D39</f>
        <v>43.623076923076923</v>
      </c>
      <c r="C26" s="193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90" t="s">
        <v>332</v>
      </c>
      <c r="M26" s="291"/>
      <c r="N26" s="291"/>
      <c r="O26" s="291"/>
      <c r="P26" s="292"/>
      <c r="Q26" s="234"/>
      <c r="R26" s="23"/>
      <c r="S26" s="186" t="s">
        <v>333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334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56</v>
      </c>
      <c r="B28" s="181">
        <f>'Données projet'!D41</f>
        <v>60.092307692307692</v>
      </c>
      <c r="C28" s="193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66</v>
      </c>
      <c r="B29" s="181">
        <f>'Données projet'!D42</f>
        <v>68.146153846153851</v>
      </c>
      <c r="C29" s="193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76</v>
      </c>
      <c r="B30" s="181">
        <f>'Données projet'!D43</f>
        <v>520.22307692307686</v>
      </c>
      <c r="C30" s="193">
        <v>25</v>
      </c>
      <c r="D30" s="182">
        <f t="shared" si="2"/>
        <v>13005.576923076922</v>
      </c>
      <c r="E30" s="193">
        <v>150</v>
      </c>
      <c r="F30" s="233"/>
      <c r="G30" s="203"/>
      <c r="H30" s="190"/>
      <c r="I30" s="191"/>
      <c r="K30" s="183"/>
      <c r="L30" s="36" t="s">
        <v>335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90</v>
      </c>
      <c r="P32" s="85" t="s">
        <v>321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50</v>
      </c>
      <c r="B47" s="48" t="s">
        <v>319</v>
      </c>
      <c r="C47" s="48" t="s">
        <v>320</v>
      </c>
      <c r="D47" s="36" t="s">
        <v>321</v>
      </c>
      <c r="E47" s="36" t="s">
        <v>322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207</v>
      </c>
      <c r="C48" s="198" t="s">
        <v>207</v>
      </c>
      <c r="D48" s="197" t="s">
        <v>207</v>
      </c>
      <c r="E48" s="193">
        <f>1242+1860+895+780+785+325</f>
        <v>5887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207</v>
      </c>
      <c r="C49" s="198" t="s">
        <v>207</v>
      </c>
      <c r="D49" s="197" t="s">
        <v>207</v>
      </c>
      <c r="E49" s="193">
        <v>745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207</v>
      </c>
      <c r="C50" s="198" t="s">
        <v>207</v>
      </c>
      <c r="D50" s="197" t="s">
        <v>207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207</v>
      </c>
      <c r="C51" s="198" t="s">
        <v>207</v>
      </c>
      <c r="D51" s="197" t="s">
        <v>207</v>
      </c>
      <c r="E51" s="193">
        <v>830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207</v>
      </c>
      <c r="C52" s="198" t="s">
        <v>207</v>
      </c>
      <c r="D52" s="197" t="s">
        <v>207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207</v>
      </c>
      <c r="C53" s="198" t="s">
        <v>207</v>
      </c>
      <c r="D53" s="197" t="s">
        <v>207</v>
      </c>
      <c r="E53" s="193">
        <v>1489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15</v>
      </c>
      <c r="B54" s="181">
        <f>'Données projet'!D62</f>
        <v>49.784615384615385</v>
      </c>
      <c r="C54" s="191">
        <v>10</v>
      </c>
      <c r="D54" s="179">
        <f>B54*C54</f>
        <v>497.84615384615387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20</v>
      </c>
      <c r="B55" s="181">
        <f>'Données projet'!D63</f>
        <v>48.723076923076924</v>
      </c>
      <c r="C55" s="191">
        <v>18</v>
      </c>
      <c r="D55" s="179">
        <f t="shared" ref="D55:D73" si="4">B55*C55</f>
        <v>877.01538461538462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26</v>
      </c>
      <c r="B56" s="181">
        <f>'Données projet'!D64</f>
        <v>46.984615384615381</v>
      </c>
      <c r="C56" s="191">
        <v>25</v>
      </c>
      <c r="D56" s="179">
        <f t="shared" si="4"/>
        <v>1174.6153846153845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64.523076923076914</v>
      </c>
      <c r="C57" s="191">
        <v>25</v>
      </c>
      <c r="D57" s="179">
        <f t="shared" si="4"/>
        <v>1613.0769230769229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92.661538461538456</v>
      </c>
      <c r="C58" s="191">
        <v>35</v>
      </c>
      <c r="D58" s="179">
        <f t="shared" si="4"/>
        <v>3243.1538461538457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48</v>
      </c>
      <c r="B59" s="181">
        <f>'Données projet'!D67</f>
        <v>83.969230769230762</v>
      </c>
      <c r="C59" s="191">
        <v>35</v>
      </c>
      <c r="D59" s="179">
        <f t="shared" si="4"/>
        <v>2938.9230769230767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56</v>
      </c>
      <c r="B60" s="181">
        <f>'Données projet'!D68</f>
        <v>446.47692307692301</v>
      </c>
      <c r="C60" s="191">
        <v>35</v>
      </c>
      <c r="D60" s="179">
        <f t="shared" si="4"/>
        <v>15626.692307692305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50</v>
      </c>
      <c r="B78" s="48" t="s">
        <v>319</v>
      </c>
      <c r="C78" s="48" t="s">
        <v>320</v>
      </c>
      <c r="D78" s="36" t="s">
        <v>321</v>
      </c>
      <c r="E78" s="36" t="s">
        <v>322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207</v>
      </c>
      <c r="C79" s="198" t="s">
        <v>207</v>
      </c>
      <c r="D79" s="197" t="s">
        <v>207</v>
      </c>
      <c r="E79" s="193">
        <f>1874+1860+895+780+785</f>
        <v>6194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207</v>
      </c>
      <c r="C80" s="198" t="s">
        <v>207</v>
      </c>
      <c r="D80" s="197" t="s">
        <v>207</v>
      </c>
      <c r="E80" s="193">
        <v>745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207</v>
      </c>
      <c r="C81" s="198" t="s">
        <v>207</v>
      </c>
      <c r="D81" s="197" t="s">
        <v>207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207</v>
      </c>
      <c r="C82" s="198" t="s">
        <v>207</v>
      </c>
      <c r="D82" s="197" t="s">
        <v>207</v>
      </c>
      <c r="E82" s="193">
        <v>830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207</v>
      </c>
      <c r="C83" s="198" t="s">
        <v>207</v>
      </c>
      <c r="D83" s="197" t="s">
        <v>207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207</v>
      </c>
      <c r="C84" s="198" t="s">
        <v>207</v>
      </c>
      <c r="D84" s="197" t="s">
        <v>207</v>
      </c>
      <c r="E84" s="193">
        <v>1489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 t="str">
        <f>'Données projet'!D90</f>
        <v>29</v>
      </c>
      <c r="C87" s="191">
        <v>10</v>
      </c>
      <c r="D87" s="179">
        <f t="shared" si="6"/>
        <v>290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19</v>
      </c>
      <c r="C88" s="191">
        <v>10</v>
      </c>
      <c r="D88" s="179">
        <f t="shared" si="6"/>
        <v>190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20</v>
      </c>
      <c r="C89" s="191">
        <v>50</v>
      </c>
      <c r="D89" s="179">
        <f t="shared" si="6"/>
        <v>1000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20</v>
      </c>
      <c r="C90" s="191">
        <v>50</v>
      </c>
      <c r="D90" s="179">
        <f t="shared" si="6"/>
        <v>1000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20</v>
      </c>
      <c r="C91" s="191">
        <v>50</v>
      </c>
      <c r="D91" s="179">
        <f t="shared" si="6"/>
        <v>1000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19</v>
      </c>
      <c r="C92" s="191">
        <v>100</v>
      </c>
      <c r="D92" s="179">
        <f t="shared" si="6"/>
        <v>1900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18</v>
      </c>
      <c r="C93" s="191">
        <v>100</v>
      </c>
      <c r="D93" s="179">
        <f t="shared" si="6"/>
        <v>1800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17</v>
      </c>
      <c r="C94" s="191">
        <v>150</v>
      </c>
      <c r="D94" s="179">
        <f t="shared" si="6"/>
        <v>2550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16</v>
      </c>
      <c r="C95" s="191">
        <v>150</v>
      </c>
      <c r="D95" s="179">
        <f t="shared" si="6"/>
        <v>2400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15</v>
      </c>
      <c r="C96" s="191">
        <v>150</v>
      </c>
      <c r="D96" s="179">
        <f t="shared" si="6"/>
        <v>2250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14</v>
      </c>
      <c r="C97" s="191">
        <v>200</v>
      </c>
      <c r="D97" s="179">
        <f t="shared" si="6"/>
        <v>2800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12</v>
      </c>
      <c r="C98" s="191">
        <v>200</v>
      </c>
      <c r="D98" s="179">
        <f t="shared" si="6"/>
        <v>2400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11</v>
      </c>
      <c r="C99" s="191">
        <v>200</v>
      </c>
      <c r="D99" s="179">
        <f t="shared" si="6"/>
        <v>2200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10</v>
      </c>
      <c r="C100" s="191">
        <v>200</v>
      </c>
      <c r="D100" s="179">
        <f t="shared" si="6"/>
        <v>2000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10</v>
      </c>
      <c r="C101" s="191">
        <v>200</v>
      </c>
      <c r="D101" s="179">
        <f t="shared" si="6"/>
        <v>2000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95</v>
      </c>
      <c r="B102" s="181" t="str">
        <f>'Données projet'!D105</f>
        <v>11</v>
      </c>
      <c r="C102" s="191">
        <v>200</v>
      </c>
      <c r="D102" s="179">
        <f t="shared" si="6"/>
        <v>2200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100</v>
      </c>
      <c r="B103" s="181" t="str">
        <f>'Données projet'!D106</f>
        <v>11</v>
      </c>
      <c r="C103" s="191">
        <v>200</v>
      </c>
      <c r="D103" s="179">
        <f t="shared" si="6"/>
        <v>2200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50</v>
      </c>
      <c r="B109" s="48" t="s">
        <v>319</v>
      </c>
      <c r="C109" s="48" t="s">
        <v>320</v>
      </c>
      <c r="D109" s="36" t="s">
        <v>321</v>
      </c>
      <c r="E109" s="36" t="s">
        <v>322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207</v>
      </c>
      <c r="C110" s="198" t="s">
        <v>207</v>
      </c>
      <c r="D110" s="197" t="s">
        <v>207</v>
      </c>
      <c r="E110" s="193">
        <f>1337+1860+895+780+785</f>
        <v>5657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207</v>
      </c>
      <c r="C111" s="198" t="s">
        <v>207</v>
      </c>
      <c r="D111" s="197" t="s">
        <v>207</v>
      </c>
      <c r="E111" s="193">
        <v>745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207</v>
      </c>
      <c r="C112" s="198" t="s">
        <v>207</v>
      </c>
      <c r="D112" s="197" t="s">
        <v>207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207</v>
      </c>
      <c r="C113" s="198" t="s">
        <v>207</v>
      </c>
      <c r="D113" s="197" t="s">
        <v>207</v>
      </c>
      <c r="E113" s="193">
        <v>830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207</v>
      </c>
      <c r="C114" s="198" t="s">
        <v>207</v>
      </c>
      <c r="D114" s="197" t="s">
        <v>207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207</v>
      </c>
      <c r="C115" s="198" t="s">
        <v>207</v>
      </c>
      <c r="D115" s="197" t="s">
        <v>207</v>
      </c>
      <c r="E115" s="193">
        <v>1489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42</v>
      </c>
      <c r="B117" s="181">
        <f>'Données projet'!D115</f>
        <v>38.685897435897438</v>
      </c>
      <c r="C117" s="191">
        <v>10</v>
      </c>
      <c r="D117" s="179">
        <f t="shared" ref="D117:D135" si="8">B117*C117</f>
        <v>386.85897435897436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50</v>
      </c>
      <c r="B118" s="181">
        <f>'Données projet'!D116</f>
        <v>29.416666666666664</v>
      </c>
      <c r="C118" s="191">
        <v>10</v>
      </c>
      <c r="D118" s="179">
        <f t="shared" si="8"/>
        <v>294.16666666666663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58</v>
      </c>
      <c r="B119" s="181">
        <f>'Données projet'!D117</f>
        <v>35.88461538461538</v>
      </c>
      <c r="C119" s="191">
        <v>50</v>
      </c>
      <c r="D119" s="179">
        <f t="shared" si="8"/>
        <v>1794.2307692307691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66</v>
      </c>
      <c r="B120" s="181">
        <f>'Données projet'!D118</f>
        <v>39.166666666666664</v>
      </c>
      <c r="C120" s="191">
        <v>50</v>
      </c>
      <c r="D120" s="179">
        <f t="shared" si="8"/>
        <v>1958.3333333333333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74</v>
      </c>
      <c r="B121" s="181">
        <f>'Données projet'!D119</f>
        <v>36.865384615384613</v>
      </c>
      <c r="C121" s="191">
        <v>50</v>
      </c>
      <c r="D121" s="179">
        <f t="shared" si="8"/>
        <v>1843.2692307692307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84</v>
      </c>
      <c r="B122" s="181">
        <f>'Données projet'!D120</f>
        <v>47.256410256410255</v>
      </c>
      <c r="C122" s="191">
        <v>100</v>
      </c>
      <c r="D122" s="179">
        <f t="shared" si="8"/>
        <v>4725.6410256410254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94</v>
      </c>
      <c r="B123" s="181">
        <f>'Données projet'!D121</f>
        <v>47.243589743589745</v>
      </c>
      <c r="C123" s="191">
        <v>100</v>
      </c>
      <c r="D123" s="179">
        <f t="shared" si="8"/>
        <v>4724.3589743589746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104</v>
      </c>
      <c r="B124" s="181">
        <f>'Données projet'!D122</f>
        <v>45.987179487179482</v>
      </c>
      <c r="C124" s="191">
        <v>150</v>
      </c>
      <c r="D124" s="179">
        <f t="shared" si="8"/>
        <v>6898.076923076922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114</v>
      </c>
      <c r="B125" s="181">
        <f>'Données projet'!D123</f>
        <v>42.78846153846154</v>
      </c>
      <c r="C125" s="191">
        <v>150</v>
      </c>
      <c r="D125" s="179">
        <f t="shared" si="8"/>
        <v>6418.2692307692314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124</v>
      </c>
      <c r="B126" s="181">
        <f>'Données projet'!D124</f>
        <v>39.820512820512818</v>
      </c>
      <c r="C126" s="191">
        <v>150</v>
      </c>
      <c r="D126" s="179">
        <f t="shared" si="8"/>
        <v>5973.0769230769229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134</v>
      </c>
      <c r="B127" s="181">
        <f>'Données projet'!D125</f>
        <v>41.666666666666664</v>
      </c>
      <c r="C127" s="191">
        <v>200</v>
      </c>
      <c r="D127" s="179">
        <f t="shared" si="8"/>
        <v>8333.3333333333321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144</v>
      </c>
      <c r="B128" s="181">
        <f>'Données projet'!D126</f>
        <v>42.224358974358978</v>
      </c>
      <c r="C128" s="191">
        <v>200</v>
      </c>
      <c r="D128" s="179">
        <f t="shared" si="8"/>
        <v>8444.8717948717949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154</v>
      </c>
      <c r="B129" s="181">
        <f>'Données projet'!D127</f>
        <v>41.557692307692307</v>
      </c>
      <c r="C129" s="191">
        <v>200</v>
      </c>
      <c r="D129" s="179">
        <f t="shared" si="8"/>
        <v>8311.538461538461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164</v>
      </c>
      <c r="B130" s="181">
        <f>'Données projet'!D128</f>
        <v>44.814102564102562</v>
      </c>
      <c r="C130" s="191">
        <v>200</v>
      </c>
      <c r="D130" s="179">
        <f t="shared" si="8"/>
        <v>8962.8205128205118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174</v>
      </c>
      <c r="B131" s="181">
        <f>'Données projet'!D129</f>
        <v>162.38461538461539</v>
      </c>
      <c r="C131" s="191">
        <v>200</v>
      </c>
      <c r="D131" s="179">
        <f t="shared" si="8"/>
        <v>32476.923076923078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177</v>
      </c>
      <c r="B132" s="181">
        <f>'Données projet'!D130</f>
        <v>87</v>
      </c>
      <c r="C132" s="191">
        <v>200</v>
      </c>
      <c r="D132" s="179">
        <f t="shared" si="8"/>
        <v>17400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180</v>
      </c>
      <c r="B133" s="181">
        <f>'Données projet'!D131</f>
        <v>58.794871794871796</v>
      </c>
      <c r="C133" s="191">
        <v>200</v>
      </c>
      <c r="D133" s="179">
        <f t="shared" si="8"/>
        <v>11758.974358974359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183</v>
      </c>
      <c r="B134" s="181">
        <f>'Données projet'!D132</f>
        <v>129.32692307692307</v>
      </c>
      <c r="C134" s="191">
        <v>200</v>
      </c>
      <c r="D134" s="179">
        <f t="shared" si="8"/>
        <v>25865.384615384613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Pin taeda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50</v>
      </c>
      <c r="B140" s="48" t="s">
        <v>319</v>
      </c>
      <c r="C140" s="48" t="s">
        <v>320</v>
      </c>
      <c r="D140" s="36" t="s">
        <v>321</v>
      </c>
      <c r="E140" s="36" t="s">
        <v>322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207</v>
      </c>
      <c r="C141" s="198" t="s">
        <v>207</v>
      </c>
      <c r="D141" s="197" t="s">
        <v>207</v>
      </c>
      <c r="E141" s="193">
        <f>362+1860+895+780+785+325</f>
        <v>5007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207</v>
      </c>
      <c r="C142" s="198" t="s">
        <v>207</v>
      </c>
      <c r="D142" s="197" t="s">
        <v>207</v>
      </c>
      <c r="E142" s="193">
        <v>745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207</v>
      </c>
      <c r="C143" s="198" t="s">
        <v>207</v>
      </c>
      <c r="D143" s="197" t="s">
        <v>207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207</v>
      </c>
      <c r="C144" s="198" t="s">
        <v>207</v>
      </c>
      <c r="D144" s="197" t="s">
        <v>207</v>
      </c>
      <c r="E144" s="193">
        <v>830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207</v>
      </c>
      <c r="C145" s="198" t="s">
        <v>207</v>
      </c>
      <c r="D145" s="197" t="s">
        <v>207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207</v>
      </c>
      <c r="C146" s="198" t="s">
        <v>207</v>
      </c>
      <c r="D146" s="197" t="s">
        <v>207</v>
      </c>
      <c r="E146" s="193">
        <v>1489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17</v>
      </c>
      <c r="B147" s="175">
        <f>'Données projet'!D140</f>
        <v>42.084615384615383</v>
      </c>
      <c r="C147" s="191">
        <v>10</v>
      </c>
      <c r="D147" s="182">
        <f>B147*C147</f>
        <v>420.84615384615381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23</v>
      </c>
      <c r="B148" s="175">
        <f>'Données projet'!D141</f>
        <v>54.099999999999994</v>
      </c>
      <c r="C148" s="191">
        <v>18</v>
      </c>
      <c r="D148" s="182">
        <f t="shared" ref="D148:D166" si="10">B148*C148</f>
        <v>973.8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29</v>
      </c>
      <c r="B149" s="175">
        <f>'Données projet'!D142</f>
        <v>47.661538461538463</v>
      </c>
      <c r="C149" s="191">
        <v>25</v>
      </c>
      <c r="D149" s="182">
        <f t="shared" si="10"/>
        <v>1191.5384615384617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0</v>
      </c>
      <c r="C150" s="191">
        <v>35</v>
      </c>
      <c r="D150" s="182">
        <f t="shared" si="10"/>
        <v>0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36</v>
      </c>
      <c r="B151" s="175">
        <f>'Données projet'!D144</f>
        <v>64.553846153846152</v>
      </c>
      <c r="C151" s="191">
        <v>45</v>
      </c>
      <c r="D151" s="182">
        <f t="shared" si="10"/>
        <v>2904.9230769230767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44</v>
      </c>
      <c r="B152" s="175">
        <f>'Données projet'!D145</f>
        <v>64.476923076923072</v>
      </c>
      <c r="C152" s="191">
        <v>45</v>
      </c>
      <c r="D152" s="182">
        <f t="shared" si="10"/>
        <v>2901.4615384615381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52</v>
      </c>
      <c r="B153" s="175">
        <f>'Données projet'!D146</f>
        <v>61.784615384615378</v>
      </c>
      <c r="C153" s="191">
        <v>56</v>
      </c>
      <c r="D153" s="182">
        <f t="shared" si="10"/>
        <v>3459.9384615384611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60</v>
      </c>
      <c r="B154" s="175">
        <f>'Données projet'!D147</f>
        <v>353.5</v>
      </c>
      <c r="C154" s="191">
        <v>56</v>
      </c>
      <c r="D154" s="182">
        <f t="shared" si="10"/>
        <v>19796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>Charme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50</v>
      </c>
      <c r="B171" s="48" t="s">
        <v>319</v>
      </c>
      <c r="C171" s="48" t="s">
        <v>320</v>
      </c>
      <c r="D171" s="36" t="s">
        <v>321</v>
      </c>
      <c r="E171" s="36" t="s">
        <v>322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207</v>
      </c>
      <c r="C172" s="198" t="s">
        <v>207</v>
      </c>
      <c r="D172" s="197" t="s">
        <v>207</v>
      </c>
      <c r="E172" s="193">
        <f>230+1860+895+780+785</f>
        <v>4550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207</v>
      </c>
      <c r="C173" s="198" t="s">
        <v>207</v>
      </c>
      <c r="D173" s="197" t="s">
        <v>207</v>
      </c>
      <c r="E173" s="193">
        <v>745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207</v>
      </c>
      <c r="C174" s="198" t="s">
        <v>207</v>
      </c>
      <c r="D174" s="197" t="s">
        <v>207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207</v>
      </c>
      <c r="C175" s="198" t="s">
        <v>207</v>
      </c>
      <c r="D175" s="197" t="s">
        <v>207</v>
      </c>
      <c r="E175" s="193">
        <v>830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207</v>
      </c>
      <c r="C176" s="198" t="s">
        <v>207</v>
      </c>
      <c r="D176" s="197" t="s">
        <v>207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207</v>
      </c>
      <c r="C177" s="198" t="s">
        <v>207</v>
      </c>
      <c r="D177" s="197" t="s">
        <v>207</v>
      </c>
      <c r="E177" s="193">
        <v>1489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42</v>
      </c>
      <c r="B179" s="181">
        <f>'Données projet'!D167</f>
        <v>38.685897435897438</v>
      </c>
      <c r="C179" s="193">
        <v>10</v>
      </c>
      <c r="D179" s="179">
        <f t="shared" ref="D179:D197" si="11">B179*C179</f>
        <v>386.85897435897436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50</v>
      </c>
      <c r="B180" s="181">
        <f>'Données projet'!D168</f>
        <v>29.416666666666664</v>
      </c>
      <c r="C180" s="193">
        <v>10</v>
      </c>
      <c r="D180" s="179">
        <f t="shared" si="11"/>
        <v>294.16666666666663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58</v>
      </c>
      <c r="B181" s="181">
        <f>'Données projet'!D169</f>
        <v>35.88461538461538</v>
      </c>
      <c r="C181" s="193">
        <v>50</v>
      </c>
      <c r="D181" s="179">
        <f t="shared" si="11"/>
        <v>1794.2307692307691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66</v>
      </c>
      <c r="B182" s="181">
        <f>'Données projet'!D170</f>
        <v>39.166666666666664</v>
      </c>
      <c r="C182" s="193">
        <v>50</v>
      </c>
      <c r="D182" s="179">
        <f t="shared" si="11"/>
        <v>1958.3333333333333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74</v>
      </c>
      <c r="B183" s="181">
        <f>'Données projet'!D171</f>
        <v>36.865384615384613</v>
      </c>
      <c r="C183" s="193">
        <v>50</v>
      </c>
      <c r="D183" s="179">
        <f t="shared" si="11"/>
        <v>1843.2692307692307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84</v>
      </c>
      <c r="B184" s="181">
        <f>'Données projet'!D172</f>
        <v>47.256410256410255</v>
      </c>
      <c r="C184" s="193">
        <v>100</v>
      </c>
      <c r="D184" s="179">
        <f t="shared" si="11"/>
        <v>4725.6410256410254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94</v>
      </c>
      <c r="B185" s="181">
        <f>'Données projet'!D173</f>
        <v>47.243589743589745</v>
      </c>
      <c r="C185" s="193">
        <v>100</v>
      </c>
      <c r="D185" s="179">
        <f t="shared" si="11"/>
        <v>4724.3589743589746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104</v>
      </c>
      <c r="B186" s="181">
        <f>'Données projet'!D174</f>
        <v>45.987179487179482</v>
      </c>
      <c r="C186" s="193">
        <v>150</v>
      </c>
      <c r="D186" s="179">
        <f t="shared" si="11"/>
        <v>6898.076923076922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114</v>
      </c>
      <c r="B187" s="181">
        <f>'Données projet'!D175</f>
        <v>42.78846153846154</v>
      </c>
      <c r="C187" s="193">
        <v>150</v>
      </c>
      <c r="D187" s="179">
        <f t="shared" si="11"/>
        <v>6418.2692307692314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124</v>
      </c>
      <c r="B188" s="181">
        <f>'Données projet'!D176</f>
        <v>39.820512820512818</v>
      </c>
      <c r="C188" s="193">
        <v>150</v>
      </c>
      <c r="D188" s="179">
        <f t="shared" si="11"/>
        <v>5973.0769230769229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134</v>
      </c>
      <c r="B189" s="181">
        <f>'Données projet'!D177</f>
        <v>41.666666666666664</v>
      </c>
      <c r="C189" s="193">
        <v>200</v>
      </c>
      <c r="D189" s="179">
        <f t="shared" si="11"/>
        <v>8333.3333333333321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144</v>
      </c>
      <c r="B190" s="181">
        <f>'Données projet'!D178</f>
        <v>42.224358974358978</v>
      </c>
      <c r="C190" s="193">
        <v>200</v>
      </c>
      <c r="D190" s="179">
        <f t="shared" si="11"/>
        <v>8444.8717948717949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154</v>
      </c>
      <c r="B191" s="181">
        <f>'Données projet'!D179</f>
        <v>41.557692307692307</v>
      </c>
      <c r="C191" s="193">
        <v>200</v>
      </c>
      <c r="D191" s="179">
        <f t="shared" si="11"/>
        <v>8311.538461538461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164</v>
      </c>
      <c r="B192" s="181">
        <f>'Données projet'!D180</f>
        <v>44.814102564102562</v>
      </c>
      <c r="C192" s="193">
        <v>200</v>
      </c>
      <c r="D192" s="179">
        <f t="shared" si="11"/>
        <v>8962.8205128205118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174</v>
      </c>
      <c r="B193" s="181">
        <f>'Données projet'!D181</f>
        <v>162.38461538461539</v>
      </c>
      <c r="C193" s="193">
        <v>200</v>
      </c>
      <c r="D193" s="179">
        <f t="shared" si="11"/>
        <v>32476.923076923078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177</v>
      </c>
      <c r="B194" s="181">
        <f>'Données projet'!D182</f>
        <v>87</v>
      </c>
      <c r="C194" s="193">
        <v>200</v>
      </c>
      <c r="D194" s="179">
        <f t="shared" si="11"/>
        <v>17400</v>
      </c>
      <c r="E194" s="193">
        <v>150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180</v>
      </c>
      <c r="B195" s="181">
        <f>'Données projet'!D183</f>
        <v>58.794871794871796</v>
      </c>
      <c r="C195" s="193">
        <v>200</v>
      </c>
      <c r="D195" s="179">
        <f t="shared" si="11"/>
        <v>11758.974358974359</v>
      </c>
      <c r="E195" s="193">
        <v>150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183</v>
      </c>
      <c r="B196" s="181">
        <f>'Données projet'!D184</f>
        <v>129.32692307692307</v>
      </c>
      <c r="C196" s="193">
        <v>200</v>
      </c>
      <c r="D196" s="179">
        <f t="shared" si="11"/>
        <v>25865.384615384613</v>
      </c>
      <c r="E196" s="193">
        <v>150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28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50</v>
      </c>
      <c r="B202" s="48" t="s">
        <v>319</v>
      </c>
      <c r="C202" s="48" t="s">
        <v>320</v>
      </c>
      <c r="D202" s="36" t="s">
        <v>321</v>
      </c>
      <c r="E202" s="36" t="s">
        <v>322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207</v>
      </c>
      <c r="C203" s="198" t="s">
        <v>207</v>
      </c>
      <c r="D203" s="197" t="s">
        <v>207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207</v>
      </c>
      <c r="C204" s="198" t="s">
        <v>207</v>
      </c>
      <c r="D204" s="197" t="s">
        <v>207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207</v>
      </c>
      <c r="C205" s="198" t="s">
        <v>207</v>
      </c>
      <c r="D205" s="197" t="s">
        <v>207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207</v>
      </c>
      <c r="C206" s="198" t="s">
        <v>207</v>
      </c>
      <c r="D206" s="197" t="s">
        <v>207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207</v>
      </c>
      <c r="C207" s="198" t="s">
        <v>207</v>
      </c>
      <c r="D207" s="197" t="s">
        <v>207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207</v>
      </c>
      <c r="C208" s="198" t="s">
        <v>207</v>
      </c>
      <c r="D208" s="197" t="s">
        <v>207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29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50</v>
      </c>
      <c r="B233" s="48" t="s">
        <v>319</v>
      </c>
      <c r="C233" s="48" t="s">
        <v>320</v>
      </c>
      <c r="D233" s="36" t="s">
        <v>321</v>
      </c>
      <c r="E233" s="36" t="s">
        <v>322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207</v>
      </c>
      <c r="C234" s="198" t="s">
        <v>207</v>
      </c>
      <c r="D234" s="197" t="s">
        <v>207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207</v>
      </c>
      <c r="C235" s="198" t="s">
        <v>207</v>
      </c>
      <c r="D235" s="197" t="s">
        <v>207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207</v>
      </c>
      <c r="C236" s="198" t="s">
        <v>207</v>
      </c>
      <c r="D236" s="197" t="s">
        <v>207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207</v>
      </c>
      <c r="C237" s="198" t="s">
        <v>207</v>
      </c>
      <c r="D237" s="197" t="s">
        <v>207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207</v>
      </c>
      <c r="C238" s="198" t="s">
        <v>207</v>
      </c>
      <c r="D238" s="197" t="s">
        <v>207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207</v>
      </c>
      <c r="C239" s="198" t="s">
        <v>207</v>
      </c>
      <c r="D239" s="197" t="s">
        <v>207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30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50</v>
      </c>
      <c r="B264" s="48" t="s">
        <v>319</v>
      </c>
      <c r="C264" s="48" t="s">
        <v>320</v>
      </c>
      <c r="D264" s="36" t="s">
        <v>321</v>
      </c>
      <c r="E264" s="36" t="s">
        <v>322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207</v>
      </c>
      <c r="C265" s="198" t="s">
        <v>207</v>
      </c>
      <c r="D265" s="197" t="s">
        <v>207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207</v>
      </c>
      <c r="C266" s="198" t="s">
        <v>207</v>
      </c>
      <c r="D266" s="197" t="s">
        <v>207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207</v>
      </c>
      <c r="C267" s="198" t="s">
        <v>207</v>
      </c>
      <c r="D267" s="197" t="s">
        <v>207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207</v>
      </c>
      <c r="C268" s="198" t="s">
        <v>207</v>
      </c>
      <c r="D268" s="197" t="s">
        <v>207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207</v>
      </c>
      <c r="C269" s="198" t="s">
        <v>207</v>
      </c>
      <c r="D269" s="197" t="s">
        <v>207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207</v>
      </c>
      <c r="C270" s="198" t="s">
        <v>207</v>
      </c>
      <c r="D270" s="197" t="s">
        <v>207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31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50</v>
      </c>
      <c r="B295" s="48" t="s">
        <v>319</v>
      </c>
      <c r="C295" s="48" t="s">
        <v>320</v>
      </c>
      <c r="D295" s="36" t="s">
        <v>321</v>
      </c>
      <c r="E295" s="36" t="s">
        <v>322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207</v>
      </c>
      <c r="C296" s="198" t="s">
        <v>207</v>
      </c>
      <c r="D296" s="197" t="s">
        <v>207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207</v>
      </c>
      <c r="C297" s="198" t="s">
        <v>207</v>
      </c>
      <c r="D297" s="197" t="s">
        <v>207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207</v>
      </c>
      <c r="C298" s="198" t="s">
        <v>207</v>
      </c>
      <c r="D298" s="197" t="s">
        <v>207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207</v>
      </c>
      <c r="C299" s="198" t="s">
        <v>207</v>
      </c>
      <c r="D299" s="197" t="s">
        <v>207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207</v>
      </c>
      <c r="C300" s="198" t="s">
        <v>207</v>
      </c>
      <c r="D300" s="197" t="s">
        <v>207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207</v>
      </c>
      <c r="C301" s="198" t="s">
        <v>207</v>
      </c>
      <c r="D301" s="197" t="s">
        <v>207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5621E-3B9D-46C8-9CF8-053DEFDE5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2024-10-09T15:03:48Z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